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ew ATO PATO Log" sheetId="1" r:id="rId3"/>
    <sheet state="visible" name="3PAO Master List" sheetId="2" r:id="rId4"/>
    <sheet state="visible" name="Inactive Systems" sheetId="3" r:id="rId5"/>
    <sheet state="visible" name="Data Dictionary" sheetId="4" r:id="rId6"/>
    <sheet state="visible" name="Reference" sheetId="5" r:id="rId7"/>
  </sheets>
  <definedNames>
    <definedName name="SubAgency_List">Reference!$D$2:$E$387</definedName>
    <definedName name="ATO_PATO_DB">'New ATO PATO Log'!$A$2:$AL$1074</definedName>
    <definedName hidden="1" localSheetId="1" name="_xlnm._FilterDatabase">'3PAO Master List'!$A$1:$Z$44</definedName>
    <definedName hidden="1" localSheetId="0" name="_xlnm._FilterDatabase">'New ATO PATO Log'!$A$1:$AL$874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U4">
      <text>
        <t xml:space="preserve">Need to find correct ATO Letter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is the number of the page in the FY15 binder</t>
      </text>
    </comment>
  </commentList>
</comments>
</file>

<file path=xl/comments3.xml><?xml version="1.0" encoding="utf-8"?>
<comments xmlns:r="http://schemas.openxmlformats.org/officeDocument/2006/relationships" xmlns="http://schemas.openxmlformats.org/spreadsheetml/2006/main">
  <authors>
    <author/>
  </authors>
  <commentList>
    <comment authorId="0" ref="B20">
      <text>
        <t xml:space="preserve">type here
Field: Authorizing Official
Source: ATO Letter
Data Type: Text
Note: If multiple names are listed, all names should be included in this field.</t>
      </text>
    </comment>
    <comment authorId="0" ref="B42">
      <text>
        <t xml:space="preserve">Either attach a logo file to your email response or provide a URL below.</t>
      </text>
    </comment>
    <comment authorId="0" ref="C42">
      <text>
        <t xml:space="preserve">Either attach a logo file to your email response or provide a URL below.</t>
      </text>
    </comment>
    <comment authorId="0" ref="D42">
      <text>
        <t xml:space="preserve">Either attach a logo file to your email response or provide a URL below.</t>
      </text>
    </comment>
    <comment authorId="0" ref="E42">
      <text>
        <t xml:space="preserve">Either attach a logo file to your email response or provide a URL below.</t>
      </text>
    </comment>
    <comment authorId="0" ref="F42">
      <text>
        <t xml:space="preserve">Either attach a logo file to your email response or provide a URL below.</t>
      </text>
    </comment>
    <comment authorId="0" ref="G42">
      <text>
        <t xml:space="preserve">Either attach a logo file to your email response or provide a URL below.</t>
      </text>
    </comment>
    <comment authorId="0" ref="H42">
      <text>
        <t xml:space="preserve">Either attach a logo file to your email response or provide a URL below.</t>
      </text>
    </comment>
    <comment authorId="0" ref="I42">
      <text>
        <t xml:space="preserve">Either attach a logo file to your email response or provide a URL below.</t>
      </text>
    </comment>
  </commentList>
</comments>
</file>

<file path=xl/sharedStrings.xml><?xml version="1.0" encoding="utf-8"?>
<sst xmlns="http://schemas.openxmlformats.org/spreadsheetml/2006/main" count="24979" uniqueCount="5163">
  <si>
    <t>Fiscal Year</t>
  </si>
  <si>
    <t>Master #</t>
  </si>
  <si>
    <t>CSP</t>
  </si>
  <si>
    <t>CSO</t>
  </si>
  <si>
    <t>Service Model</t>
  </si>
  <si>
    <t>PackageID</t>
  </si>
  <si>
    <t>Path</t>
  </si>
  <si>
    <t>Leverage ATO-YN</t>
  </si>
  <si>
    <t>Authorization Date</t>
  </si>
  <si>
    <t>Cert #</t>
  </si>
  <si>
    <t>Authorizing Letter Date</t>
  </si>
  <si>
    <t>Authorizing Letter Last Sign Date</t>
  </si>
  <si>
    <t>Active-Inactive</t>
  </si>
  <si>
    <t>Designation</t>
  </si>
  <si>
    <t>Deployment Model</t>
  </si>
  <si>
    <t>Company</t>
  </si>
  <si>
    <t>POC Name</t>
  </si>
  <si>
    <t>POC Email</t>
  </si>
  <si>
    <t>Date Applied</t>
  </si>
  <si>
    <t>A2LA Accreditation Date</t>
  </si>
  <si>
    <t>Impact Level</t>
  </si>
  <si>
    <t>Authorizing Agency</t>
  </si>
  <si>
    <t>Authorizing Subagency</t>
  </si>
  <si>
    <t>Authorizing Official</t>
  </si>
  <si>
    <t>Expiration</t>
  </si>
  <si>
    <t>Expiration Date</t>
  </si>
  <si>
    <t>FedRAMP Accrediation Date</t>
  </si>
  <si>
    <t>Sponsoring Agency</t>
  </si>
  <si>
    <t>MAX Folder Link</t>
  </si>
  <si>
    <t>Status</t>
  </si>
  <si>
    <t>Logo</t>
  </si>
  <si>
    <t>In Remediation Status (Y/N)</t>
  </si>
  <si>
    <t>Year Company Founded</t>
  </si>
  <si>
    <t>Website URL</t>
  </si>
  <si>
    <t>Primary Office Locations</t>
  </si>
  <si>
    <t>Description of 3PAO Services</t>
  </si>
  <si>
    <t>CSPs Assessed Through FedRAMP</t>
  </si>
  <si>
    <t>Letter Link</t>
  </si>
  <si>
    <t>CFO Act Agency</t>
  </si>
  <si>
    <t>CSP POC</t>
  </si>
  <si>
    <t>CSP POC Email</t>
  </si>
  <si>
    <t>CSP Website</t>
  </si>
  <si>
    <t>Agency POC</t>
  </si>
  <si>
    <t>Agency POC Email</t>
  </si>
  <si>
    <t>Does Your Company Provide FedRAMP Consulting Services (Y/N)</t>
  </si>
  <si>
    <t>Independent Assessor</t>
  </si>
  <si>
    <t>Description of Consulting Services</t>
  </si>
  <si>
    <t>Package Service Description</t>
  </si>
  <si>
    <t>CSPs You've Provided Consulting Services To</t>
  </si>
  <si>
    <t>Additional Cyber Frameworks Your Company Is Accredited to Perform</t>
  </si>
  <si>
    <t>Include in the Marketplace (Y/N)</t>
  </si>
  <si>
    <t>Announcement Date</t>
  </si>
  <si>
    <t>Data Gathering
Website Still Active? Y or N</t>
  </si>
  <si>
    <t>Data Gathering
List of FedRAMP Customers on Website? Y or N</t>
  </si>
  <si>
    <t>Data Gathering
FedRAMP listed on website? Y or N</t>
  </si>
  <si>
    <t>14JUL2016 Comments</t>
  </si>
  <si>
    <t>Comment</t>
  </si>
  <si>
    <t>Include In MarketplaceYN?</t>
  </si>
  <si>
    <t>Logo File URL</t>
  </si>
  <si>
    <t>Underlying CSPs</t>
  </si>
  <si>
    <t>Expected Compliance Date</t>
  </si>
  <si>
    <t>FedRAMP Ready Date</t>
  </si>
  <si>
    <t>FedRAMP In-Process Date</t>
  </si>
  <si>
    <t>Agency Logo URL</t>
  </si>
  <si>
    <t>FY13-001</t>
  </si>
  <si>
    <t>CSP-CSO-AuthDate</t>
  </si>
  <si>
    <t>A-LIGN Compliance and Security, Inc. dba A-LIGN</t>
  </si>
  <si>
    <t>Gene Geiger</t>
  </si>
  <si>
    <t>fedramp.sales@a-lign.com</t>
  </si>
  <si>
    <t>Akamai</t>
  </si>
  <si>
    <t>Active</t>
  </si>
  <si>
    <t>https://marketplace.fedramp.gov/img/logos/3PAO_logos/A-Lign%20Logo.JPG</t>
  </si>
  <si>
    <t>American Institutes for Research</t>
  </si>
  <si>
    <t>Secure Analytics Workbench (SAW)</t>
  </si>
  <si>
    <t>N</t>
  </si>
  <si>
    <t>SaaS</t>
  </si>
  <si>
    <t>www.a-lign.com</t>
  </si>
  <si>
    <t>400 N Ashley Drive Suite 1325, Tampa, FL 33602</t>
  </si>
  <si>
    <t>As an accredited FedRAMP 3PAO, A-LIGN is able to conduct the FedRAMP pre-assessment and security assessment based on the published templates and testing guidance. A-LIGN offers a FedRAMP pre-assessment to identify potential non-conformities, prior to beginning the security assessment. A-LIGN's security assessors and dedicated penetration testing team execute the FedRAMP assessment in accordance with the FedRAMP requirements.  As an assessor firm originally accredited by FedRAMP and having performed a security assessment for a certified CSP, we have the experience required to execute a comprehenisve assessment.</t>
  </si>
  <si>
    <t>* Blackmesh, Inc.</t>
  </si>
  <si>
    <t>Y</t>
  </si>
  <si>
    <t>A-LIGN offers consulting services in order to prepare organizations prior to their FedRAMP assessment. Our experienced assessors can develop the required templates and supporting policies and procedures to prepare your company for the FedRAMP assessment. Additionally, A-LIGN can assist with POA&amp;M remediation. Our consulting services help companies meet the rigorous FedRAMP requirements.</t>
  </si>
  <si>
    <t>* TIBCO Software Inc
* CGI Technology and Solutions Inc</t>
  </si>
  <si>
    <t>* PCI DSS
* ISO 27001
* HITRUST
* HIPAA/HITECH
* FISMA
* SOC 1/SSAE 16
* SOC 2/AT 101
* ISAE 3402</t>
  </si>
  <si>
    <t>F1609277946</t>
  </si>
  <si>
    <t>No</t>
  </si>
  <si>
    <t>Inactive</t>
  </si>
  <si>
    <t>FedRAMP Ready</t>
  </si>
  <si>
    <t>Public Cloud</t>
  </si>
  <si>
    <t>Moderate</t>
  </si>
  <si>
    <t>Content Delivery Services</t>
  </si>
  <si>
    <t>IaaS</t>
  </si>
  <si>
    <t>F1206061353</t>
  </si>
  <si>
    <t>JAB</t>
  </si>
  <si>
    <t>Website offers "A-LIGN" team to assist with FedRAMP compliance</t>
  </si>
  <si>
    <t>Aspiryon, LLC</t>
  </si>
  <si>
    <t>Neil Crisman</t>
  </si>
  <si>
    <t>fedramp@aspiryon.com</t>
  </si>
  <si>
    <t>https://marketplace.fedramp.gov/img/logos/3PAO_logos/Aspiryon%20Logo.jpg</t>
  </si>
  <si>
    <t>www.aspiryon.com</t>
  </si>
  <si>
    <t>711 Nolana Suite 103-F, Mc Allen, TX 78504</t>
  </si>
  <si>
    <t>Aspiryon has been a provider of strategic staffing, technology and business solutions since 2011. We are a SBA 8(a) Certified Hispanic Woman Owned Economically Disadvantaged Small Business that is committed to excellence that focuses on delivering solutions that meet client needs and provide value. Aspiryon has been authorized by the FedRAMP Program to provide 3PAO Assessment Services that independently assess a Cloud Service Provider’s (CSP) system to meet the requirements for obtaining a Provisional Authority to Operate (P-ATO). As part of the assessment process, we document vulnerabilities, weaknesses, other findings and conduct analysis of the results that assist in providing the assessment of security controls.  All assessments are backed by detailed processes and procedures that are coordinated with the CSP team and all requirements are clearly communicated from start to finish.</t>
  </si>
  <si>
    <t>None</t>
  </si>
  <si>
    <t>Aspiryon has been a provider of strategic staffing, technology and business solutions since 2011. We are a SBA 8(a) Certified Hispanic Woman Owned Economically Disadvantaged Small Business that is committed to excellence that focuses on delivering solutions that meet client needs and provide value. Aspiryon’s FedRAMP Advisory and Consulting Services are designed to  bring CSP services to market. Our Consulting Services provide highly experienced personnel with hands-on knowledge of the FedRAMP, FISMA and ISO standards to implement and document security controls that lead to ATO for your Cloud Service. Our Advisory Services consist of pre-assessments, gap analysis and customized analysis that ensure your CSP is ready for ATO.</t>
  </si>
  <si>
    <t>ISO 27001:2013</t>
  </si>
  <si>
    <t>Tim Beymer</t>
  </si>
  <si>
    <t>sawinfo@air.org</t>
  </si>
  <si>
    <t>www.air.org</t>
  </si>
  <si>
    <t>Only one FedRAMP claim, "Cyber security advisory services utilize common standards (FISMA, FedRAMP, HIPAA, HITECH, CMS ARS, MARS-E, FFIEC, SOX, ISO and NIST) to measure system security"</t>
  </si>
  <si>
    <t>Blue Canopy Group, LLC</t>
  </si>
  <si>
    <t>Kristen Arora</t>
  </si>
  <si>
    <t>bcfedramp@bluecanopy.com</t>
  </si>
  <si>
    <t>Coming Soon</t>
  </si>
  <si>
    <t>Coalfire Systems, Inc.</t>
  </si>
  <si>
    <t>AIR’s Secure Analytics Workbench (SAW) is a high performance, cloud based data analytics platform that securely receives, stores, and manages customer data sets.
The SAW allows researchers and data scientists to perform complex data analytics across multiple data sets containing Personally Identifiable Information (PII) and electronic Protected Health Information (ePHI) and to securely report the results of those analyses to authorized report viewers. The SAW can easily accommodate many rapid cycle monitoring projects, large program evaluations, and very large analyses of nation-wide, multi-year databases. 
Designed to analyze very large data sets (“big data”), the SAW can perform sophisticated analyses (General Linear Models, logistic regression, complex sorts) with datasets of hundreds of millions of records. The SAW is designed to handle complex dataset linkage (using deterministic or probabilistic protocols) for instance across large administrative service and cost data sets. The SAW can also perform extensive and sophisticated data cleansing, record de-duplication, and record reconciliation and remediation.</t>
  </si>
  <si>
    <t>Compliant</t>
  </si>
  <si>
    <t>JAB Authorization</t>
  </si>
  <si>
    <t>N/A (P-ATO)</t>
  </si>
  <si>
    <t>https://community.max.gov/x/wgmOJQ</t>
  </si>
  <si>
    <t>https://community.max.gov/download/attachments/1116602815/P-ATO_Akamai_08.22.13.pdf?api=v2</t>
  </si>
  <si>
    <t>https://marketplace.fedramp.gov/img/logos/3PAO_logos/Blue%20Canopy%20Logo.JPG</t>
  </si>
  <si>
    <t>https://marketplace.fedramp.gov/img/logos/CSP_logos/AIR%20Logo.jpg</t>
  </si>
  <si>
    <t>Danielle Mouritzen</t>
  </si>
  <si>
    <t>www.bluecanopy.com</t>
  </si>
  <si>
    <t>11091 Sunset Hills Road Suite 777, Reston, VA 20190</t>
  </si>
  <si>
    <t>Blue Canopy is a certified FedRAMP 3PAO, able to assist both CSPs and government agencies in meeting FedRAMP compliance. Authorized FedRAMP Services:
* **Consulting** – Security planning, development, and implementation
* **Pre-Assessment** – Preliminary review and preparation
* **Assessment** – Multilevel security testing and assessment
* **Continuous Monitoring** – Ensuring FedRAMP compliance</t>
  </si>
  <si>
    <t>* Micropact</t>
  </si>
  <si>
    <t>Big Data Analytics, Big Data Platform as a Service (PaaS) , trusted Cloud Services Broker (CSB), AWS Standard Level Consulting Partner since 2013, AWS HIPAA Associate, certified and accredited to deploy to AWS GovCloud (the ITAR compliant and most secure AWS cloud region), Mobility Enablement (strategy, architecture, app dev, security), Agile Development, Mission Support Services (Trusted Advisory Services, Mission Specific IT Services, Prepare the Warfighter), Cyber Security (CISO Advisory Services, Security Engineering/innovation, Cyber Ops &amp; Analytics, Persistent Risk Management, CyForce Solutions.</t>
  </si>
  <si>
    <t>* Adobe Connect Managed Services (ACMS-EW)
* Adobe Connect Managed Services (ACMS-GC)
* Adobe Experience Manager Managed Services (AEMMS-EW)
* Adobe Experience Manager Managed Services (AEMMS-GC)</t>
  </si>
  <si>
    <t>SAP® Consulting Services Partner</t>
  </si>
  <si>
    <t>fedramp_info@akamai.com</t>
  </si>
  <si>
    <t>www.akamai.com</t>
  </si>
  <si>
    <t>The Akamai globally distributed intelligent platform provides delivery benefits for all content types - HTML, images, dynamic Web 2.0, SSL, live and on-demand streaming media. The Akamai solution provides 100% availability, significant performance benefits, and scalable on-demand network. Akamai also offers Luna Control Center (customer portal), NetStorage, Edgecomputing, Enhanced DNS, DNSSEC, IPv6, and “always-on” defenses for maximum protection of uptime of customer's Web sites. Additional Akamai services can be integrated to offer a robust set of defenses against a variety of attack vectors that threaten complex Web infrastructures.</t>
  </si>
  <si>
    <t>FedRAMP logo on one page with the title cyber security but nothing to link the two</t>
  </si>
  <si>
    <t>Booz Allen Hamilton</t>
  </si>
  <si>
    <t>Amanda Cohen</t>
  </si>
  <si>
    <t>fedramp@bah.com</t>
  </si>
  <si>
    <t>Autodesk</t>
  </si>
  <si>
    <t>Autodesk BIM 360 Glue</t>
  </si>
  <si>
    <t>TBD1</t>
  </si>
  <si>
    <t>Agency</t>
  </si>
  <si>
    <t>In Process</t>
  </si>
  <si>
    <t>Department of Defense</t>
  </si>
  <si>
    <t>United States Army Corps of Engineers</t>
  </si>
  <si>
    <t>https://marketplace.fedramp.gov/img/logos/3PAO_logos/BAH%20Logo.jpg</t>
  </si>
  <si>
    <t>www.boozallen.com/consulting/technology/cloud-computing/fedramp</t>
  </si>
  <si>
    <t>Anmol Misra</t>
  </si>
  <si>
    <t>anmol.misra@autodesk.com</t>
  </si>
  <si>
    <t>8283 Greensboro Drive, Hamilton Building, McLean, VA 22102
Including hundreds of offices worldwide</t>
  </si>
  <si>
    <t>www.autodesk.com</t>
  </si>
  <si>
    <t>Booz Allen Hamilton, a leading strategy and technology consulting firm, is the first accredited 3PAO that is ISO/IEC 17020 compliant. We leverage our vast cybersecurity knowledge base and experience to streamline the security risk assessment process. We offer a comprehensive suite of 3PAO services to assist CSPs in successfully navigating through the FedRAMP certification process, which include: Readiness assessment, Security package development, Remediation services, 3PAO security assessment and 3PAO continuous monitoring services.</t>
  </si>
  <si>
    <t>* Skillsoft Corp.
* Cylance Inc.</t>
  </si>
  <si>
    <t>Booz Allen’s technology consulting services provide clients with highly skilled experts and engineers who maintain a deep knowledge of leading technologies. Our consultants combine their specialized skills with the firm’s proven problem-solving approach, ensuring that we understand a client’s mission and objectives. Our consulting approach, combined with client insight and technology acumen, provides us with the unique ability to design, develop and implement the optimal technology solution for the client. Our areas of expertise in technology consulting services include: Cyber technologies, Systems development and Strategic technology and innovation.</t>
  </si>
  <si>
    <t>From Government perspective, Booz Allen has a strong presence in almost all major Government departments and agencies including DHS, NIH, intel community, etc.
From commercial perspective, Booz Allen continues to provide consulting services to Fortune 500 companies across financial services, healthcare, retail, energy and technology industries.</t>
  </si>
  <si>
    <t>* ISO 9001:2008
* ISO 20000
* ISO 27001
* AS9100C
* CMMI DevMLS
* CMMI SVC CL2
* ISO 17020</t>
  </si>
  <si>
    <t>FedRAMP not mentioned on website</t>
  </si>
  <si>
    <t>Burke Consortium, Inc.</t>
  </si>
  <si>
    <t>Rob McGuire</t>
  </si>
  <si>
    <t>10/5/16: Changed POC from Joe Vehemente to Danielle Mouritzen per CSP's request.</t>
  </si>
  <si>
    <t>https://marketplace.fedramp.gov/img/logos/CSP_logos/Akamai%20Logo.jpg</t>
  </si>
  <si>
    <t>fedcloud@bcinow.com</t>
  </si>
  <si>
    <t>https://marketplace.fedramp.gov/img/logos/3PAO_logos/Burke%20Consortium%20Logo.jpg</t>
  </si>
  <si>
    <t>www.bcinow.com</t>
  </si>
  <si>
    <t>5500 Cherokee Avenue, Alexandria, VA 22312</t>
  </si>
  <si>
    <t>FY13-002</t>
  </si>
  <si>
    <t>Working collaboratively as part of the CSP team, we provide independent 3PAO solutions to achieve JAB approval for cloud service offerings. For each offering, we review the cybersecurity architecture and implementation of controls, tailor the Security Assessment Plan, assess controls, perform appropriate security tests, gather and catalog evidence of compliance, produce the Security Assessment Report, and assist the CSP in assembling, reviewing, and submitting a complete and accurate package that meets the expectations of the JAB. We don’t just tell you where deficiencies are – we provide practical options and recommendations for remediation based on 30+ years of corporate experience in development, integration, and hosting operations.</t>
  </si>
  <si>
    <t>BIM 360™ Glue® is a cloud-based BIM management and collaboration product that connects your entire project team and streamlines BIM project workflows from pre-construction through construction execution.</t>
  </si>
  <si>
    <t>We have 30+ years of experience implementing and validating the cybersecurity of hundreds of our nation’s most mission-essential information systems. As a CMMI 3 developer, we implement affordable strategies to embed security from the start, test controls, and provide remediation options to achieve acceptable levels of risk. We designed and implemented continuous monitoring strategies to ensure ongoing compliance is embedded in day-to-day activities. Our practical approach integrates best practices with sensible activities to ensure cybersecurity methods have sufficient rigor, yet are optimized for mission performance within budget.</t>
  </si>
  <si>
    <t>Yes</t>
  </si>
  <si>
    <t>* Defense Information Systems Agency (DISA)
* Department of the Navy SPAWAR Hosting Facility New Orleans
* Amazon Web Services (AWS)
* General Dynamics Information Technology (GDIT)
* Computer Sciences Corporation
* Department of Homeland Security Data Center 1 (CSC Government Solutions LLC)
* Department of Homeland Security Data Center 2 (HP Enterprise Services LLC)</t>
  </si>
  <si>
    <t>* ISO 27001
* CMMI Level 3-Development
* Department of the Navy Fully Qualified Navy Validator</t>
  </si>
  <si>
    <t>Cannot open web page</t>
  </si>
  <si>
    <t>Burr Pilger Mayer (BPM)</t>
  </si>
  <si>
    <t>Sumit Kalra</t>
  </si>
  <si>
    <t>3pao@bpmcpa.com</t>
  </si>
  <si>
    <t>Department of Homeland Security</t>
  </si>
  <si>
    <t>Keith Trippie</t>
  </si>
  <si>
    <t>https://community.max.gov/download/attachments/1116602815/ATO.Letter_Akamai_DHS_09.24.13.pdf?api=v2</t>
  </si>
  <si>
    <t>https://marketplace.fedramp.gov/img/logos/3PAO_logos/BPM%20Logo.jpg</t>
  </si>
  <si>
    <t>https://www.bpmcpa.com/Services/IT-Assurance</t>
  </si>
  <si>
    <t>* **San Francisco (HQ):**
600 California Street Suite 600, San Francisco, CA 94108
* **San Jose:**
60 South Market Street Suite 800, San Jose, CA 95113</t>
  </si>
  <si>
    <t>BPM's Information Technology Audit and Compliance Group provides comprehensive compliance counsel to emerging growth, late stage and private and public companies. Our team has extensive experience in Sarbanes Oxley (SOX), SOC 1, 2 and 3, ISO 27001/27018, HIPAA attestations and information security. BPM is the only company headquartered in California and only one in the country who is accredited to provide ISO 27001/27018, FedRAMP and SOC 1, 2 and 3 services collectively with one team.</t>
  </si>
  <si>
    <t xml:space="preserve">* Identify partially implemented and missing controls
* Validate implemented controls
* Perform walkthroughs of operations
* Confirm in-scope technology and supporting processes
* Review operational policies/procedures
* Review evidence of execution
Deliverables:
* Customized Control Matrix to address FedRAMP
* Evidence requirements associated with control matrix 
* A list of gaps/control deficiencies
</t>
  </si>
  <si>
    <t>Currently cannot share due to confidentiality agreements.</t>
  </si>
  <si>
    <t xml:space="preserve">* SOC1 (SSAE 16)
* SOC2 (AT 101) 
* ISO 27001/27002
* ISO 27018
* HIPAA
* Sarbanes Oxley (SOX)
* SOX 404
BPM is the only company headquartered in California who is ISO 27001, FedRAMP and SOC 1/SOC2 certified. </t>
  </si>
  <si>
    <t>FedRAMP reference found under IT Assurance</t>
  </si>
  <si>
    <t>https://s3.amazonaws.com/sitesusa/wp-content/uploads/sites/482/2015/03/Autodesk-logo-150x150.jpg</t>
  </si>
  <si>
    <t>Removed from Expired ATO list as A-130 applies to letter. (9/24/16)</t>
  </si>
  <si>
    <t>https://marketplace.fedramp.gov/img/logos/Agency_logos/Seal_of_the_United_States_Department_of_Homeland_Security.png</t>
  </si>
  <si>
    <t>FY13-004</t>
  </si>
  <si>
    <t>Amazon</t>
  </si>
  <si>
    <t xml:space="preserve">AWS US East/West </t>
  </si>
  <si>
    <t>IaaS, PaaS</t>
  </si>
  <si>
    <t>AGENCYAMAZONEW</t>
  </si>
  <si>
    <t>COACT, Inc.</t>
  </si>
  <si>
    <t>Brandon Ghrist</t>
  </si>
  <si>
    <t>Department of Health and Human Services</t>
  </si>
  <si>
    <t>Kevin Charest</t>
  </si>
  <si>
    <t>https://community.max.gov/x/DpBJK</t>
  </si>
  <si>
    <t>info@coact.com</t>
  </si>
  <si>
    <t>https://community.max.gov/download/attachments/956630881/MyUSAID%20Tibbr%20Certification%202017%20signed.pdf?api=v2</t>
  </si>
  <si>
    <t>AWS Compliance Team</t>
  </si>
  <si>
    <t>awscompliance@amazon.com</t>
  </si>
  <si>
    <t>www.aws.amazon.com</t>
  </si>
  <si>
    <t>Amazon US East/West is a multi-tenant public cloud for Federal, State and Local Government customers, as well as commercial customers, designed to meet a wide range of regulatory requirements, to include government compliance and security requirements. AWS leverages the Infrastructure-as-a-Service (IaaS) cloud computing model, which enables convenient, on-demand Internet access to a shared pool of configurable computing resources such as servers, storage, network infrastructure, and various other web services. Customers can rapidly provision or release computing resources on demand.</t>
  </si>
  <si>
    <t>ISSUE: Incorrect letter was scanned and put into this file. Have asked HHS for the correct letter. MATT: Leave letter for now until we hear from AWS</t>
  </si>
  <si>
    <t>https://marketplace.fedramp.gov/img/logos/CSP_logos/Amazon%20Logo.jpg</t>
  </si>
  <si>
    <t>https://marketplace.fedramp.gov/img/logos/3PAO_logos/COACT%20Logo.jpg</t>
  </si>
  <si>
    <t>https://marketplace.fedramp.gov/img/logos/Agency_logos/US-DeptOfHHS-Seal.png</t>
  </si>
  <si>
    <t xml:space="preserve">www.COACT.com/services/FedRAMP </t>
  </si>
  <si>
    <t>FY13-005</t>
  </si>
  <si>
    <t>AWS GovCloud</t>
  </si>
  <si>
    <t>9140 Guilford Rd, Suite N, Columbia, MD 21046</t>
  </si>
  <si>
    <t>https://s3.amazonaws.com/sitesusa/wp-content/uploads/sites/482/2016/08/United_States_Department_of_Defense_Seal.png</t>
  </si>
  <si>
    <t>AGENCYAMAZONGC</t>
  </si>
  <si>
    <t>COACT, Inc. is a Service Disabled Veteran Owned Small Business. 
Since 1990, COACT has evolved into a leading provider of high-reliance Governance, Risk, and Compliance (GRC) services across multiple frameworks to include:  FISMA, FedRAMP, SOX, HIPAA, ISO 27001, NIST SP 800-53, and NIST SP 800-171. In addition, COACT uniquely provides cost-effective Direct Engineering Support, Cyber Forensics, and Accredited Independent Testing. COACT has been a participant in the FedRAMP program since its inception and was one of the original certified Third Party Assessment Organizations (3PAOs). The COACT team of security, forensic, and compliance professionals conducts assessment activities using a combination of functional expertise and operational experience to ensure a consistent, accurate, and timely assessment process. With a thorough understanding of the FedRAMP security controls and NIST Risk Management Framework (RMF) overall, COACT professionals provide the services needed to assist Cloud Service Providers (CSPs) in obtaining an Agency or Provisional Authority to Operate (ATO).</t>
  </si>
  <si>
    <t xml:space="preserve">COACT leverages its quality system when providing consulting services to CSPs that require immediate support to improve their information security program and develop the appropriate documentation in preparation for the FedRAMP assessment and authorization process. COACT analysts are able to assist CSPs in the various phases of the system development life cycle in addition to migration to the cloud, if needed. COACT can assist in a wide spectrum of services including requirements analysis and traceability at the onset of the process to ensure developers keep in mind adherence to FedRAMP security controls. COACT can also document control implementations in the FedRAMP templates and develop those documents for which templates are not available. </t>
  </si>
  <si>
    <t>* Social Solutions Global
* SpringCM</t>
  </si>
  <si>
    <t>Government Community Cloud</t>
  </si>
  <si>
    <t>* Federal Information Security Management Act (FISMA) Consulting and Assessment
* Sarbanes-Oxley (SOX) Section 404 Consulting and Assessments
* ISO 27001:2013 Implementation and Assessments
* HIPAA - Covered Entities and Associates
* NIST SP 800-53 Consulting and Assessments
* NIST SP 800-171 Consulting and Assessments
* Digital Forensic Investigations
* eDiscovery &amp; Litigation Support</t>
  </si>
  <si>
    <t>Department of the Interior</t>
  </si>
  <si>
    <t>Francis Esquivel</t>
  </si>
  <si>
    <t>3809.01
A2LA Date is from Veris. 7/17/15 is Coalfire original A2LA Date</t>
  </si>
  <si>
    <t>https://community.max.gov/download/attachments/1113425425/ATO.Letter_AWSGC_DOI_07.19.13.pdf?api=v2</t>
  </si>
  <si>
    <t>Michael Carter</t>
  </si>
  <si>
    <t>3pao@coalfire.com</t>
  </si>
  <si>
    <t>Autodesk Cloud Services (A360)</t>
  </si>
  <si>
    <t>https://marketplace.fedramp.gov/img/logos/3PAO_logos/Coalfire%20Logo.jpg</t>
  </si>
  <si>
    <t>ISSUE: Need to get original May 13, 2013 (missing, see FY13-4) letter and confirm which AWS is referenced in this letter</t>
  </si>
  <si>
    <t>www.coalfire.com</t>
  </si>
  <si>
    <t>TBD2</t>
  </si>
  <si>
    <t>* 1900 Campus Commons Drive, Suite 300, Reston, VA 20191
* 11000 Westmoor Circle Suite 450, Westminster, CO 80021
* 1633 Westlake Avenue North Suite 100, Seattle, WA 98109
* 8820 Columbia 100 Parkway, Suite 401, Columbia, MD 21045
* 22630 Davis Drive Suite 225, Sterling, VA 20164
* 11120 NE 33rd Place, Suite 100 Bellevue, WA 98005</t>
  </si>
  <si>
    <t>https://marketplace.fedramp.gov/img/logos/Agency_logos/US-DeptOfTheInterior-Seal.png</t>
  </si>
  <si>
    <t>Coalfire provides FedRAMP 3PAO Assessment Support Services for any customer looking to have an external, independent third party assessment. Having performed the very first JAB, Agency, and CSP-Supplied (now defunct) assessments, we know what it takes to successfully assess small and large CSPs against the FedRAMP requirements. Our testers are industry certified and internally trained with our structured process to ensure everyone conducts their tests in the same manner. We are also well-versed in the FedRAMP Accelerated process, having conducted 2 of the first 3 through the program. The results of our Readiness Assessments for those CSPs helped shape the updated requirements for the Readiness Review process. Lastly, we successfully completed 2 of the first 3 FedRAMP High Baseline assessments. Our constant involvement in the FedRAMP program allows us to share internal lessons learned across our team to ensure everyone is up to date on the latest guidance and requirements. We are the 3PAO for 5 of the first 7 CSPs entering the initial FedRAMP Connect program.</t>
  </si>
  <si>
    <t>* BMC Remedy
* Carpathia/VMWare
* Datapipe
* Decision Lens
* HPE Helion
* Huddle
* IBM Fiberlink MaaS360
* Lockheed Martin
* Microsoft Parature
* Oracle Service Cloud (DOD)
* Oracle FMCS
* Softlayer
* Virtustream</t>
  </si>
  <si>
    <t>FY13-006</t>
  </si>
  <si>
    <t>Coalfire provides FedRAMP Advisory Support Services to customers who are interested in becoming FedRAMP certified. The level of support can vary, depending on the customer’s overall readiness. For those CSPs who are unfamiliar with the FedRAMP program or are new to the Federal space, we generally start with a Compliance Review to set a baseline for them to obtain a FedRAMP authorization and to determine where their gaps are with achieving compliance. For those CSPs who already understand the FedRAMP requirements, we conduct a technical engineering review to determine if the mandatory requirements for FedRAMP are in fact met. Depending on the need, we can provide additional vulnerability scanning support to ensure inventoried assets are properly patched and configured prior to the 3PAO assessment. Once the system is fully built and operational, our team works with the CSP to document the implementation of the security controls in the System Security Plan and complete the necessary attachments required for FedRAMP submission.</t>
  </si>
  <si>
    <t>Over 80 CSPs (Cannot disclose due to NDAs/contractual agreements)</t>
  </si>
  <si>
    <t>* 800-171
* CMS EDE
* CJIS
* CSA STAR
* GDPR
* HIPAA
* HITRUST
* IRS 1075
* ISO
* MARS-E
* PCI DSS
* PCI PA-DSS
* PCI P2PE
* PCI PA-P2PE
* SOC</t>
  </si>
  <si>
    <t>Website aligns with FedRAMP</t>
  </si>
  <si>
    <t>Dakota Consulting, Inc.</t>
  </si>
  <si>
    <t>Felece Whitfield</t>
  </si>
  <si>
    <t>3pao@dakota-consulting.com</t>
  </si>
  <si>
    <t>United States Transportation Command</t>
  </si>
  <si>
    <t>https://marketplace.fedramp.gov/img/logos/3PAO_logos/Dakota%20Consulting%20Inc%20Logo%202016.jpg</t>
  </si>
  <si>
    <t>www.dakota-consulting.com</t>
  </si>
  <si>
    <t>Sarah Zabel</t>
  </si>
  <si>
    <t>1110 Bonifant Street Suite 310, Silver Spring, MD 20910</t>
  </si>
  <si>
    <t>https://community.max.gov/x/ApBJK</t>
  </si>
  <si>
    <t>We have successfully completed a wide variety of security projects including:  assessment and authorization; enterprise and system risk management; creation of security program policy, procedures, and documentation; continuous monitoring; independent verification and validation; security training; gap assessments; requirements analysis; FISMA audit; information assurance; and additional activities in support of these broader services. Our expertise, staff certifications, and company credentials allow us to guide our customers’ cybersecurity strategies for maintaining cost effective programs for compliance with FedRAMP, FISMA, Office of Management and Budget (OMB), and other Federal civilian and Department of Defense (DoD) mandates.</t>
  </si>
  <si>
    <t>* OnWire.com
* EPAY Systems</t>
  </si>
  <si>
    <t>Autodesk A360 enables design and engineering centric project teams to work efficiently together in one central workspace.</t>
  </si>
  <si>
    <t>Dakota provides a comprehensive range of Cybersecurity Services. In an information age world, cyber strategies need to balance strict compliance with operational agility. Our focus is on providing our customers a rapid response that is both compliant and flexible. Our Cybersecurity staff maintain key industry certifications and Dakota is an accredited Federal Risk and Authorization Management Program (FedRAMP) Third Party Assessment Organization (3PAO). Our workforce understands the ever-expanding array of cybersecurity guidance and how to successfully tailor an implementation program to meet specific, unique requirements of various organizations.</t>
  </si>
  <si>
    <t>* Smartronix, Inc
* Acquia</t>
  </si>
  <si>
    <t>* ISO 9001 Registered Firm
* American Association for Laboratory Accreditation (A2LA) accredited (Certificate No. 3777.01) for Inspection Body under the ISO 17020:2012 Standard</t>
  </si>
  <si>
    <t>https://community.max.gov/download/attachments/1113425425/ATO.Letter_AWS.GC_DOD_08.16.13.pdf?api=v2</t>
  </si>
  <si>
    <t>FedRAMP reference found under Cybersecurity Services</t>
  </si>
  <si>
    <t>Deloitte &amp; Touche LLP</t>
  </si>
  <si>
    <t>Mark Masone</t>
  </si>
  <si>
    <t>fedramp@deloitte.com</t>
  </si>
  <si>
    <t>11/4/16: Made inactive due to the letter expiring.</t>
  </si>
  <si>
    <t>https://marketplace.fedramp.gov/img/logos/CSP_logos/Deloitte%20Logo.jpg</t>
  </si>
  <si>
    <t>https://marketplace.fedramp.gov/img/logos/Agency_logos/United_States_Department_of_Defense_Seal.png</t>
  </si>
  <si>
    <t>www.deloitte.com</t>
  </si>
  <si>
    <t>FY13-007</t>
  </si>
  <si>
    <t>1919 North Lynn Street, Arlington, VA 22209</t>
  </si>
  <si>
    <t>Leveraging cloud services to support core functions of a Federal agency’s extended enterprise plays a vital role in helping increase efficiency and drive performance. While the Cloud First Policy has evolved into a strategic initiative for Federal agencies, leveraging cloud service providers (CSPs) introduces new security risks and new challenges in maintaining compliance with FISMA requirements. Deloitte employs a risk-focused approach to support CSPs and Federal agencies in furthering the adoption of cloud services by:
* Determining FedRAMP readiness
* Helping to address FedRAMP compliance gaps
* Preparing FedRAMP artifacts
* Independently validating compliance with FedRAMP requirements</t>
  </si>
  <si>
    <t>Deloitte has provided various FedRAMP-related consulting services to commercial CSPs and Federal Cloud environments related to FedRAMP, including FedRAMP readiness assessments and FedRAMP documentation preparation.</t>
  </si>
  <si>
    <t>Available Upon Request</t>
  </si>
  <si>
    <t>* ISO 27001
* COBIT
* PCI
* HIPAA/HITECH
* SSAE 16 SOC1/2
* FISMA/RMF
* DIACAP
* NSA Certified Incident Response Assistance Accreditation</t>
  </si>
  <si>
    <t>Department of Transportation (DOT) Enterprise Services Center (ESC)</t>
  </si>
  <si>
    <t>Jerome Kemp</t>
  </si>
  <si>
    <t>ISS_Services@esc.gov</t>
  </si>
  <si>
    <t>https://marketplace.fedramp.gov/img/logos/3PAO_logos/DOT%20ESC%20Logo.jpg</t>
  </si>
  <si>
    <t>Millenium Challenge Corporation</t>
  </si>
  <si>
    <t>Gretchen Larimer</t>
  </si>
  <si>
    <t>https://community.max.gov/download/attachments/1113425425/ATO.Letter_AWS.GC_MCC_05.01.13.pdf?api=v2</t>
  </si>
  <si>
    <t>References the May 13, 2013 HHS letter</t>
  </si>
  <si>
    <t>http://www.esc.gov/iss.asp</t>
  </si>
  <si>
    <t>6500 South MacArther Boulevard, Oklahoma City, OK 73169</t>
  </si>
  <si>
    <t>https://marketplace.fedramp.gov/img/logos/Agency_logos/US-MillenniumChallengeCorporation-Seal.png</t>
  </si>
  <si>
    <t>ESC was the first federal organization accredited as a FedRAMP 3PAO. Our motto is security for Feds by Feds! The ESC's security teams have extensive work experience in IT, Federal Government and a variety of industries in the private sector. As a federal government agency, ESC is positioned &amp; understands your needs. The ESC provides the opportunity for federal organizations that have a cloud service information system, to use our certified/accredited independent FedRAMP 3PAO services to validate and verify their security posture and IT implementation.</t>
  </si>
  <si>
    <t>Axway, Inc.</t>
  </si>
  <si>
    <t>FY13-008</t>
  </si>
  <si>
    <t>AT&amp;T</t>
  </si>
  <si>
    <t>Storage as a Service</t>
  </si>
  <si>
    <t>F1206061367</t>
  </si>
  <si>
    <t>*Office of Management and Budget (OMB) MAX GSS
*Office of Management and Budget (OMB) MAX Shared Services
*Office of Management and Budget (OMB) MAX Budget
*Federal Aviation Administration (FAA) Enterprise Services Center (ESC) Cloud Enclave (ECE)
*Department of Commerce (DOC) National Technical Information Service (NTIS) FedRAMP Infrastructure System (NFIS)</t>
  </si>
  <si>
    <t>* ISO 9001
* ISO 17020</t>
  </si>
  <si>
    <t>Website claim is only Govt Owned 3PAO</t>
  </si>
  <si>
    <t>Earthling Security, LLC</t>
  </si>
  <si>
    <t>Yusuf Ahmed</t>
  </si>
  <si>
    <t>fedramp@earthlingsecurity.com</t>
  </si>
  <si>
    <t>https://marketplace.fedramp.gov/img/logos/3PAO_logos/Earthling%20Logo.jpg</t>
  </si>
  <si>
    <t>Syncplicity</t>
  </si>
  <si>
    <t>www.earthlingsecurity.com</t>
  </si>
  <si>
    <t>7925 Jones Branch Drive Suite 2175, Tysons Corner, VA 22102</t>
  </si>
  <si>
    <t>Earthling Security provides end-to-end cloud security, advisory and compliance services. Our services include FedRAMP Advisory Services, FedRAMP 3PAO Services, Cloud Strategy, Secure Cloud Migration Planning, Secure Cloud Architecture services, FedRAMP-as-a-Service™, Managed Security Services, Managed Compliance Service, AWS Security consulting, Microsoft Azure Security consulting, Cloud Security Consulting Services, Managed ISSO Service and regulatory compliance consulting.</t>
  </si>
  <si>
    <t>CTAC</t>
  </si>
  <si>
    <t>FedRAMP Planning and Strategy, FedRAMP Documentation and Preparation, FedRAMP Architecture services, FedRAMP Control Design for AWS and Azure, FedRAMP Gap Analysis, FedRAMP Readiness Assessments.</t>
  </si>
  <si>
    <t>* Acquia
* Esri
* GDIT
* Softlayer
* Pega Systems
* Virtustream
* Ntrepid
* NASA
* TGG
* Northrop Grumman
* Neustar
* United Healthcare
* CloudPassage
* CloudAware
* PhishMe</t>
  </si>
  <si>
    <t>Offers FedRAMP-as-a-Service; webpage predates 2012 and calls FedRAMP as pre-launch</t>
  </si>
  <si>
    <t>Emagine IT</t>
  </si>
  <si>
    <t>Martin Rieger</t>
  </si>
  <si>
    <t>3pao@eit2.com</t>
  </si>
  <si>
    <t>https://marketplace.fedramp.gov/img/logos/3PAO_logos/Emagine%20Logo.jpg</t>
  </si>
  <si>
    <t>www.eit2.com/services/federal-assessments/</t>
  </si>
  <si>
    <t>3040 Williams Drive Suite 400, Fairfax, VA 22031</t>
  </si>
  <si>
    <t>Emagine IT is an information technology services and consulting company based in the Washington, DC metropolitan area that specializes in delivering cost conscious, innovative solutions to meet the evolving business requirements of the clients we serve. As a FedRAMP accredited Third Party Assessment Organization (3PAO), Emagine IT is authorized to conduct independent security risk assessments for Cloud Service Providers (CSP). Emagine’s 3PAO services provide multiple levels of security assessment for CSP’s looking to comply with FedRAMP requirements. While many CSP’s set out to and achieve a Provisional Authority To Operate (P-ATO), others simply want to be held to the highest standard. With over 1,000 federal assessments based on NIST controls, EIT is ready to support your needs. We offer 3PAO services in Pre-Assessments, Assessments, Advisory, and Penetration Testing.</t>
  </si>
  <si>
    <t>FR1727552755</t>
  </si>
  <si>
    <t xml:space="preserve">Emagine IT provides expert advisory services that grant Cloud Service Providers everything that is needed to pass assessments and obtain/renew their ATOs. By leveraging our advisory services, Cloud Service Providers receive the guidance needed to refine security documentation and procedures.
Our advisory services can encompass various CSP systems and service models to ensure that timelines are defined and met, deficiencies in system architecture and policies are mended, understanding of FedRAMP controls and procedures is achieved, annual audits and ATO renewal process is smooth with dedicated continuous monitoring, all while following Emagine IT’s methodology proven to reduce time and cost.
Emagine IT will conduct readiness reviews to determine completion of deliverables and project timelines for FedRAMP package submissions.
</t>
  </si>
  <si>
    <t>* Complete Discovery Source (CDS)
* Cornerstone OnDemand
* Definitive Logic
* Fortinet
* MDRC
* Netspective
* Philips North America
* Philips Signify
* R&amp;K Solutions
* Scientific Consulting Group
* Symantec
* Unisys
* Veritone</t>
  </si>
  <si>
    <t>* DFARS
* DoD-RMF 
* FISMA
* RMF
* NIST 800-171</t>
  </si>
  <si>
    <t>Hybrid Cloud</t>
  </si>
  <si>
    <t>Claim that Emagine IT is A2LA accredited to ISO/IEC 17020:2012</t>
  </si>
  <si>
    <t>EmeSec Incorporated</t>
  </si>
  <si>
    <t>Maria Horton</t>
  </si>
  <si>
    <t>info@emesec.net</t>
  </si>
  <si>
    <t>https://marketplace.fedramp.gov/img/logos/3PAO_logos/Emesec%20Logo.jpg</t>
  </si>
  <si>
    <t>www.emesec.net</t>
  </si>
  <si>
    <t>14160 Newbrook Drive Suite 210, Chantilly, VA 20151</t>
  </si>
  <si>
    <t>As a 3PAO, EmeSec Incorporated delivers testing services.  Our objective capabilities, certified by A2LA, meet the FedRAMP PMO requirements.  We offer to our clients the ability to obtain subscriptions services at a discount in addition to initial 3PAO testing.  We have developed a unique offering for FedRAMP Ready as a 3PAO and as a small business, our testing services provide valuable feedback to the CSP including the plans of actions and milestones for continual improvement in the CSP continuous monitoring process.</t>
  </si>
  <si>
    <t>* Lookout MTP
* Bureau of Public Debt
* PDRI</t>
  </si>
  <si>
    <t>https://community.max.gov/x/aY5VJQ</t>
  </si>
  <si>
    <t xml:space="preserve">EmeSec has been solving complex security and engineering problems within the FISMA, NIST, OMB and regulatory compliance field for 13 years.  We deliver intuitive, adaptive, and smart solutions based on their unique risk tolerance, mission goals, and evolving technologies.  We help our clients protect their reputation and their growth engine through the power of security and compliance such as building comprehensive Information Security Programs. 
EmeSec is a recognized thought leader on cloud, Internet of Things (IoT), FedRAMP and IT security risk management including unique aspects of privacy, healthcare IT, and mobile.  EmeSec is often featured providing content and presentations for (ISC)2 and the Cloud Expo and IoT Summits as well as FCW and GovCon.  EmeSec upholds the highest standards for quality assurance and proven performance and holds ISO 9001:2008, ISO/IEC 20000-1:2011 and ISO/IEC 27001:2013 certifications. EmeSec is a Service Disabled Veteran Owned Small Business (SDVOSB), woman-owned small business (8m).  Communicate with us @EmeSec and @mariahorton or contact@emesec.net.
</t>
  </si>
  <si>
    <t>* IBM Fiberlink MaaS360
* Netcomm
* Blackline
* PDRI
* Raytheon
* BookingBug</t>
  </si>
  <si>
    <t>* ISO/IEC 27001:2013
* SOC in progress</t>
  </si>
  <si>
    <t>Department of Transportation</t>
  </si>
  <si>
    <t>Federal Aviation Administration</t>
  </si>
  <si>
    <t>Claims a "no-fail" track record for FedRAMP program</t>
  </si>
  <si>
    <t>https://community.max.gov/download/attachments/1116602812/P-ATO_ATT_07.18.13.pdf?api=v2</t>
  </si>
  <si>
    <t>Excentium, Inc.</t>
  </si>
  <si>
    <t>Colin Corlett</t>
  </si>
  <si>
    <t>3pao@excentium.com</t>
  </si>
  <si>
    <t>https://marketplace.fedramp.gov/img/logos/3PAO_logos/Excentium%20Logo.jpg</t>
  </si>
  <si>
    <t>Brian Levine</t>
  </si>
  <si>
    <t>fedramp@axway.com</t>
  </si>
  <si>
    <t>https://www.syncplicity.com/</t>
  </si>
  <si>
    <t>www.excentium.com</t>
  </si>
  <si>
    <t>3110 Fairview Park Drive Suite 250, Falls Church, VA 22042</t>
  </si>
  <si>
    <t>**Full - 3PAO Engagement**
* Security Assessment Plan (SAP) development
* Security Control Assessment (SCA)
* Security Control interviews
* Physical Security Assessment
* Compliance testing
* Penetration testing
* Security Assessment Report (SAR) development
* Security Assessment Package (SAP) submission</t>
  </si>
  <si>
    <t xml:space="preserve">**FedRAMP Preparedness/Assessment and Authorization (A&amp;A).**
Educate CSPs and other solution providers on the FedRAMP process. Perform gap assessment of existing offering including the technical and non-technical aspects of the process. Analyze non-cloud offering to guide organizations as to the activities and resource/technology investments necessary to provide capability via the cloud for Federal customers. Advice on both Federal Civilian and DoD requirements including the specifics assocated with providing Cloud Service Offering (CSO) the DoD customers. </t>
  </si>
  <si>
    <t>* CSC
* CSRA</t>
  </si>
  <si>
    <t>* NIST
* RMF</t>
  </si>
  <si>
    <t>Fred Keel</t>
  </si>
  <si>
    <t>DL-GSABPASWATTeam@att.com</t>
  </si>
  <si>
    <t>FedRAMP has one web page but no mention of assessments</t>
  </si>
  <si>
    <t>EY</t>
  </si>
  <si>
    <t>Bruce Hamilton</t>
  </si>
  <si>
    <t>fedramp@ey.com</t>
  </si>
  <si>
    <t>https://marketplace.fedramp.gov/img/logos/3PAO_logos/EY%20Logo.jpg</t>
  </si>
  <si>
    <t>Syncplicity by Axway provides an enterprise-grade file sync and share solution that gives users access to files anytime, anywhere and from any device. A rich and secure mobile, web and desktop experience enables internal and external collaboration, while giving IT the security, manageability, and control they need. 
Users demand modern solutions that make their work-life easier. They want the simplicity and usability of consumer cloud-based solutions, combined with the power and security of an enterprise-grade solution. Syncplicity replaces separate storage, cloud and backup solutions for every file, to increase worker productivity and decrease IT costs.
The Syncplicity policy-driven hybrid cloud offers customers a choice of storage location. Organizations can choose to have data on-premises, in the public cloud, private cloud and any combination, based on security and data protection requirements.</t>
  </si>
  <si>
    <t>www.ey.com</t>
  </si>
  <si>
    <t>8484 Westpark Drive, McLean, VA 22102</t>
  </si>
  <si>
    <t>EY has been serving the federal government with financial and technology audits for more than twenty years.  EY has conducted FISMA assessments for federal agencies and state governments.  EY conducts FedRAMP readiness capability assessments of CSPs to determine organizational readiness and where appropriate provides a roadmap for remediation.  EY prepares a database for the client to use in tracking controls compliance and remediation.  EY supports the full range of the 3PAO process from a readiness review through accreditation.</t>
  </si>
  <si>
    <t>Google</t>
  </si>
  <si>
    <t>EY advisory consulting services for FedRAMP include completing an initial capabilities assessment, developing a remediation road map and controls tracking database, conducting workshops to educate CSP FedRAMP teams on the FISMA and FedRAMP programs, drafting the required FedRAMP documents, and supporting CSP management through the accreditation process.  EY’s results as a proven 3PAO and FISMA assessor provides the experience and skills needed to support timely completion of the authorization assessment.</t>
  </si>
  <si>
    <t>* Cisco</t>
  </si>
  <si>
    <t>www.synaptic.att.com/clouduser/</t>
  </si>
  <si>
    <t>* ISO 27000
* SOC
* PCI Consulting</t>
  </si>
  <si>
    <t>There is only one reference to FedRAMP in "alphabet soup of federal organizations..."</t>
  </si>
  <si>
    <t>First Information Technology Services, Inc.</t>
  </si>
  <si>
    <t>Keith Paige</t>
  </si>
  <si>
    <t>fedramp@firstinfotech.com</t>
  </si>
  <si>
    <t>https://marketplace.fedramp.gov/img/logos/3PAO_logos/FITS%20logo.jpg</t>
  </si>
  <si>
    <t>AT&amp;T STaaS is a storage platform that enables an Agency to pay only for storage they use. STaaS provides elastic storage capacity on demand and allows the Agency to access their stored data from virtually anywhere and at any time. Protection and access to Agency data objects is accomplished using policy-based data storage. STaaS service administration is through a web-based portal enabling the Agency to easily manage their cloud-based storage resources. Access to the STaaS web portal is secured through two-factor authentication.</t>
  </si>
  <si>
    <t>https://marketplace.fedramp.gov/img/logos/CSP_logos/Axway%20Syncplicity%20Logo.jpg</t>
  </si>
  <si>
    <t>www.firstinfotech.com</t>
  </si>
  <si>
    <t>* 2461 South Clark Street Suite 660, Arlington, VA 22202
* 777 108th Avenue NE Suite 1850, Bellevue, WA 98004</t>
  </si>
  <si>
    <t>FY13-009</t>
  </si>
  <si>
    <t>Axway, Inc. - Syncplicity</t>
  </si>
  <si>
    <t>AT&amp;T Government Cloud</t>
  </si>
  <si>
    <t>As an accredited 3PAO, First Information Technology Services (First Info Tech) is able to perform security assessments for all CSPs that wish to be FedRAMP certified. First Info Tech utilizes experienced, knowledgeable security engineers to provide assessment services for CSPs quickly and thoroughly. First Info Tech also employs a skilled group of Offensive Security Certified Professionals (OSCP) to perform all needed penetration testing of the assessed system.  Due to our extensive experience working with the FedRAMP program since its inception, First Info Tech has a deep understanding of how to efficiently navigate the FedRAMP assessment and authorization process in partnership with the FedRAMP PMO and JAB or via an Agency-sponsored effort.</t>
  </si>
  <si>
    <t>First Info Tech has been a trusted advisor to CSPs since the inception of the FedRAMP program. First Info Tech works alongside CSP engineers, management, and security personnel to ensure FedRAMP compliance. First Info Tech provides engineering and compliance consulting services to globally-scaled CSP security programs. First Info Tech's subject matter experts have been instrumental in helping several CSPs achieve Provisional Authority to Operate. First Info Tech has also helped government agencies and task forces develop certain security requirements applicable to cloud service solutions. As a result, First Info Tech is uniquely qualified to explain and interpret the regulations that govern the cloud. Consulting services include the creation and update of technical and policy documentation, translation of compliance requirements into business actions, and guidance through the audit and certification process to ensure there are no surprises or delays.</t>
  </si>
  <si>
    <t>* Microsoft Azure for Government
* Microsoft Office 365
* Questionmark</t>
  </si>
  <si>
    <t>https://marketplace.fedramp.gov/img/logos/Agency_logos/768px-US-DeptOfTransportation-Seal.svg.png</t>
  </si>
  <si>
    <t>Claim as 3PAO as of 2/2015</t>
  </si>
  <si>
    <t>ByteGrid</t>
  </si>
  <si>
    <t>ByteGrid IaaS Platform</t>
  </si>
  <si>
    <t>FYRM Associates, Inc.</t>
  </si>
  <si>
    <t>Jeff Yestrumskas</t>
  </si>
  <si>
    <t>FR1720550106</t>
  </si>
  <si>
    <t>fedramp@fyrmassociates.com</t>
  </si>
  <si>
    <t>Private Cloud</t>
  </si>
  <si>
    <t>https://marketplace.fedramp.gov/img/logos/3PAO_logos/FYRM%20Logo.jpg</t>
  </si>
  <si>
    <t>Jason Silva</t>
  </si>
  <si>
    <t>https://community.max.gov/download/attachments/1155204077/ATO.Letter_ATTAGC_DOI_07.19.13.pdf?api=v2</t>
  </si>
  <si>
    <t>fedramp@bytegrid.com</t>
  </si>
  <si>
    <t>https://www.bytegrid.com/</t>
  </si>
  <si>
    <t>Schellman &amp; Company, LLC (formerly Brightline)</t>
  </si>
  <si>
    <t>www.fyrmassociates.com</t>
  </si>
  <si>
    <t>The ByteGrid IaaS Platform is a secure, compliant storage and compute private cloud infrastructure for Federal Agencies. The ByteGrid IaaS Platform consists of firewalls, switches, servers, network appliances, storage, virtualization software, anti-virus/security servers, and centralized logging systems. All of these components together comprise a private cloud environment suitable for all sizes of federal entities. The core makeup of the cloud is built to a specification that is easily scalable for smaller or much larger enterprise cloud computing needs. A significant feature of the ByteGrid IaaS Platform is that the hardware, security and compliance framework is setup to meet the needs of many different agencies with FedRAMP Requirements.
ByteGrid is a trusted and leading provider of highly secure and compliant solutions serving the most demanding requirements of enterprise and government customers, including those in the Federal, Life Sciences and Health IT industries. ByteGrid focuses on technology solutions and services that ensure that regulatory expectations are always met. ByteGrid’s robust, scalable and highly secure offerings in Colocation, Managed Hosting, Hybrid, Private and Community Cloud solutions as well as compliance services are delivered from an interconnected national platform of validated Tier 3 / 4 data centers. For more information visit www.ByteGrid.com.</t>
  </si>
  <si>
    <t>3030 N Rocky Point Drive W Suite 150, Tampa, FL 33607</t>
  </si>
  <si>
    <t>https://marketplace.fedramp.gov/img/logos/CSP_logos/Bytegrid%20Logo.jpg</t>
  </si>
  <si>
    <t>FYRM Associates is an information security professional services firm specializing in information security assessments, testing, and training.  As a 3PAO, FYRM performs assessments in support of FedRAMP requirements.  FYRM’s assessment approach is cooperative, ensures quality, and introduces efficiencies to reduce overall assessment time, effort, and costs – all while aiming to help CSPs receive Authority to Operate (ATO) as quickly as possible.</t>
  </si>
  <si>
    <t>ByteGrid - ByteGrid IaaS Platform</t>
  </si>
  <si>
    <t>Cirrus Insight</t>
  </si>
  <si>
    <t>GMS Registrar Ltd</t>
  </si>
  <si>
    <t>Jennifer Plass</t>
  </si>
  <si>
    <t>FR1722753016</t>
  </si>
  <si>
    <t>customerservice@gmsaudit.com</t>
  </si>
  <si>
    <t>https://marketplace.fedramp.gov/img/logos/3PAO_logos/GMS%20logo.jpg</t>
  </si>
  <si>
    <t>General Services Administration</t>
  </si>
  <si>
    <t>www.gmsaudit.com</t>
  </si>
  <si>
    <t>Robert Shields</t>
  </si>
  <si>
    <t>rshields@cirrusinsight.com</t>
  </si>
  <si>
    <t>www.cirrusinsight.com</t>
  </si>
  <si>
    <t>89 Alpha Park Drive, Highland Heights, Ohio 44143</t>
  </si>
  <si>
    <t>GMS Registrar is a Federal Risk Authorization and Management Program (FedRAMP) accredited Third Party Assessment Organization (3PAO) providing security assessments for Cloud Service Providers.</t>
  </si>
  <si>
    <t>FY13-010</t>
  </si>
  <si>
    <t>* ISO 9001:2015
* ISO 14001:2015
* OHSAS 18001:2007
* ISO 20000-1:2011
* ISO 22001:2005
* ISO 27001:2013
* CMMI Services
* CMMI Dev</t>
  </si>
  <si>
    <t>Autonomic Resources a wholly-owned subsidiary of CSRA LLC</t>
  </si>
  <si>
    <t>LBMC, PC</t>
  </si>
  <si>
    <t>CSRA / ARC-P Cloud</t>
  </si>
  <si>
    <t>Cirrus Insight is an extension/plug-in that brings Salesforce into your inbox. You'll see instant Salesforce intelligence next to every email in your inbox. And you'll be able to create and update Leads, Contacts, Accounts, Opportunities, Cases, Tasks, and more (even custom objects) right from your inbox.</t>
  </si>
  <si>
    <t>Website offers a pdf of the IAR certificate</t>
  </si>
  <si>
    <t>F1206141381</t>
  </si>
  <si>
    <t>Grant Thornton, LLP</t>
  </si>
  <si>
    <t>https://s3.amazonaws.com/sitesusa/wp-content/uploads/sites/482/2017/05/Cirrus-Insight-Logo.jpg</t>
  </si>
  <si>
    <t>John O'Brien</t>
  </si>
  <si>
    <t>3pao@us.gt.com</t>
  </si>
  <si>
    <t>https://marketplace.fedramp.gov/img/logos/3PAO_logos/Grant%20Thornton%20Logo.jpg</t>
  </si>
  <si>
    <t>http://www.grantthornton.com/fedramp</t>
  </si>
  <si>
    <t>* 2001 Market Street Suite 700, Philadelphia, PA 19103
* 333 John Carlyle Street # 500, Alexandria, VA 22314
* 101 California Street, San Francisco, CA 94111</t>
  </si>
  <si>
    <t>Grant Thornton is an A2LA accredited organization working with federal agencies and cloud service providers in meeting FedRAMP requirements and implementing an adequate security assessment and continuous monitoring plan. As a 3PAO, Grant Thornton uses our extensive audit experience to assess compliance with FedRAMP requirements. In addition to FedRAMP, Grant Thornton regularly performs several types of audits and attestations including Office of Inspector General (OIG) FISMA performance audits, Security Assessment &amp; Authorization (SA&amp;A) and SOC 2/3 reports.</t>
  </si>
  <si>
    <t>Grant Thornton’s advisory practice is a global management and technology consulting practice providing responsive and innovative information technology and cybersecurity, performance transformation, and financial management and audit services to serve commercial and public sector clients at the federal, state, and local levels. Grant Thornton has experience and expertise in providing support for a variety of audits, assessments, and readiness reviews for compliance with requirements such as FedRAMP, FISMA and OMB A-123 Management’s Responsibility for Internal Controls.</t>
  </si>
  <si>
    <t>Anaplan</t>
  </si>
  <si>
    <t>* PCI
* SOC 2/3
* HIPAA
* HITRUST
* Federal Information Security Management Act (FISMA)
* SOX
* Governance Risk and Compliance (GRC) Framework
* Control Objectives for Information and Related Technology (COBIT)</t>
  </si>
  <si>
    <t>Website offers FedRAMP Compliance Management</t>
  </si>
  <si>
    <t>Information Technology Company, LLC</t>
  </si>
  <si>
    <t>Manny Mangilit</t>
  </si>
  <si>
    <t>fedramp@itconline.com</t>
  </si>
  <si>
    <t>https://marketplace.fedramp.gov/img/logos/3PAO_logos/ITC,%20LLC%20Logo.jpg</t>
  </si>
  <si>
    <t>www.itconline.com</t>
  </si>
  <si>
    <t>High</t>
  </si>
  <si>
    <t>7389 Lee Highway Suite 210, Falls Church, VA 22042</t>
  </si>
  <si>
    <t>https://community.max.gov/x/bI5VJQ</t>
  </si>
  <si>
    <t>https://s3.amazonaws.com/sitesusa/wp-content/uploads/sites/482/2016/08/GSAlogo.png</t>
  </si>
  <si>
    <t>ITC, LLC is an 8(a), Small Disadvantaged Business with over two decades of progressive experience with large-scale enterprise computing environments supporting both commerical and Federal Government clients. We understand that a proactive approach and a proven methodology for identifying and measuring risk is necessary to fully protect an organization's information and infrastructure. The experience we have gained from our work with federal government agencies and commercial entities alike has enabled us to create a knowledgebase which provides our entire team with up-to-date information on regulations, best practices, templates, tools , and rapidly changing and evolving cyber threats and vulnerabilities. These resources allow our staff to provide invaluable and unparalleled services to our clients. Moreover, this increased value is the cornerstone of ITC's success in delivering innovative alternatives and solutions to customers.</t>
  </si>
  <si>
    <t>ITC has a proven approach to providing advisory and assessment services by leveraging our deep understanding of various regulatory compliance frameworks (DIACAP, NIST RMF, and FedRAMP SAF). We offer the following services to assist federal agencies and CSPs in preparing for FedRAMP authorization:
* FedRAMP Readiness Assessment
* FedRAMP Advisory and Consulting Services
* 3PAO Assessment
* Continuous Monitoring
* Penetration Testing</t>
  </si>
  <si>
    <t>https://community.max.gov/download/attachments/1155204092/P-ATO_ARC-P_12.26.12.pdf?api=v2</t>
  </si>
  <si>
    <t>Citrix Systems, Inc.</t>
  </si>
  <si>
    <t>Citrix ShareFile</t>
  </si>
  <si>
    <t>F1610067950</t>
  </si>
  <si>
    <t>Rachel Askew</t>
  </si>
  <si>
    <t>rachel.askew@csra.com</t>
  </si>
  <si>
    <t>www.autonomicresources.com</t>
  </si>
  <si>
    <t>* NIST RMF
* ISO 17020</t>
  </si>
  <si>
    <t>As per Website, "We offer two distinct services for your needs: FedRAMP Consultation Services and FedRAMP Assessment Services."</t>
  </si>
  <si>
    <t>JD Biggs &amp; Associates, Inc.</t>
  </si>
  <si>
    <t>Maureen Price</t>
  </si>
  <si>
    <t>3pao@jdbiggs.com</t>
  </si>
  <si>
    <t>Autonomic Resources offers the ARC-P Government Community Cloud (GCC), ARC-P Government Private Cloud  (GPC), and ARC-P Secure Data Center (SDC) services from within the ARC-P FedRAMP JAB authorized Security Authorization Boundary.
**ARC-P GCC** provides agencies and government contractors physical or virtual machines in a shared government only cloud stack. ARC-P is a KVM based cloud system that assures interoperability and support for multiple hypervisor images. Agency virtualized images can be imported and exported from the ARC-P environment at agency request. ARC-P can support large numbers of agency virtual machines with the ability to scale services up and down according to agency customers’ varying requirements. ARC-P IaaS offers additional resources such as a virtual-machine disk image library, raw (block) and file-based storage, customer virtual network (CVN) separation at layer 2, firewalls, load balancers, public facing IP addresses, and software bundles. ARC-P IaaS supplies elastic compute resources on-demand from ARC-P compute pools installed in our CONUS only data centers. For cloud environment connectivity, agencies can use available ARC-P VPN solutions over the Internet or dedicated carrier clouds and circuits.
**ARC-P GPC** offers the same features as ARC-P GCC with additional logical and physical separation for private cloud environments that require a dedicated hardware stack.
**ARC-P SDC** (Secure Data Center) service provides agencies and government contractors secure IT system colocation services to assist with federal data center consolidation mandates along with their cloud first requirements. ARC-P SDC allows government customers to collocate their non-virtualized and legacy IT systems, as well as IT systems and private cloud stacks in which an agency or government contractor wishes to develop, deploy, and manage the full IT stack within the ARC-P FedRAMP JAB authorized Security Authorization Boundary, with the ability to leverage and inherit those ARC-P security controls that apply specifically to the physical environment and physical security of our facilities. Autonomic Resources is responsible for the physical security and physical environmental controls associated with each provided private cage and provides space, power, and any needed network cross-connects to other environments or circuits provided by the customer, to their hosted virtual environments within the ARC-P IaaS Government Community Cloud or ARC-P Government Private Cloud stacks. Data Center facility providers can engage Autonomic Resources for accreditation of their space under ARC-P SDC.</t>
  </si>
  <si>
    <t>https://marketplace.fedramp.gov/img/logos/3PAO_logos/JDBiggs%20Logo.jpg</t>
  </si>
  <si>
    <t>https://marketplace.fedramp.gov/img/logos/CSP_logos/ARC-P%20Logo.jpg</t>
  </si>
  <si>
    <t>www.jdbiggs.com</t>
  </si>
  <si>
    <t>12602 Bear Creek Terrace, Beltsville, MD 20705</t>
  </si>
  <si>
    <t>FY13-011</t>
  </si>
  <si>
    <t>JD Biggs &amp; Associates was incorporated in Maryland in April 2004 and is a security and privacy, veteran-owned small business. FedRAMP accredited 3PAO in May 2012. Working with CSP’s, Federal Agencies and other commercial applications, to include Software as a Service (SaaS), has provided our firm with experience that differentiates us from our competitors.  Core service offerings encompass:
* Preliminary and Full Assessments
* Package Development
* Penetration Testing / Social Engineering
* Continuous Monitoring 
Our firm is experienced in completing FedRAMP assessments on IaaS / PaaS / SaaS and these efforts, have resulted in the development of beneficial methodologies, in-house templates as-well-as lessons learned. These methodologies are in-house strategies for educating stakeholders and uniform approach to each assessment:
* Federal Risk and Authorization Management Program (FedRAMP)
* FedRAMP Penetration Testing 
* FedRAMP ConMon
* Federal Information Security Management Act (FISMA)
* FISMA ConMon
* Risk Management Framework (RMF)
* Health Insurance Portability and Accountability Act (HIPAA)
JD Biggs &amp; Associates performed and completed the security assessment for Dell Federal Services for Government (now MIS Sciences GovPoint) to achieve their Provisional Authorization to Operate (P-ATO) from the FedRAMP Joint Authorization Board (JAB).</t>
  </si>
  <si>
    <t>Dell Services for Federal Government</t>
  </si>
  <si>
    <t xml:space="preserve">JD Biggs &amp; Associates consulting services provide federal agencies and commercial organizations, a catalogue of security and privacy services for designing, developing and implementing enterprise / business unit’s security programs.  Core services include:
* Policies / Procedures / Plans development associated with individual systems, business units or enterprise level, incorporates federal / agency / CSP requirements.
* Boundary scoping defines the accreditation boundary, encompassing hardware / software and detailing the inventory of these components.
* Awareness &amp; Training (End-Users / Role Based) performed annually and tailored for enforcing CSP or agency requirements.
* Package Development / Analysis is the assembly of the security authorization package, in preparation for the 3PAO assessment.
* Penetration Testing / Social Engineering.
</t>
  </si>
  <si>
    <t>MIS Sciences Corporation</t>
  </si>
  <si>
    <t>* FISMA
* HIPAA</t>
  </si>
  <si>
    <t>Website offers a FedRAMP Methodology Chart 2016 12x18 SemiGloss $125</t>
  </si>
  <si>
    <t>KPMG, LLP</t>
  </si>
  <si>
    <t>Bruce Shim</t>
  </si>
  <si>
    <t>James DeVaul</t>
  </si>
  <si>
    <t>fedramp@citrix.com</t>
  </si>
  <si>
    <t>us-advfedramp@kpmg.com</t>
  </si>
  <si>
    <t>www.citrix.com</t>
  </si>
  <si>
    <t>https://community.max.gov/download/attachments/1155204092/ATO.Letter_ARCP_DOI_07.19.13.pdf?api=v2</t>
  </si>
  <si>
    <t>https://marketplace.fedramp.gov/img/logos/3PAO_logos/KPMG%20Logo.jpg</t>
  </si>
  <si>
    <t>https://home.kpmg.com/us/en/home.html</t>
  </si>
  <si>
    <t>ShareFile is a secure data sync and sharing service that allows IT to mobilize all enterprise data and empower user productivity anywhere. ShareFile seamlessly integrates with workflow tools such as Microsoft Outlook and provides a rich user experience on any device to enhance productivity.
Unlike consumer-style file sync and sharing tools, ShareFile provides management and control functionality that allows IT to deliver a secure service and store enterprise data in optimal locations to meet corporate data policies and unique compliance requirements. ShareFile is a powerful service that is simple for IT to implement and manage and to fully integrate with existing security infrastructure and policies.</t>
  </si>
  <si>
    <t>1676 International Drive, Mclean, VA 22012</t>
  </si>
  <si>
    <t>KPMG LLP provides 3PAO attestation services including FedRAMP Ready Gap Assessments and 3PAO security assessments.</t>
  </si>
  <si>
    <t>https://s3.amazonaws.com/sitesusa/wp-content/uploads/sites/482/2017/04/Citrix-ShareFile-Logo1.jpg</t>
  </si>
  <si>
    <t>KPMG LLP provides 3PAO readiness services including performing gap assessments, providing remediation recommendations, and developing system security plans and supporting authorization package documents.</t>
  </si>
  <si>
    <t>Contact KPMG for more information</t>
  </si>
  <si>
    <t>SOC</t>
  </si>
  <si>
    <t>Website search for FedRAMP reveals "nothing found"</t>
  </si>
  <si>
    <t>Kratos SecureInfo</t>
  </si>
  <si>
    <t>https://s3.amazonaws.com/sitesusa/wp-content/uploads/sites/482/2016/08/DoS-Logo.png</t>
  </si>
  <si>
    <t>Jake Landers</t>
  </si>
  <si>
    <t>fedramp@kratossecureinfo.com</t>
  </si>
  <si>
    <t>CloudPassage</t>
  </si>
  <si>
    <t>Halo</t>
  </si>
  <si>
    <t>F1510077491</t>
  </si>
  <si>
    <t>https://marketplace.fedramp.gov/img/logos/3PAO_logos/Kratos%20SecureInfo%20Logo.jpg</t>
  </si>
  <si>
    <t>FY13-012</t>
  </si>
  <si>
    <t>CGI Federal</t>
  </si>
  <si>
    <t>CloudPassage Compliance Team</t>
  </si>
  <si>
    <t>www.kratossecureinfo.com</t>
  </si>
  <si>
    <t>fedramp@cloudpassage.com</t>
  </si>
  <si>
    <t>CGI IaaS Cloud</t>
  </si>
  <si>
    <t>www.cloudpassage.com</t>
  </si>
  <si>
    <t>F1206061350</t>
  </si>
  <si>
    <t>* 14130 Sullyfield Circle Suite E-1, Chantilly, VA 20151
* 211 North Loop 1604 East Suite 200, San Antonio, TX 78232</t>
  </si>
  <si>
    <t xml:space="preserve">CloudPassage® Halo® is an on-demand service that protects servers in any combination of data centers, private clouds and public clouds. Halo implements a comprehensive set of controls that continuously monitor the security posture of servers and cloud workloads and protect them from attack. Halo has been specifically designed to work efficiently in cloud environments. It uses minimal system resources, is delivered as a service, deploys in minutes, and scales on-demand. Halo enables more than 100 leading enterprises like Citrix, [Salesforce.com](http://www.salesforce.com). and Adobe to take advantage of modern infrastructure models that require automation, high rates of change and on-demand IT services. </t>
  </si>
  <si>
    <t>https://marketplace.fedramp.gov/img/logos/CSP_logos/CloudPassage%20Logo.jpg</t>
  </si>
  <si>
    <t>Kratos SecureInfo is one of the most experienced 3PAO assessment organizations in the market today. 
Core 3PAO services Include:
* FedRAMP Readiness Assessments
* FedRAMP Assessments
Kratos SecureInfo has extensive expertise in the skills needed to accurately assess complex cloud systems for FedRAMP compliance:
* Boundary and inventory examination
* Use and configuration of vulnerability scanning tools
* Penetration testing
* Examination of documentation and testing of controls
* Realistic scheduling and delivering on commitments
* Documenting detailed results in ATPs
* Aggregating results into a high quality SAR that accurately portrays the risk posture of the system
* Continuous monitoring services to provide additional assurance that requirements and quality measurements are achieved with consistent results
By leveraging this experience we provide cost effective assessment capabilities that result in a well-planned assessment with no surprises and reduced time to market.</t>
  </si>
  <si>
    <t>* Cisco WebEx SaaS
* Microsoft GFS IaaS
* Microsoft Azure PaaS (Moderate and High Baseline)
* Microsoft Office 365 ITAR
* CGI Federal Cloud IaaS
* Tibco Tibbr SaaS
* Arcanum Group Infor SyteLine ERP Suite SaaS
*COPT Connect, LLC powered by VAZATA Virtual  Federal Image IaaS
* Skyhigh Cloud Access Security Broker for Government SaaS</t>
  </si>
  <si>
    <t xml:space="preserve">Kratos SecureInfo has experience with some of the most complex and technically advanced systems in the market. By leveraging this past experience, we can provide detailed guidance on the FedRAMP program, which translates to quicker standup times and increased overall success. We start by first ensuring that your organization understands the requirements as we then look to translate them to compliant descriptions and formats. 
Core services include:
* FedRAMP gap assessments and 3PAO preparation
* FedRAMP document creation in FedRAMP templates
* System description and network architecture development and guidance
* Continuous monitoring program development
* Additional security services (vulnerability scanning, penetration testing, hardening, etc.) 
</t>
  </si>
  <si>
    <t xml:space="preserve">* Amazon Web Services East/West IaaS
* Amazon Web Services GovCloud IaaS
* Proofpoint SaaS
* CompuSearch SaaS
* Blackboard SaaS
* Infor SaaS
</t>
  </si>
  <si>
    <t>Aligns with FedRAMP. Website offers a FedRAMP for Cloud Computing Course $1500, 3 days</t>
  </si>
  <si>
    <t>https://community.max.gov/x/VJM5JQ</t>
  </si>
  <si>
    <t>https://community.max.gov/download/attachments/1116602747/P-ATO_CGI_01.31.13.pdf?api=v2</t>
  </si>
  <si>
    <t>Lazarus Alliance, Inc.</t>
  </si>
  <si>
    <t>John Nemoto</t>
  </si>
  <si>
    <t>Michael Peters</t>
  </si>
  <si>
    <t>3pao@LazarusAlliance.com</t>
  </si>
  <si>
    <t>federalcloud@cgifederal.com</t>
  </si>
  <si>
    <t>www.cgi.com</t>
  </si>
  <si>
    <t>CGI delivers centralized, simplified, highly secure and fully managed solutions specifically designed to support Federal agencies, local and state governments, and tribal organizations needs. solution-focused services such as web content management solutions, content delivery network solutions, and co-location–enabling side-by-side hosting of virtualized and physical environments to meet transactional and/or specialized performance requirements.
CGI DIFFENTIATORS
- FedRAMP P-ATO and DISA P-ATO
- High-touch, customer-centric service model with global presence
- Business-centric analysis and transition planning
- Automated cloud service management via secure portal
- Enabling IT professional services to meet business and mission needs
- Continental United States (CONUS) data centers staffed by U.S. citizens
- Flexible, secure cloud infrastructure designed and built for government
- Standards-based cloud technology supports interoperability</t>
  </si>
  <si>
    <t>CloudPassage - Halo</t>
  </si>
  <si>
    <t>https://marketplace.fedramp.gov/img/logos/CSP_logos/CGI%20Federal.jpg</t>
  </si>
  <si>
    <t>https://marketplace.fedramp.gov/img/logos/3PAO_logos/Lazarus%20Logo.jpg</t>
  </si>
  <si>
    <t>https://lazarusalliance.com</t>
  </si>
  <si>
    <t>27743 N. 70th Street, Suite 100, Scottsdale, Arizona 85266</t>
  </si>
  <si>
    <t>Lazarus Alliance provides FedRAMP advisory and assessment services for public, private, community, and hybrid cloud service offerings, including Software as a Service (SaaS), Platform as a Service (PaaS) and, Infrastructure as a Service (IaaS).</t>
  </si>
  <si>
    <t>Founded in 2000, Lazarus Alliance’s primary purpose is to help the global business community attain, maintain, and demonstrate compliance and information security excellence, in any jurisdiction. Lazarus Alliance specializes in IT Security, Audit &amp; Compliance, IT Risk Assessment &amp; Management, Governance &amp; Policies, and Cyberspace law leadership solutions and is fully dedicated to global success in these disciplines. Contact us and learn more about Lazarus Alliance and why Lazarus Alliance is Proactive Cyber Security™!
With significant contributions and innovations such as the IT Audit Machine®, The Policy Machine®, Cybervisor®, Continuum GRC®, SafetyNET®, the Holistic Operational Readiness Security Evaluation (HORSE Project)®, the Security Trifecta®, Your Personal CXO® and other progressive initiatives, it’s no wonder that Lazarus Alliance has become a leading international name synonymous with incorruptible leadership, meaningful services, exceptional customer support and tangible innovations specifically to prevent damage to our clientele’s organizations.
Lazarus Alliance is a proud veteran owned business.</t>
  </si>
  <si>
    <t>* PCI DSS &amp; SAQ
* FedRAMP
* HIPAA
* NIST-FISMA
* SSAE 16 (SOC 1)
* AT 101 (SOC 2)
* SysTrust / WebTrust (SOC 3)
* ISO 27001, 27002, 27005 (Advisory)
* NERC CIP
* SOX</t>
  </si>
  <si>
    <t>FY13-013</t>
  </si>
  <si>
    <t>Commission of Fine Arts</t>
  </si>
  <si>
    <t>Fredrick Lindstrom</t>
  </si>
  <si>
    <t>https://community.max.gov/download/attachments/1256457959/ATO.Letter_CGI.FC_USCFA_07.19.13.pdf?api=v2</t>
  </si>
  <si>
    <t>Coupa Software Inc.</t>
  </si>
  <si>
    <t>Coupa Cloud Spend Management Services</t>
  </si>
  <si>
    <t>F1308202329</t>
  </si>
  <si>
    <t>Thomas Lewis</t>
  </si>
  <si>
    <t>fedramp@lbmc.com</t>
  </si>
  <si>
    <t>Ashely Dale</t>
  </si>
  <si>
    <t>ashley.dale@coupa.com</t>
  </si>
  <si>
    <t>https://marketplace.fedramp.gov/img/logos/3PAO_logos/LBMC%20Logo.jpg</t>
  </si>
  <si>
    <t>www.coupa.com</t>
  </si>
  <si>
    <t>www.lbmc.com</t>
  </si>
  <si>
    <t>5250 Virginia Way, Brentwood, TN 37027</t>
  </si>
  <si>
    <t xml:space="preserve">LBMC Information Security separates itself from traditional information security firms by offering practical, cost-effective solutions that are customized to the CSP’s environment. We know FedRAMP and FISMA Auditing Requirements, and our experience in the government space has gained us a deep understanding of assessment methodologies and security requirements, allowing us to bring an unmatched team of resources to projects.
LBMC’s FedRAMP audit services include development of the Security Assessment Plan, FedRAMP test cases, execution of technical and document based testing and interviews, and documentation of all test results in the Security Assessment Report. LBMC works with each CSP to coordinate all aspects of the engagement including logistics for site visits, personnel interviews, and schedules for when testing/scans will be performed. Deliverables from LBMC will include the Security Assessment Report, all supporting test documentation, and artifacts that are required as part of the FedRAMP ATO package submission.
</t>
  </si>
  <si>
    <t xml:space="preserve">When it comes to FedRAMP readiness, advanced preparation and having the right partner is key. Partnering with LBMC means partnering with information assurance experts. As trusted advisors in the FISMA/FedRAMP space, LBMC has the expertise to identify gaps in policy, procedures, processes and technology required for successful FedRAMP certification. LBMC examines the information system’s environment, reviews required documentation and evaluates the CSP against FedRAMP criteria for determining readiness. LBMC also assists CSP’s with developing required documentation including the FedRAMP System Security Plan (SSP) and other associated required documentation in a way that will be acceptable to FedRAMP, thereby avoiding documentation issues later in the process.
Deliverables from the gap assessment include a completed FedRAMP System Security Plan, required policies and procedures, detailed recommendations and assistance with rapid remediation of outstanding issues. LBMC is uniquely qualified to assist CSP’s in every step of their FedRAMP certification journey.
</t>
  </si>
  <si>
    <t>* Druva
* CollabNet</t>
  </si>
  <si>
    <t>* HIPAA
* HITRUST
* PCI Data Security Standards
* Service Organization Control (SOC)
* SOX/COSO/COBIT
* FISMA/NIST
* FedRAMP Assessments
* CMS Information Security</t>
  </si>
  <si>
    <t>Coupa’s Cloud Spend Management SaaS product manages indirect purchases, invoices and expenses in real-time. Built on Coupa’s cloud architecture, it provides executive dashboards, alerts, expense management, and real-time benchmarking into a single user interface. This spend optimization software suite focuses on three core spend areas including procurement, accounts payable, and expense management.
Coupa customers use Coupa to manage procurement data that could impact a customer’s financial reporting and supply chain.  Coupa expense management is used for expense reporting, budgets, and auditing.  User entities are responsible for the setup and configuration of the service including workflow and reporting functions. Coupa’s procure-to-pay software is designed to give their customers significant advantages and a complete ownership of procurement transactions. In addition, Coupa Cloud supports integration with numerous third-party RTP, HR and CRM systems to support procurement, expense management, and invoicing management.</t>
  </si>
  <si>
    <t>Website offers a 27 page FedRAMP Guide, "Grow Your Own Business with FedRAMP"</t>
  </si>
  <si>
    <t>https://s3.amazonaws.com/sitesusa/wp-content/uploads/sites/482/2017/04/Coupa-Logo.jpg</t>
  </si>
  <si>
    <t>https://marketplace.fedramp.gov/img/logos/Agency_logos/United_States_Commission_of_Fine_Arts_-_seal.png</t>
  </si>
  <si>
    <t>Linford &amp; Company</t>
  </si>
  <si>
    <t>Ray Dunham</t>
  </si>
  <si>
    <t>fedramp@linfordco.com</t>
  </si>
  <si>
    <t>FY13-014</t>
  </si>
  <si>
    <t>https://marketplace.fedramp.gov/img/logos/3PAO_logos/Linford%20Logo.jpg</t>
  </si>
  <si>
    <t>CSC</t>
  </si>
  <si>
    <t>NX</t>
  </si>
  <si>
    <t>F1502126444</t>
  </si>
  <si>
    <t>https://linfordco.com/services/fedramp-compliance-certification/</t>
  </si>
  <si>
    <t>1550 Wewatta Street, 2nd Floor Denver, CO 80202</t>
  </si>
  <si>
    <t>Linford &amp; Company performs FedRAMP compliance assessments for Cloud Service Providers (CSP) seeking an Agency or Joint Authorization Board (JAB) Authorization to Operate (ATO). Such activities include (but are not limited to) the following:
- Pre-assessment/gap analysis of a CSP’s readiness for the FedRAMP process to include boundary definition review, documentation review and high-priority control implementation reviews
- Assessment planning and development of the Security Assessment Plan (SAP)
- Assessment/testing execution against the NIST 800-53 controls and FedRAMP control enhancements
- Assessment reporting and development of the final package for submission to the FedRAMP Program Management Office (PMO)/Federal Agencies (as applicable)
- Continuous monitoring of the system after achieving an ATO</t>
  </si>
  <si>
    <t>Federal Emergency Management Agency</t>
  </si>
  <si>
    <t>Linford &amp; Company personnel have extensive experience in developing security documentation, performing security engineering and testing activities, and successfully delivering highly complex systems to the federal government under NIST 800-53. Linford and Company will leverage this experience to assist you in achieving a FedRAMP authorization for your Cloud Service Offering (CSO).
Consulting Services include (but are not limited to) the following:
- FedRAMP gap assessment/assessment of CSP preparation to participate in the FedRAMP process with specific remediation recommendations
- Develop FedRAMP required documentation (from latest FedRAMP templates) including system description, network architecture, and data flow diagrams
- Design/develop Continuous Monitoring program (to include consulting on technical tools/automation to assist in the Continuous Monitoring process)
- Other security services/consulting as required/requested (e.g. patch management, system hardening, penetration testing, vulnerability scanning, etc.)</t>
  </si>
  <si>
    <t>Christos Skeadas</t>
  </si>
  <si>
    <t>christos.skeadas@fema.dhs.gov</t>
  </si>
  <si>
    <t>www.fema.gov</t>
  </si>
  <si>
    <t>N/A</t>
  </si>
  <si>
    <t>* System and Organization Control (SOC) Audits
* Health Insurance Portability and Accountability Act (HIPAA)
* Health Information Trust Alliance (HITRUST)
* Federal Information Security Management Act (FISMA)</t>
  </si>
  <si>
    <t>https://community.max.gov/download/attachments/1116602747/ATO.Letter_CGI.FC_DHS_08.20.13.pdf?api=v2</t>
  </si>
  <si>
    <t>Logyx, LLC</t>
  </si>
  <si>
    <t>Robert Dumais</t>
  </si>
  <si>
    <t>3pao@logyx.com</t>
  </si>
  <si>
    <t>https://marketplace.fedramp.gov/img/logos/3PAO_logos/Logyx%20Logo.jpg</t>
  </si>
  <si>
    <t>The NX Infrastructure-as-a-Service (NX IaaS) cloud system is a government-owned, contractor-managed General Support System (GSS) using VCE vBlock technology hosted entirely within two contractor data centers: CSC Norwich, Connecticut (Primary Host Facility) and CSC Newark, Delaware (Alternate Processing Facility). The system supports DHS/FEMA and future tenants by providing a platform on which to host major/minor applications using Windows-based and UNIX/Linux-based operating systems in a virtualized environment via VMware and relies upon Virtual Local Area Network (VLAN) isolation to separate tenants from one-another.
All system access to NX IaaS for authorized personnel is managed using a mixture of Smart Card authentication based upon Homeland Security Presidential Directive (HSPD)-12 requirements and Password Authentication in accordance with FedRAMP requirements.
CSC utilizes their Government Security Operations Center (GovSOC) to provide, but not limited to, the following services to support NX IaaS operations:
 - Network/Host Intrusion Detection &amp; Prevention Systems 
 - Security Incident &amp; Event Management (SIEM) 
 - Audit Log Storage &amp; Monitoring    
 - Vulnerability Scanning &amp; Alerting 
 - Security Incident Response Services
For more information about CSC and its services, visit [www.csc.com](http://www.csc.com/).</t>
  </si>
  <si>
    <t>www.logyx.com</t>
  </si>
  <si>
    <t>https://s3.amazonaws.com/sitesusa/wp-content/uploads/sites/482/2015/05/csc_rgb_pos-300x197.jpg</t>
  </si>
  <si>
    <t>425 North Whisman Avenue Suite 400, Mountain View, CA 94043</t>
  </si>
  <si>
    <t xml:space="preserve">Logyx™ was one of the first eight companies to achieve 3PAO accreditation by FedRAMP in May 2012. Logyx is authorized to provide FedRAMP-compliant security assessments to Cloud Service Providers (CSPs) wishing to become accredited for sale of services to the Federal Government.   Logyx prefers to focus on preparing organizations for audit performing training, preparation, readiness, and continuous assessment services to ensure the organization is prepared for an independent 3PAO audit and to support continuous assessment requirements. Logyx also provides FISMA and HIPAA compliance services.
</t>
  </si>
  <si>
    <t>Logyx™ is prepared to assist organizations in achieving compliance with FISMA and FedRAMP requirements by providing gap assessment, remediation assistance, training, and the creation of security policy and supporting documentation.  Logyx™ has provided extensive FISMA compliance consulting expertise to the Government since 2006. We offer a fully credentialed staff of Subject Matter Experts that are knowledgeable in all aspects of FISMA and HIPAA training, preparation, implementation, compliance, assessment, and continuous monitoring.</t>
  </si>
  <si>
    <t>Under Services - only FISMA and FedRAMP Compliance Services have child webpages. the rest of the website is potentially under construction.</t>
  </si>
  <si>
    <t>Lunarline, Inc.</t>
  </si>
  <si>
    <t>https://s3.amazonaws.com/sitesusa/wp-content/uploads/sites/482/2016/08/US-DeptOfHHS-Seal.png</t>
  </si>
  <si>
    <t>Jennifer Hawks</t>
  </si>
  <si>
    <t>fedramp@lunarline.com</t>
  </si>
  <si>
    <t>FY13-015</t>
  </si>
  <si>
    <t>https://marketplace.fedramp.gov/img/logos/3PAO_logos/Lunarline2%20Logo.jpg</t>
  </si>
  <si>
    <t>www.lunarline.com</t>
  </si>
  <si>
    <t>Platform as a Service (PaaS) Content Management Platform (CMP)</t>
  </si>
  <si>
    <t>* 3300 N Fairfax Drive, Suite 212, Arlington, VA 22201
* 1900 Founders Drive, Kettering, OH 45420</t>
  </si>
  <si>
    <t>PaaS</t>
  </si>
  <si>
    <t>F1606287909</t>
  </si>
  <si>
    <t>As one of the original FedRAMP-accredited 3PAOs, Lunarline is authorized to conduct assessments and report results to the FedRAMP PMO. Lunarline's team of expert assessors has conducted over 2,000 successful Security Assessments and Authorizations, using the same standards required by FedRAMP. No matter if the goal is a JAB P-ATO, Agency ATO, FedRAMP Ready, or Continuos Monitoring, we have mastered every piece of the compliance puzzle.
Lunarline's approach is designed to make the assessment process as painless and fair as possible. All testing is backed by detailed test plans developed in coordination with your team, and all requirements are clearly communicated, early in the process. We also take the time to understand your technical and business requirements, to give us the context we need to provide a fair assessment of security control implementation.</t>
  </si>
  <si>
    <t xml:space="preserve">* ActionNet (ActionNet Cloud),
* BroadSoft (BroadCloud for Government),
* CGS (FedGRID),
* Decision Lens (Decision Lens Software),
* HPE (Fortify on Demand),
* HPE (Enterprise Computing Solutions (Helion)),
* Smartronix (Workplace.gov Community Cloud),
* TrapWire (TrapWire),
* Verizon (Enterprise Cloud Federal Edition) 
</t>
  </si>
  <si>
    <t xml:space="preserve">Developing the necessary artifacts and evidence of FedRAMP compliance can be overwhelming. At the same time, authorization via FedRAMP is critical for CSPs interested in doing business with the Federal Government. Lunarline has the experience and expertise to assist. We provide a comprehensive suite of consulting services designed to help you implement a tailored, efficient, lasting security and compliance program. Leveraging our expertise as a 3PAO for numerous Agency and commercial organizations, we are the best to position you to successfully navigate the FedRAMP authorization process.
Lunarline's team of FedRAMP subject matter experts also provide direct support to CSP executives and business leadership teams in order to determine the resources necessary and develop project plans in order successfully meet FedRAMP guidelines based on budget constraints. Lunarline's goal is to ensure all CSPs have a chance to provide cloud services to the government in the most cost effective manner.
</t>
  </si>
  <si>
    <t>Multiple Iaas/PaaS/SaaS CSPs which we are not able to disclose due to NDAs and contractual agreements.</t>
  </si>
  <si>
    <t xml:space="preserve">* Federal Risk Management Framework (RMF)
* Risk Management Framework (RMF) for DOD IT 
* Department of the Navy Fully Qualified Navy Validator
* Federal Information Security Management Act (FISMA)
* Governance Risk and Compliance (GRC) Framework
* Health Insurance Portability and Accountability Act (HIPAA)/HITECH
* Safe Harbor/EUUS Privacy Shield Consulting
* ISO Advisory Services
* CERT Resiliance Management Model (CERT-RMM)
* Insider Threat Vulnerability Assessment (ITVA) 
* Operationally Critical Threat, Asset, and Vulnerability Evaluation (OCTAVE) </t>
  </si>
  <si>
    <t xml:space="preserve">Aligns </t>
  </si>
  <si>
    <t>Aligns with FedRAMP and advertises July 20, 2016 FedRAMP Symposium in DC</t>
  </si>
  <si>
    <t>MBL Technologies</t>
  </si>
  <si>
    <t>Danielle Shostal</t>
  </si>
  <si>
    <t>fedramp@mbltechnologies.com</t>
  </si>
  <si>
    <t>https://community.max.gov/download/attachments/1256457959/ATO.Letter_CGI_DOI_07.19.13.pdf?api=v2</t>
  </si>
  <si>
    <t>Aaron Stowell</t>
  </si>
  <si>
    <t>fedramp@ctacorp.com</t>
  </si>
  <si>
    <t>www.ctacorp.com</t>
  </si>
  <si>
    <t>CTAC’s PaaS CMP is an innovative solution to support customer’s needs in the areas of content and publishing APIs and overall content and taxonomy strategies.  The PaaS solution is sufficiently flexible to meet the unique needs of client web properties, as well as establishing infrastructure and building blocks for the future.  CTAC’s PaaS has a predictable cost model and provides a service-based architecture for internal and external web properties with both isolated and multi-tenant models, and provides a turnkey, on-demand, expandable, cloud-based platform.
The CTAC CMP is a single, integrated platform that has been developed to addresses client’s needs using extendable open source offerings that will not limit future capacity to a single Content Management System (CMS) vendor.  It is powered by an automated, container-based hosting infrastructure and a unified set of content services and metadata available to all web properties.  This homogenous and scalable architecture enables efficient migration and onboarding of web properties and the reuse of data structures, content, metadata, back-end services, and visualization components, while at the same time providing avenues for innovative content solutions across the full-spectrum of content management technology stacks.
The CTAC CMP is a unified platform solution with the ability to support multiple application framework products, as well as providing a forward-looking architecture to support the content engines of tomorrow. The CTAC CMP provides out-of-the-box API compatibility.  All open source and Commercial of the Shelf (COTS) technologies selected for the platform provide API developer- focused interfaces, and the core CMP has been developed to provide a content API that supports base content types, taxonomies, and a unified base search. The core CMP can be customized and configured to meet client’s needs.</t>
  </si>
  <si>
    <t>https://marketplace.fedramp.gov/img/logos/3PAO_logos/MBL%20LOGO.jpg</t>
  </si>
  <si>
    <t>FY13-016</t>
  </si>
  <si>
    <t>www.mbltechnologies.com</t>
  </si>
  <si>
    <t>1100 N Glebe Road Suite 1010, Arlington, VA 22201</t>
  </si>
  <si>
    <t>Federal Trade Commission</t>
  </si>
  <si>
    <t>**Pre-Assessment**: Review and/or create FedRAMP compliant system security documentation, to include but not limited to System Security Plan (SSP), Contingency Plan, and a Control Implementation Summary. These documents may also be leveraged in support of the organization’s Authorization to Operate (ATO). 
**Full Assessment**: Review all system documentation to ensure all NIST SP 800-53 and organizational security controls are in place. The assessors will interview necessary organizational staff to confirm policy implementation and gather applicable evidence. This will also include vulnerability and penetration testing of the environment. At the conclusion of this phase, the package will be submitted to either the sponsoring federal agency or the Joint Authorization Board (JAB).
**Continuous Monitoring**: Mitigate the assessment findings by working with system owners to update any policy or procedures that are non-compliant. MBL will also work with network administrators to recommend remediation processes for technical vulnerabilities. 
**Annual Assessment/Monthly Scanning**: Perform monthly scanning of the environment in support of the FedRAMP continuous monitoring requirements. This phase will also include an annual assessment of one-third of the information system’s security controls. 
**FedRAMP Readiness**: Conduct the readiness assessment, which would result in identified gaps for mitigation as an organization moves into the assessment preparation/pre-assessment phase.</t>
  </si>
  <si>
    <t>Margaret Mech</t>
  </si>
  <si>
    <t>Avue Technologies</t>
  </si>
  <si>
    <t>Supported NS2 in creating their FedRAMP document to include SSP, SOPs and Contingency Plan and Test. Provided Subject Matter Experts on system boundary, encryption and data flow options to satisfy requirements.</t>
  </si>
  <si>
    <t>NS2</t>
  </si>
  <si>
    <t>https://s3.amazonaws.com/sitesusa/wp-content/uploads/sites/482/2016/08/FinalLogoCTAC.png</t>
  </si>
  <si>
    <t>Website looks like FedRAMP is the only offering based on assisting HHS with original FedRAMP setup</t>
  </si>
  <si>
    <t>MindPoint Group, LLC</t>
  </si>
  <si>
    <t>https://community.max.gov/download/attachments/1116602747/ATO.Letter_CGI.FC_FTC_09.11.13.pdf?api=v2</t>
  </si>
  <si>
    <t>Samantha Dizor Carter</t>
  </si>
  <si>
    <t>fedramp@mindpointgroup.com</t>
  </si>
  <si>
    <t>https://marketplace.fedramp.gov/img/logos/3PAO_logos/MindPoint%20Logo.jpg</t>
  </si>
  <si>
    <t>www.mindpointgroup.com</t>
  </si>
  <si>
    <t>7800 Rose Garden Lane, Springfield, VA 22153</t>
  </si>
  <si>
    <t>Removed from Expired ATO list as A-130 applies to letter. (9/10/16)</t>
  </si>
  <si>
    <t>3PAO Pre-Assessment – For organizations with SSPs that are ready to start the FedRAMP process and are going through the FedRAMP JAB path this is the first step in that process. 
3PAO Assessment – Full, FedRAMP compliant assessment of your system.
Continuous Monitoring – FedRAMP requires that all FedRAMP complaint CSPs participate in continues monitoring with a 3PAO, this continuous monitoring includes a limited scope assessment, review of POA&amp;Ms and the corrective action responses.  This service also includes penetration testing.</t>
  </si>
  <si>
    <t>PowerTrain</t>
  </si>
  <si>
    <t xml:space="preserve">FedRAMP Readiness Assessment – A one week gap assessment of your  system to help gauge the level of effort required to get your system ready for a full FedRAMP assessment.
FedRAMP Readiness Consulting –  Designed to help you get your system ready for a full FedRAMP assessment.
</t>
  </si>
  <si>
    <t>GWAVA Cloud Services</t>
  </si>
  <si>
    <t>Dimension Data</t>
  </si>
  <si>
    <t>GWAVA Micro Focus</t>
  </si>
  <si>
    <t>* Federal Information Security Management Act (FISMA)
* Governance Risk and Compliance (GRC) Framework
* Control Objectives for Information and Related Technology (COBIT)
* International Organization for Standardization 27001 (ISO)
* PCI
* SOX</t>
  </si>
  <si>
    <t>F1610137952</t>
  </si>
  <si>
    <t>Website claim, "actively pioneering federal cloud for the world's largest cloud adoption program"</t>
  </si>
  <si>
    <t>NASA's Independent Verification &amp; Validation Program</t>
  </si>
  <si>
    <t>https://marketplace.fedramp.gov/img/logos/Agency_logos/US-FederalTradeCommission-Seal.png</t>
  </si>
  <si>
    <t>Keenan Bowens</t>
  </si>
  <si>
    <t>ivv-info@lists.nasa.gov</t>
  </si>
  <si>
    <t>United States International Boundary &amp; Water Commission</t>
  </si>
  <si>
    <t>https://marketplace.fedramp.gov/img/logos/3PAO_logos/NASA%20Logo.jpg</t>
  </si>
  <si>
    <t>FY13-017</t>
  </si>
  <si>
    <t>Dean Ormsby</t>
  </si>
  <si>
    <t>dormsby@gwava.com</t>
  </si>
  <si>
    <t>www.gwava.com</t>
  </si>
  <si>
    <t>http://www.nasa.gov/centers/ivv/home/index.html</t>
  </si>
  <si>
    <t>100 University Drive, Fairmont, WV 26554</t>
  </si>
  <si>
    <t>NASA's Independent Verification and Validation Program provides a wide range of independent software assurance and cybersecurity services. These services include software verification and validation, vulnerability assessments and penetration testing, static code analysis, testing and assessment of security controls, credible threats assessments, security training, and other cybersecurity services. These services are meant to assure mission critical software, provide confidence in the security posture of cloud systems, and help agencies and cloud service providers meet FedRAMP requirements.</t>
  </si>
  <si>
    <t>Railroad Retirement Board</t>
  </si>
  <si>
    <t>George Govan</t>
  </si>
  <si>
    <t>https://community.max.gov/download/attachments/1116602747/ATO.Letter_CGI.FC_RRB_09.30.13.pdf?api=v2</t>
  </si>
  <si>
    <t>y</t>
  </si>
  <si>
    <t>The Cadence Group</t>
  </si>
  <si>
    <t>Search reveals various white papers and Powerpoints about FedRAMP</t>
  </si>
  <si>
    <t>NCC Group Security Services, Inc.</t>
  </si>
  <si>
    <t>Jeff Roth</t>
  </si>
  <si>
    <t>Retain Cloud Archiving provides multi-platform unified cloud message archiving of multi-platform email, social media, and mobile communication data for case assessment, search, and eDiscovery in the cloud.
The Unified Cloud Archive is accessible by end users and administrators directly through the Web Access Archive Viewer, an email plugin and the mobile app. This enables your organization to quickly access, search, and audit archived communication data. Easily place litigation holds, print, forward, save, redact, and export your message data. Retain Cloud Archiving reduces cost, mitigates risk, and manages complexity in the cloud.
Five Unique Features of Retain Cloud Archiving:
1. Retain provides customers a private cloud within our data centers, through our Cloud Providers, or Public Cloud Infrastructure. These options are available globally to meet geographic specific standards and requirements for data storage.
2. The Retain Archive can be accessed, browsed, and searched directly within the end-user’s email client, the Retain mobile app, through a browser-based web access client, through the Offline Archive Viewer. Additionally, archived data can be exported to a portable stand-alone archive viewer.
3. Retain Cloud Archiving offers enhanced granular archiving by taking advantage of the Microsoft Recoverable Items Folder or impersonation, and is not just limited to journaling.
4. eDiscovery and case management is built-in, and is not an add-on or additional cost.
5. Built-in Smart, Confidential &amp;amp; Rule-based Tagging, allows for custom, searchable message tagging from within the archive.</t>
  </si>
  <si>
    <t>fedramp@nccgroup.trust</t>
  </si>
  <si>
    <t>Removed from Expired ATO list as A-130 applies to letter. (9/30/16)</t>
  </si>
  <si>
    <t>https://marketplace.fedramp.gov/img/logos/3PAO_logos/NCC%20Group%20Logo.jpg</t>
  </si>
  <si>
    <t>https://marketplace.fedramp.gov/img/logos/CSP_logos/GWAVA%20Logo.jpg</t>
  </si>
  <si>
    <t>http://www.nccgroup.trust</t>
  </si>
  <si>
    <t>48 West 25th Street, Fourth Floor, New York, New York 10010</t>
  </si>
  <si>
    <t>https://marketplace.fedramp.gov/img/logos/Agency_logos/Railroadretirementboardlogo-color.png</t>
  </si>
  <si>
    <t>NCC Group Security Services, Inc. provides independent 3PAO assessment services for Cloud Service Provider (CSP) systems, (IaaS, PaaS, SaaS), through the JAB P-ATO, Agency ATO, CSP Ready and FedRAMP Accelerated and Tailored processes.  Our team of security professionals have years of prior USG and DoD cybersecurity experience ranging from highly complex and integrated research and development projects to assessments of the most current cloud architectures.
Our security professionals employ a fully integrated assessment approach to ensure comprehensive testing and assessment/discovery.  This approach minimizes duplication of effort, while driving efficiently and effectively through the required test cases and technical testing activities.  We ensure transparency in planning, testing and reporting from initiation meetings through completion of the SAP, Test Cases and SAR.</t>
  </si>
  <si>
    <t xml:space="preserve">NCC Group Security Services, Inc. provides FedRAMP advisory/consulting services ranging from initial Cloud Service Provider (CSP) FedRAMP application through assiting CSPs with on-going continuous monitoring and updates to System Security Plans and supporting processes.  Our security professionals have the experience, skills and knowledge get things right the first time – from System Authorization Boundary definition and documentation through development of the System Security and Continuous Monitoring plans.  We also assist in developing maintaining supporting CSP policies and procedures necessary to support ongoing compliance
Our team of security professionals, stand ready to support CSPs in reaching their FedRAMP goals and working through process and technical challenges. </t>
  </si>
  <si>
    <t>* PCI DSS
* P2PE
* PA-DSS</t>
  </si>
  <si>
    <t>https://marketplace.fedramp.gov/img/logos/Agency_logos/International_Boundary_and_Water_Commission_logo.jpg</t>
  </si>
  <si>
    <t>Network Specialty Group, Inc.</t>
  </si>
  <si>
    <t>Prasen Vasavada</t>
  </si>
  <si>
    <t>3pao@nsgi-hq.com</t>
  </si>
  <si>
    <t>https://marketplace.fedramp.gov/img/logos/3PAO_logos/NSG%20Logo.jpg</t>
  </si>
  <si>
    <t>HealthStream</t>
  </si>
  <si>
    <t>HealthStream Learning Center (HLC)</t>
  </si>
  <si>
    <t>FR1710057431</t>
  </si>
  <si>
    <t>FY13-018</t>
  </si>
  <si>
    <t>www.nsgi-hq.com</t>
  </si>
  <si>
    <t>John S. Stovall</t>
  </si>
  <si>
    <t>john.stovall@healthstream.com</t>
  </si>
  <si>
    <t>610 Professional Drive Suite 105, Gaithersburg, MD 20874</t>
  </si>
  <si>
    <t>www.healthstream.com</t>
  </si>
  <si>
    <t>Review CSP package including SSP, Configuration Management Plan, Contingency Plan, Incident Response Plan and Security Policies and Procedures. Perform Capability Assessment and create assessment report. Create Security Assessment Plan and security assessment test plan. Conduct Security Assessment testing including interviews, vulnerability scanning, penetration testing and security control evaluation. Create Security Assessment report. Provide high level briefing to CSP, FedRAMP PMO and JAB highlighting findings, mitigation, operational requirements and any identified problems or areas of concern. Provide continious monitoring services including review of CSP continious monitoring requirements, conduct assessment review of a sub-set of the CSP's security controls and conduct security assessment testing including interviews, vulnerability testing and penetration testing.
We provide the above services in a cost effective and timely manner. NSG has credentials such as ISO 27001:2015 and CMMI Level 3 certified 3PAO. This provides our customers assurance that we truly understand and embrace information security.</t>
  </si>
  <si>
    <t>The HealthStream Learning Center (HLC) is used to deliver the Heartcode program. HeartCode is the official, self-directed, comprehensive e-learning program from the AHA that uses eSimulation technology and Voice-Assisted Manikins to teach BLS, ACLS, and PALS in adherence to the AHA Guidelines.</t>
  </si>
  <si>
    <t>NSG 3PAO consulting services include the following: 
* Prepare/Review readiness package including System Security Plan (SSP), Configuration Management Plan, Contingency Plan, Incident Response Plan, and security policies and procedures.
* Perform Gap Analysis based on FedRAMP security Baseline including preparing/reviewing Control Implementation.
* Security Engineering including: Analysis of CSP's Cloud offering technical safeguards (based on FedRAMP security baseline), Concept of operations, Security Requirements and Compliance mapping. 
* Technical security engineering support developing and/or implementing CSP's Cloud Security Systems. Security  Operations threat analysis and testing including Vulnerability Scanning, Penetration Testing and Security Control evaluation.
* Post assessment support including Continuous Monitoring Services. 
* Review CSP Continuous Monitoring requirements, Incident Response and Change control.</t>
  </si>
  <si>
    <t>* Microsoft Azure
* Microsoft Office 365</t>
  </si>
  <si>
    <t>https://s3.amazonaws.com/sitesusa/wp-content/uploads/sites/482/2017/03/HealthStream-Logo.jpg</t>
  </si>
  <si>
    <t>* ISO/IEC 27001-2015</t>
  </si>
  <si>
    <t>Claims FedRAMP 3PAO - accreditation as an inspection body</t>
  </si>
  <si>
    <t>Paragon Technology Group, Inc.</t>
  </si>
  <si>
    <t>Greg Horine</t>
  </si>
  <si>
    <t>3pao@paragontech.net</t>
  </si>
  <si>
    <t>Immigration and Customs Enforcement</t>
  </si>
  <si>
    <t>Thomas Michelli</t>
  </si>
  <si>
    <t>https://s3.amazonaws.com/sitesusa/wp-content/uploads/sites/482/2016/08/Seal_of_the_United_States_Department_of_Veterans_Affairs_1989-2012.png</t>
  </si>
  <si>
    <t>https://marketplace.fedramp.gov/img/logos/3PAO_logos/Paragon%20Logo.jpg</t>
  </si>
  <si>
    <t>www.paragontech.net</t>
  </si>
  <si>
    <t>Hewlett Packard Enterprise</t>
  </si>
  <si>
    <t>Cloud File Management (CFM) for Public Sector</t>
  </si>
  <si>
    <t>* 723 Seibert Road Suite 1, Scott AFB, IL 62225
* 16701 Melford Boulevard Suite 350, Bowie, MD 20715
* 1934 Old Gallows Road Suite 350, Vienna, VA 22182</t>
  </si>
  <si>
    <t>F1412045756</t>
  </si>
  <si>
    <t>https://community.max.gov/download/attachments/1256457959/ATO.Letter_CGI_DHS_7.22.13.pdf?api=v2</t>
  </si>
  <si>
    <t>Paragon is fully equipped to assess cloud service providers undergoing FedRAMP certification. For those cloud service providers who want to provide services to the federal government, we can provide pre-assessments to give confidence going into the FedRAMP certification process. We also provide:
* Network Vulnerability assessments
* Physical Security Assessments
* User/Employee Security Awareness Training
* Security Program Development
* Disaster Recovery Planning
* IT Security Life Cycle Management
* Independent Verification &amp; Validation of Security Programs</t>
  </si>
  <si>
    <t>Paragon provides security analysis and pre-assessment security preparation services. Clients can choose from a menu of security services. Paragon provides a high quality staff, very competitive pricing, and is responsive to client timelines.
Our approach to security delivers a tangible return on investment by ensuring security and compliance are built into your environment from the beginning of its lifecycle and accurately assessing your system to help it gain accreditation. With Paragon, you receive the capability of a large company with the personalized customer service of a small company.</t>
  </si>
  <si>
    <t>Marilyn Hays</t>
  </si>
  <si>
    <t>fedramp@hpe.com</t>
  </si>
  <si>
    <t>http://h20195.www2.hpe.com/v2/getpdf.aspx/4aa5-4613enw.pdf</t>
  </si>
  <si>
    <t>Website claim, "fully equipped to assess cloud service providers undergoing FedRamp certification"</t>
  </si>
  <si>
    <t>Perspecta, Inc.</t>
  </si>
  <si>
    <t>LaTara Allen</t>
  </si>
  <si>
    <t>3PAO@perspecta.com</t>
  </si>
  <si>
    <t>https://marketplace.fedramp.gov/img/logos/3PAO_logos/Perspecta%20Logo.jpg</t>
  </si>
  <si>
    <t xml:space="preserve">HPE Cloud File Management for Public Sector is an on demand, secure enterprise file sharing and synchronization SaaS built from the Blackberry® Workspaces technology (formerly known as WatchDox by Blackberry). CFM allows users to securely store and access user-generated content (common office files and images) from any PC operating system and Apple, Android, Windows, and Blackberry phones and tablets in a manner that isolates the data from other system or user data. The secure content gateway encrypts and decrypts content with digital rights management (DRM) to assert specific-use controls on top of access control, such as copy prevention, expiration date, and remote delete. The customer administrator has full control over the data and the ability to remotely wipe data from devices. The service is fully managed by HPE. </t>
  </si>
  <si>
    <t>https://marketplace.fedramp.gov/img/logos/CSP_logos/HPE%20Logo.jpg</t>
  </si>
  <si>
    <t xml:space="preserve">9/27/2016: Made Inactive. New letter submitted as it is expired (FY16-120) </t>
  </si>
  <si>
    <t>Hewlett Packard Enterprise - Cloud File Management (CFM) for Public Sector</t>
  </si>
  <si>
    <t>https://perspecta.com/about-us/our-credentials</t>
  </si>
  <si>
    <t>* 15052 Conference Center Drive, Chantilly, VA 20151 (HQ)</t>
  </si>
  <si>
    <t>An organization that is now a part of Perspecta is an accredited Federal Risk Authorization and Management Program (FedRAMP℠) Third Party Assessment Organization (3PAO) for conducting security assessments for Cloud Service Providers (CSP).  Perspecta 3PAO provides security assessment services for cloud products and services to comply with FedRAMP requirements and achieve a Provisional Authority to Operate (P-ATO) certification from the FedRAMP Joint Authorization Board (JAB) or Authority to Operate (ATO) certification from specific federal agencies, which can be leveraged by all federal agencies. 
Services include:
1. FedRAMP Pre-Assessment Review and Gap Analysis
2. FedRAMP Ready Assessments
3. FedRAMP Security Assessments
4. FedRAMP Annual Assessments (including Continuous Monitoring)</t>
  </si>
  <si>
    <t>iSite, LLC
MAXIMUS Inc.</t>
  </si>
  <si>
    <t xml:space="preserve">As an advisor, Perspecta 3PAO assists organizations to develop understanding of the requirements, impacts to their business and best practice approaches to obtaining compliance or (FedRAMP or Agency) ATO certifications.
Services include:
1. FedRAMP Training for FedRAMP Requirements and ATO Process; Security Controls and Implementation Guidelines; System Categorization and Security Configuration; Documentation Package, Technical Writing and Continuous Monitoring Requirements
2. FedRAMP Authorization Document Package Development
3. Security Control Implementation Subject Matter Expertise
4. Cloud Cyber Testing, including full or targeted penetration testing
5. Classification Alignment for Accreditation Areas </t>
  </si>
  <si>
    <t>Sungard Availability Services, Inc</t>
  </si>
  <si>
    <t>* NIST 800-171
* FISMA</t>
  </si>
  <si>
    <t>Website claims, "FedRAMP will only review security assessment packages from CSPs that have been assessed by an accredited 3PAO."</t>
  </si>
  <si>
    <t>Quantech Services, Inc.</t>
  </si>
  <si>
    <t>Michael Adriano</t>
  </si>
  <si>
    <t>FedRamp-3PAO@quantechserv.com</t>
  </si>
  <si>
    <t>https://marketplace.fedramp.gov/img/logos/3PAO_logos/Quantech%20Logo.jpg</t>
  </si>
  <si>
    <t>www.quantechserv.com</t>
  </si>
  <si>
    <t>FY13-019</t>
  </si>
  <si>
    <t>DXC Technology</t>
  </si>
  <si>
    <t>DXC Cloud for Public Sector</t>
  </si>
  <si>
    <t xml:space="preserve">* **Corporate Headquarters:** 91 Hartwll Avenue, 3rd Floor
Lexington, MA 02421 - 781-271-9757
* **Colorado Office:** 1670 N. Newport Road Suite 360, Colorado Springs, CO 80916 - 719-622-6972
</t>
  </si>
  <si>
    <t>F1206131373</t>
  </si>
  <si>
    <t xml:space="preserve">We provide a multitude of FedRAMP and Cloud-related services, including:
* FedRAMP 3PAO Assessment Services 
* FedRAMP A&amp;A Package Preparation &amp; Security Testing 
* Cloud Security Advisory Gap Analysis Services 
* FedRAMP CONOPS Continuous Monitoring 
* Cloud Security Authorization Process Training 
</t>
  </si>
  <si>
    <t>Medallia</t>
  </si>
  <si>
    <t>Quantech provides expert consulting services in the areas of Cybersecurity, Information Assurance and the underlying disciplines Information Systems Security, Cloud Security and Cryptographic Engineering, integration and implementation.</t>
  </si>
  <si>
    <t xml:space="preserve">* ISO 9001 certified since May 2007 (Recently Recertified in 2014) 
* ISO 17025 certified with our IA Lab 
* Air Force Agent of the Certifying Authority (ACA) 
* Federal Risk and Authorization Management Process (FedRAMP) Third Party Assessment Organization (3PAO) Accredited 
* American Association for Laboratory 
* Accreditation (A2LA) accredited for Inspection Body under the ISO 17020:2012 standard </t>
  </si>
  <si>
    <t>https://community.max.gov/x/cKF3Jg</t>
  </si>
  <si>
    <t>RSM US, LLP</t>
  </si>
  <si>
    <t>Daimon Geopfert</t>
  </si>
  <si>
    <t>https://community.max.gov/download/attachments/1155203563/P-ATO_HPE.Helion_06.05.13.pdf?api=v2</t>
  </si>
  <si>
    <t>fedramp@rsmus.com</t>
  </si>
  <si>
    <t>Medallia GovCloud</t>
  </si>
  <si>
    <t>https://marketplace.fedramp.gov/img/logos/3PAO_logos/RSM%20Logo.jpg</t>
  </si>
  <si>
    <t>FR1711262842</t>
  </si>
  <si>
    <t>dxc-fedramp@dxc.com</t>
  </si>
  <si>
    <t>www.dxc.technology</t>
  </si>
  <si>
    <t>www.rsmus.com</t>
  </si>
  <si>
    <t>Department of Veterans Affairs</t>
  </si>
  <si>
    <t>DXC Technology Cloud for Public Sector (formerly HPE Helion) is a Hybrid, Community   Infrastructure-as- a-Service (IaaS) and Platform-as- a-Service (PaaS) cloud service offering designed around the FedRAMP Risk Management Framework to fulfill the NIST requirements for U.S. government agencies. This infrastructure and platform service offering is a highly secure, enterprise-class, cloud computing environment enabling government agencies, contractors and non-government organizations governed by federal regulations (e.g.: educational institutions, HIPAA-governed entities, and critical infrastructure) to operate in the cloud with greater agility and flexibility while adhering to rigorous security, privacy, and IT governance controls required by the federal government.
DXC Cloud for Public Sector consists of multiple components that can exist in a single cloud or operate within multiple clouds:
- Infrastructure-as- a-Service (IaaS): allows consumers to build and manage Windows or Linux servers to host system middleware or applications they install and manage themselves. The fast provisioning service enables users to choose virtual servers in a consumption- based model and to co-locate customer-owned physical devices such as RISC chipset servers or hardware security modules (MSM) in the same data center as their cloud servers.
- Platform-as- a-Service (PaaS): allows consumers to extend the shared security model and eliminate operational expenses associated with the management of operating systems, middleware, databases, and security. HPE manages client workloads, reducing the management burden and mitigating an overinvestment in infrastructure, while deploying new managed services securely within a FedRAMP-authorized environment.
- Disaster Recovery-as- a-Service (DRaaS): enables consumers to implement a disaster recovery capability to meet federal, state, and local requirements for contingency planning. This solution automatically collects and maintains complete images of the servers and network in their cloud, and can restore the entire cloud without client intervention. The managed service also includes assistance with disaster recovery planning and annual DR rehearsals. Government agencies can benefit from DXC’s service excellence and over 50 years of public sector experience, with a solution built from the ground up with security and best practices in mind. DXC hosts the service exclusively in auditable data centers in the continental United States, staffed by U.S. persons.
DXC Cloud for Public Sector complies with the following regulatory standards:
- FIPS 140-2 encryption (Federal Information Processing Standards 140-2 encryption)
- FedRAMP tailored CIS Level 1 configuration benchmarks (Center for Internet Security Level 1) 
- HIPAA/HITECH Security and Privacy (Health Insurance Portability and Accountability Act/ Health Information Technology for Economic and Clinical Health)
- ITAR (International Traffic in Arms Regulations)
- FERPA (Family Educational Rights and Privacy Act)
- PCI-DSS (Payment Card Industry Data Security Standard)
- FISMA (Federal Information Security Management Act)
- DIACAP/DIARMF (DoD Information Assurance Certification and  Accreditation Process/Defense Information Assurance Risk Management Framework)
- DoD Cloud Security Reference Guide (SRG) Information Impact level 2 (authorized 10/27/14)
For more information, visit our worldwide web site at [www.DXC.Technology](www.DXC.Technology).</t>
  </si>
  <si>
    <t>https://marketplace.fedramp.gov/img/logos/CSP_logos/DXC%20Logo.jpg</t>
  </si>
  <si>
    <t>1 S Wacker Drive Suite 800, Chicago, IL 60606</t>
  </si>
  <si>
    <t>Ruchi Gupta</t>
  </si>
  <si>
    <t>rgupta@medallia.com</t>
  </si>
  <si>
    <t>www.medallia.com</t>
  </si>
  <si>
    <t xml:space="preserve">RSM provides comprehensive FedRAMP 3PAO services and support for both federal government and commercial organizations. We leverage our extensive knowledge and experience with regulations to help you address any issues and develop a road map for your organization’s FedRAMP success. 
Attaining FedRAMP approval requires a potentially substantial investment of internal resources. Therefore, we begin with a preliminary gap analysis, providing your decision-makers with a clear picture of program costs, timelines, and internal resource demands to make an informed decision about whether to pursue FedRAMP operational authority. As an accredited 3PAO, our professionals provide assessment support services, including assessment planning, assessment and package testing (audit) and submission of the final assessment to the FedRAMP Program Management Office (PMO). In addition, our security analysts help educate your stakeholders about final assessment requirements, timelines and likely Authority to Operate (ATO) sponsor expectations (if applicable).
</t>
  </si>
  <si>
    <t>FY13-020</t>
  </si>
  <si>
    <t>IaaS &amp; PaaS</t>
  </si>
  <si>
    <t xml:space="preserve">If FedRAMP is the right choice for your organization, we offer several advisory services to help shape your program, including: 
* Development of specific required documents
* Full security authorization package development, with documentation review, security architecture review and implementation
* Effectiveness testing of your organizations’ vulnerability management program
* Vulnerability remediation support
* Implementation of security controls to satisfy FedRAMP requirements 
If you need additional assistance, we also offer full support for your FedRAMP program, including: 
* FIPS 199 and Control Implementation Summary development
* Design and development of system security, contingency, incident response and configuration management plans, as well as the privacy impact assessment, eAuthentication workbook, user guide, rules of behavior, and policies and procedures
* Ongoing support during 3PAO assessment
* Vulnerability scanning, penetration testing and security hardening
</t>
  </si>
  <si>
    <t>* PCI (QSAC and PA-QSAC)
* SOC (SOC 1, SOC 2, and SOC 3)
* HITRUST CSF</t>
  </si>
  <si>
    <t>On website, FedRAMP mentioned one time in a sentence -"FedRAMP is designed to manage risks in the cloud, and ensure proper controls and protocols are in place."</t>
  </si>
  <si>
    <t>Douglas Barbin</t>
  </si>
  <si>
    <t>fedramp@schellman.com</t>
  </si>
  <si>
    <t>https://community.max.gov/download/attachments/1256458086/ATO.Letter_HPEHelion_DOI_07.19.13.pdf?api=v2</t>
  </si>
  <si>
    <t>https://marketplace.fedramp.gov/img/logos/3PAO_logos/SchellmanLogo.jpg</t>
  </si>
  <si>
    <t xml:space="preserve">Medallia makes software that improves the customer experience. This is done by soliciting and capturing feedback from multiple channels, including social, digital and mobile touchpoints. The customer feedback is then combined with other relevant business data and analyzed with data science to uncover insights and drive actions. Finally, Medallia creates dashboards and workflows for every employee, specific to their role and responsibilities, so all customer feedback is acted upon to correct individual issues and drive process changes that ultimately improve the overall customer experience. </t>
  </si>
  <si>
    <t>www.schellmanco.com/fedramp</t>
  </si>
  <si>
    <t>4010 W Boy Scout Blvd Suite 600, Tampa, FL 33607</t>
  </si>
  <si>
    <t>Schellman &amp; Company, LLC is a global provider of assurance and compliance services.  Schellman is the first and only company in the world that is a licensed certified public accounting firm, a PCI Qualified Security Assessor (QSA) company, accredited ISO 27001 Certification Body, FedRAMP 3PAO, HITRUST, and CSA STAR assessor all within one legal entity.  Many clients leverage Schellman's services to meet more than one compliance objective with one vendor who can leverage multiple frameworks.  Due to its status as an independent certification body for ISO 27001, Schellman is a Type A FedRAMP 3PAO and only performs assessment services, and no consulting services.</t>
  </si>
  <si>
    <t>Complete:
* Acquia
* Box
* Proofpoint
In Process:
* AppDynamics
* DNANexus
* Equinix
* FireEye
* New Relic
* Okta
* Splunk
Taking over for ConMon
* Complete Discover Solutions
* Cornerstone OnDemand</t>
  </si>
  <si>
    <t>* SOC 1, 2, and 3 Examinations
* PCI DSS
* PCI PA-DSS
* PCI P2PE
* ISO 27001 (including ISO 27018/19)
* ISO 22301
* ISO 20000
* ISO 9001
* HITRUST
* HIPAA
* NIST/FISMA
* Cloud Security Alliance STAR (Attestation and Certification)</t>
  </si>
  <si>
    <t>FY13-021</t>
  </si>
  <si>
    <t>3/8/17: Made inactive as VA is not sponsoring CSPs for FedRAMP ATO</t>
  </si>
  <si>
    <t>Leidos</t>
  </si>
  <si>
    <t xml:space="preserve">Solutions as a Service (Solas) Community Cloud </t>
  </si>
  <si>
    <t>Website offers live chat with an expert</t>
  </si>
  <si>
    <t>https://s3.amazonaws.com/sitesusa/wp-content/uploads/sites/482/2017/02/Medallia-Logo.jpg</t>
  </si>
  <si>
    <t xml:space="preserve">SecureIT </t>
  </si>
  <si>
    <t>F1206081368</t>
  </si>
  <si>
    <t>David Trout</t>
  </si>
  <si>
    <t>fedramp@secureit.com</t>
  </si>
  <si>
    <t>https://marketplace.fedramp.gov/img/logos/3PAO_logos/SecureIT%20Logo.jpg</t>
  </si>
  <si>
    <t>www.secureit.com</t>
  </si>
  <si>
    <t>1818 Library Street Suite 500, Reston, VA 20190</t>
  </si>
  <si>
    <t>SecureIT is an experienced FedRAMP 3PAO with deep roots in both advisory and independent assessment.  We deliver full lifecycle FedRAMP solutions that are tailored for every customer, and for where they are in the FedRAMP lifecycle.  Our extensive experience with NIST and FISMA engagements means we know controls and control requirements, hurdles that organizations typically face with compliance, and how to leverage existing processes and artifacts to increase efficiency and lessen impact on key personnel.  Our CISA and CISSP consultants leverage their deep technical skills and industry knowledge to understand requirements, assess and evaluate security control implementation, and provide cost-effective recommendations when deficiencies are found.  As a 3PAO we have experience delivering Readiness Assessments (RAR) and full Assessments and for CSPs pursuing either an Agency ATO or a JAB P-ATO.</t>
  </si>
  <si>
    <t>* Veracode
* Monster Government Solutions</t>
  </si>
  <si>
    <t>SecureIT partners with CSP's to help them navigate the challenges of achieving FedRAMP compliance. Regardless of whether you have a dozen questions and are just beginning to investigate what FedRAMP means to you, or whether you are already in process and need some specific cloud security or documentation assistance, we can deliver practical, flexible FedRAMP expertise.  Our advisory services include boundary definition, cloud architecture, technical control or solution implementation, penetration testing, documentation development, readiness assessment and overall FedRAMP program management.</t>
  </si>
  <si>
    <t>Specific customer references can be provided upon request</t>
  </si>
  <si>
    <t xml:space="preserve">* ISO 27001
* SOC1, SOC2, SOC3
* NIST/FISMA
* HIPAA/HITECH
* HITRUST
* FISCAM
</t>
  </si>
  <si>
    <t>https://community.max.gov/x/AxXrJQ</t>
  </si>
  <si>
    <t xml:space="preserve">Offers ECMS to transform the FedRAMP guidance into a risk management program for the CSP. The ECMS has its own repository for documentation and follows the ECMS methodology for risk management.
</t>
  </si>
  <si>
    <t>Sera-Brynn, LLC</t>
  </si>
  <si>
    <t>https://community.max.gov/download/attachments/1155203731/P-ATO_LM_06.05.13.pdf?api=v2</t>
  </si>
  <si>
    <t>Heather Engel</t>
  </si>
  <si>
    <t>fedramp@sera-brynn.com</t>
  </si>
  <si>
    <t>Michelle Horn</t>
  </si>
  <si>
    <t>michelle.a.horn@leidos.com</t>
  </si>
  <si>
    <t>www.leidos.com</t>
  </si>
  <si>
    <t>Leidos SolaS-I Cloud is a secure government community cloud computing platform that enables multiple federal and state agencies to operate cloud computing programs or host applications in a cloud environment. SolaS Cloud is built to meet FISMA Moderate and FedRAMP certification requirements. SolaS offers Infrastructure as a Service (IaaS) Virtual Machine (VM) cloud services utilizing an on-demand pricing model to our federal and state agencies in a secure, managed hosting environment. A subscription-based service catalog is provided to government clients to address and augment their IT cloud requirements and deliverables.</t>
  </si>
  <si>
    <t>7/6/17: CSP moved from JAB to Agency. Changed path to Agency to keep dates on the Marketplace the same (6/6/13).</t>
  </si>
  <si>
    <t>FY13-022</t>
  </si>
  <si>
    <t>GovPoint</t>
  </si>
  <si>
    <t>https://marketplace.fedramp.gov/img/logos/3PAO_logos/Sera-Brynn%20Logo.jpg</t>
  </si>
  <si>
    <t>FR1708152002</t>
  </si>
  <si>
    <t>www.sera-brynn.com</t>
  </si>
  <si>
    <t>5806 Harbour View Blvd #204, Suffolk, VA 23435</t>
  </si>
  <si>
    <t xml:space="preserve">Sera-Brynn offers experienced, certified security consultants to conduct 3PAO audits under FISMA, FedRAMP, and PCI. Our experts conduct readiness assessments, initial and annual assessments to maintain authorization, drawing on extensive NIST and FISMA background.
</t>
  </si>
  <si>
    <t>https://community.max.gov/download/attachments/1256458223/ATO.Letter_Lockheed_DOI_07.19.13.pdf?api=v2</t>
  </si>
  <si>
    <t>Jeff Willis</t>
  </si>
  <si>
    <t xml:space="preserve">Sera-Brynn offers experienced, certified security consultants to prepare for compliance audits or to implement security frameworks including PCI, FedRAMP, and 23NYCRR500. Our experts assist with risk assessments, security policy development, security architecture development, incident response and forensics, and threat hunting.
</t>
  </si>
  <si>
    <t>* PCI</t>
  </si>
  <si>
    <t>govpoint@mis-sciences.com</t>
  </si>
  <si>
    <t>http://govpoint.cloud/</t>
  </si>
  <si>
    <t>TalaTek, LLC</t>
  </si>
  <si>
    <t>Baan Alsinawi</t>
  </si>
  <si>
    <t>3pao@talatek.com</t>
  </si>
  <si>
    <t>https://marketplace.fedramp.gov/img/logos/3PAO_logos/TalaTek%20Logo.jpg</t>
  </si>
  <si>
    <t>LBMC</t>
  </si>
  <si>
    <t>www.talatek.com</t>
  </si>
  <si>
    <t>A veteran-owned small business, GovPoint Cloud Services Platform as a Service (PaaS) provides a fast track to achieving the benefits of utilizing FedRAMP authorized cloud environments. With GovPoint managed infrastructure and platform services, including network administration and incident response measures, agencies can avoid time and resource constraints while quickly moving systems and applications to a secure cloud.  
GovPoint provides reduced infrastructure overhead PLUS reduced operational impact. Built on maintaining the most current knowledge base of industry best practices, security compliance standards and many years of real-world cloud migration experience, GovPoint delivers optimized cloud platforms customized to maximize agency cost efficiencies.
Setting up and maintaining a cloud environment involves myriad tasks such as virtual machine and network provisioning, operating system hardening and maintenance, security patch updates and firewall rules management. Ensuring that a platform is configured for optimal system performance can be complex. These responsibilities may be time consuming and become a definitive drain on internal resources, especially when factoring in potential knowledge gaps. GovPoint PaaS will take on those responsibilities. Management and administration of the infrastructure is a major component of the GovPoint platform layer, allowing organizations to concentrate on other pressing priorities. And when issues of any kind arise, the GovPoint team is always available for prompt, reliable resolution support.
GovPoint Cloud Services – Your Platform to Success.</t>
  </si>
  <si>
    <t>FY13-023</t>
  </si>
  <si>
    <t>12026 Hamden Court, Oakton, VA 22124</t>
  </si>
  <si>
    <t>https://marketplace.fedramp.gov/img/logos/CSP_logos/MIS%20Sciences%20Logo.jpg</t>
  </si>
  <si>
    <t>TalaTek helps partners make the FedRAMP process a stepping stone to success versus an obstacle that stands in your way. If you’re a CSP who feels ready to become an approved FedRAMP provider, TalaTek’s certified 3PAO services will help you conduct a fair and independent assessment of your systems so that you can seek an agency-sponsored ATO or JAB Provisional ATO. Our unparalleled expertise with the rigorous and unique requirements of the FedRAMP assessment process means we can provide a thorough and timely assessment that will identify any and all residual risk within an information system. We guide clients through the multiple layers of the submission process in order to obtain FedRAMP certification.</t>
  </si>
  <si>
    <t xml:space="preserve">We specialize in providing one-on-one advisory services to Cloud Service Providers working through the FedRAMP process. We help guide our partners through the multi-tiered steps of receiving an ATO through the FedRAMP process. Our goal is to ensure that our partners meet all FedRAMP security standards the first time, in order to reduce risk of delays and further operating costs. Our multi-faceted support program includes:
* Helping our partners understand FedRAMP standardization and compliance requirements, as well as the best-practice approaches to becoming FedRAMP-certified
* Providing an initial Gap Analysis to focus on potential areas of non-compliance
* Providing an in-depth control implementation review to identify and remediate potential areas of weakness, as well as gathering necessary artifacts to demonstrate control implementation
* Providing a thorough review of existing system documentation, and development of additional system documents, as required
* Providing a complete, step-by-step development of your system’s security authorization package.
</t>
  </si>
  <si>
    <t>* FedRAMP
* ISO
* PCI
* SOC
* FISMA
* DIACAP</t>
  </si>
  <si>
    <t>David Torok and Margaret Mech</t>
  </si>
  <si>
    <t>Website offers ECMS to transform the FedRAMP guidance into a risk management program for the CSP. The ECMS has its own repository for documentation and follows the ECMS methodology for risk management.</t>
  </si>
  <si>
    <t>Christian Hansen</t>
  </si>
  <si>
    <t>fedramp@thecadencegroup.com</t>
  </si>
  <si>
    <t>https://community.max.gov/download/attachments/1155203731/ATO.Letter_LM_FTC_09.12.13.pdf?api=v2</t>
  </si>
  <si>
    <t>NowForce</t>
  </si>
  <si>
    <t>https://marketplace.fedramp.gov/img/logos/3PAO_logos/Cadence%20Logo.jpg</t>
  </si>
  <si>
    <t>FR1719750553</t>
  </si>
  <si>
    <t>www.thecadencegroup.com</t>
  </si>
  <si>
    <t>United States Postal Service</t>
  </si>
  <si>
    <t>Assaf Shafran</t>
  </si>
  <si>
    <t>fedramp@nowforce.com</t>
  </si>
  <si>
    <t>www.nowforce.com</t>
  </si>
  <si>
    <t>TBD</t>
  </si>
  <si>
    <t>7/6/17: CSP moved from JAB to Agency. Changed path to Agency and changed Auth and Announcment date to keep dates on the Marketplace the same (6/6/13).</t>
  </si>
  <si>
    <t>* 750 East 9000 South, Sandy, UT 84094
* 1700 Montgomery Street 1st Floor, San Francisco CA, 94111</t>
  </si>
  <si>
    <t>NowForce offers [personal safety apps](http://www.nowforce.com/solution/features/), cloud-based [computer aided dispatch](http://www.nowforce.com/solution/features/?type=dispatching), and [mobile response tools](http://www.nowforce.com/solution/features/?type=responding) for any organization, enabling reduced response times, full situational awareness, and enhanced communications. Our comprehensive emergency response software and apps make it simple for agencies to locate personnel and people in distress and dispatch the closest available responder to any incident.</t>
  </si>
  <si>
    <t xml:space="preserve">The Cadence Group provides information security professionals with extensive IT auditing and penetration testing experience, specifically with cloud-based environments. With this experience and our 3PAO accreditation, we will work with you to perform an efficient, yet high-caliber evaluation of the relevant processes and controls related to the FedRAMP requirements. Efficiency is key as FedRAMP assessments are extensive, requiring a large committment of resources.
To execute the assessment, Cadence will leverge your SSP (System Security Plan) develop the SAP (Security Assessment Plan), conduct the assessment through the execution of security and penetration testing to support the SAR (Security Assessment Report), which will include a recommendation for authorization. Throughout the process, we will also provide meaningful feedback to mature your security position. </t>
  </si>
  <si>
    <t>We are comprised of both audit and compliance professionals, each with several years of experience. With our combined resources, we have significant experience in assisting and assessing the security of cloud-based environments across a multitude of requirements (e.g., SOC1, SOC2, PCI, HIPAA, and ISO27001). Specific to FedRAMP, we can work with cloud service providers to perform a series of services to help them prepare, including: 
* Assist with the scoping, including the preparation of data flow and system diagrams 
* Document the SSP (System Security Plan), policies or other application documents
* Perform a gap analysis over the FedRAMP requirements
* Execute vulnerability assessments and attack and penetration testing</t>
  </si>
  <si>
    <t>Zendesk</t>
  </si>
  <si>
    <t>FY13-024</t>
  </si>
  <si>
    <t>* PCI
* SOC</t>
  </si>
  <si>
    <t>MicroPact</t>
  </si>
  <si>
    <t xml:space="preserve">MicroPact Product Suite </t>
  </si>
  <si>
    <t>PaaS &amp; SaaS</t>
  </si>
  <si>
    <t>AGENCYMPS</t>
  </si>
  <si>
    <t>Building webpage for FedRAMP - not done yet</t>
  </si>
  <si>
    <t>https://marketplace.fedramp.gov/img/logos/CSP_logos/NowForce%20Logo.jpg</t>
  </si>
  <si>
    <t>NowForce - NowForce</t>
  </si>
  <si>
    <t>Department of Agriculture</t>
  </si>
  <si>
    <t>https://marketplace.fedramp.gov/img/logos/Agency_logos/USPS%20Logo.png</t>
  </si>
  <si>
    <t>National Appeals Division</t>
  </si>
  <si>
    <t>Steven Placek</t>
  </si>
  <si>
    <t>OnSolve</t>
  </si>
  <si>
    <t>https://community.max.gov/x/GgwdJg</t>
  </si>
  <si>
    <t>MIR3</t>
  </si>
  <si>
    <t>FR1720441474</t>
  </si>
  <si>
    <t>https://community.max.gov/download/attachments/777093308/ATO.Letter_MicroPact_USDA.NAD_03.28.13.pdf?api=v2</t>
  </si>
  <si>
    <t>www.micropact.com</t>
  </si>
  <si>
    <t>Dynamics Research Corporation</t>
  </si>
  <si>
    <t>ISSUE: It's not clear if this is an Agency Sponsoring or Leveraging Letter.  Also, this letter doesn't explictly reference Micropact but it was in the filename. Two different Micropact Agency Sponsoring letters exist -- FY14-20 and FY15-54.  Also, is this before FedRAMP? MATT: Keep in log, go back in info and see where they came from</t>
  </si>
  <si>
    <t>Cheryl Carmel</t>
  </si>
  <si>
    <t>fedramp@onsolve.com</t>
  </si>
  <si>
    <t>https://www.onsolve.com/</t>
  </si>
  <si>
    <t>https://marketplace.fedramp.gov/img/logos/CSP_logos/MicroPact%20Logo.jpg</t>
  </si>
  <si>
    <t>Price and Associates CPAs, LLC DBA A-LIGN</t>
  </si>
  <si>
    <t>**MIR3 Notification Software:** MIR3, a product of OnSolve, is a SaaS offering that allows users to easily notify and alert groups of any size about business interruptions, pending disaster or simply for day-to-day communication.  MIR3 is used for business continuity and disaster recovery, emergency notification, and to enhance efficiency and productivity throughout the enterprise.</t>
  </si>
  <si>
    <t xml:space="preserve"> </t>
  </si>
  <si>
    <t>https://marketplace.fedramp.gov/img/logos/CSP_logos/OnSolve%20Logo.jpg</t>
  </si>
  <si>
    <t>https://marketplace.fedramp.gov/img/logos/Agency_logos/US-DeptOfAgriculture-Seal2.png</t>
  </si>
  <si>
    <t>OnSolve - MIR3</t>
  </si>
  <si>
    <t>FY13-025</t>
  </si>
  <si>
    <t>OnWire</t>
  </si>
  <si>
    <t>OnCloud</t>
  </si>
  <si>
    <t>F1305072115</t>
  </si>
  <si>
    <t>Customs and Border Protection</t>
  </si>
  <si>
    <t>Kenneth Ritchhart</t>
  </si>
  <si>
    <t>Chonly Wang</t>
  </si>
  <si>
    <t>https://community.max.gov/download/attachments/777093308/ATO.Letter_MicroPact_DOI_06.06.14.pdf?api=v2</t>
  </si>
  <si>
    <t>operations@onwireco.com</t>
  </si>
  <si>
    <t>www.onwireco.com</t>
  </si>
  <si>
    <t>Status Key:</t>
  </si>
  <si>
    <t>OnCloud is an Identity and Access Management (IAM) Software as a Service (SaaS) Platform available to Federal Government and Commercial customers and designed to be hosted in a virtualized, cloud-computing environment. OnCloud user management capabilities include policy-based provisioning, workflow, reporting, auditing, recertification, and self-service.  OnCloud authentication and authorization services include single-sign-on, federation, and strong authentication.
OnCloud can be offered as an Identity Provider (IDP), Service Provider (SP), Broker, or Proxy on behalf of customers.
OnCloud is infrastructure agnostic and can be deployed in a customer’s infrastructure of choice.</t>
  </si>
  <si>
    <t>A2LA PoC: Ashley Kamauf</t>
  </si>
  <si>
    <t>8/15/16: New letter submitted (FY15-125) from DHS (MB)</t>
  </si>
  <si>
    <t>https://s3.amazonaws.com/sitesusa/wp-content/uploads/sites/482/2015/03/onwire-logo-150x150.png</t>
  </si>
  <si>
    <t>FY13-026</t>
  </si>
  <si>
    <t>Microsoft</t>
  </si>
  <si>
    <t>Azure Commercial Cloud</t>
  </si>
  <si>
    <t>Active - 3PAO is accredited by A2LA</t>
  </si>
  <si>
    <t>A2LA PoC Email: akamauf@a2la.org</t>
  </si>
  <si>
    <t>F1209051525</t>
  </si>
  <si>
    <t>In Transition - 3PAO has been grandfathered in for accreditation through R311C and still is considered active</t>
  </si>
  <si>
    <t>https://community.max.gov/x/Ko4TKQ</t>
  </si>
  <si>
    <t>Inactive - 3PAO has been deemed in active or has lost their accreditation through A2LA</t>
  </si>
  <si>
    <t>https://community.max.gov/download/attachments/1256458242/%20P-ATO_MS.Azure_09.27.13.pdf?api=v2</t>
  </si>
  <si>
    <t>Microsoft Azure FedRAMP Requests</t>
  </si>
  <si>
    <t>AzureFedRAMP@microsoft.com</t>
  </si>
  <si>
    <t>http://azure.microsoft.com/en-us/</t>
  </si>
  <si>
    <t>https://marketplace.fedramp.gov/img/logos/CSP_logos/Microsoft%20Logo.jpg</t>
  </si>
  <si>
    <t>Oracle</t>
  </si>
  <si>
    <t>Fusion Cloud</t>
  </si>
  <si>
    <t>F1603257882</t>
  </si>
  <si>
    <t>Nicholas Smith</t>
  </si>
  <si>
    <t>fedrampinfo_us@oracle.com</t>
  </si>
  <si>
    <t>www.oracle.com</t>
  </si>
  <si>
    <t>FY13-027</t>
  </si>
  <si>
    <t>The Oracle Fusion Cloud (OFC) is Oracle’s Software as a Service (SaaS) suite of Fusion Applications providing comprehensive financial, human resources, project management, procurement, and project management services. Oracle Fusion Cloud is deployed onto a robust, secure infrastructure hosting Oracle’s Fusion Applications and Middleware software in an environment accredited to FedRAMP-Moderate specifications. The Oracle Fusion Cloud is offered as a hosted cloud solution (i.e., operated and maintained by Oracle within its secure hosting environment at co-location facilities in the United States) providing customers with a modern, efficient, and secure cloud solution via a proven Software as a Service (SaaS) delivery model.  Customers can purchase some or all of the Fusion Applications and common application selections are grouped into Oracle Cloud Service offerings called the Oracle Customer Resource Management (CRM) Cloud, Oracle Enterprise Resource Planning (ERP) Cloud, and Oracle Human Capital Management (HCM) Cloud. The Oracle Fusion Cloud is hosted within the Oracle Government Cloud, a community-cloud limited to federal, state, and local agencies as well as select universities and federal contractors with a demonstrated need for FedRAMP-certified services. Access to the Oracle Government Cloud is restricted to United States citizens located within the United States or territories.</t>
  </si>
  <si>
    <t>https://community.max.gov/display/FedRAMPExternal/MS+Azure+JAB+Final+Approved+Package</t>
  </si>
  <si>
    <t>https://community.max.gov/download/attachments/1256458242/ATO.Letter_MS.Azure_DOI_09.10.13.pdf?api=v2</t>
  </si>
  <si>
    <t>https://marketplace.fedramp.gov/img/logos/CSP_logos/Oracle%20Logo.jpg</t>
  </si>
  <si>
    <t>Workspot</t>
  </si>
  <si>
    <t>Workspot Gov</t>
  </si>
  <si>
    <t>FR1712164712</t>
  </si>
  <si>
    <t>United States Army</t>
  </si>
  <si>
    <t>U.S. Military Entrance Processing Command</t>
  </si>
  <si>
    <t>FY13-028</t>
  </si>
  <si>
    <t>Global Foundation Services (GFS) Cloud Infrastructure</t>
  </si>
  <si>
    <t>F1305012101</t>
  </si>
  <si>
    <t>Jimmy Chang</t>
  </si>
  <si>
    <t>federal@workspot.com</t>
  </si>
  <si>
    <t>www.workspot.com</t>
  </si>
  <si>
    <t xml:space="preserve">Workspot Gov is the next generation, cloud-native end user computing platform – including VDI 2.0 and DaaS 2.0 – and designed specifically to meet Federal Agency requirements. The Workspot solution enables agencies to virtualize applications and desktops (VDI) on-premises, in the cloud, or both. A workspace client brings together all the apps and desktops end users need and ensures secure access to them from any device. </t>
  </si>
  <si>
    <t>https://marketplace.fedramp.gov/img/logos/CSP_logos/Workspot%20Logo.jpg</t>
  </si>
  <si>
    <t>Workspot - Workspot Gov</t>
  </si>
  <si>
    <t>https://community.max.gov/x/XgZfJw</t>
  </si>
  <si>
    <t>https://community.max.gov/download/attachments/1155204180/P-ATO_MS.GFS_09.27.13.pdf?api=v2</t>
  </si>
  <si>
    <t>https://marketplace.fedramp.gov/img/logos/Agency_logos/US%20Army%20Logo.jpg</t>
  </si>
  <si>
    <t>www.microsoft.com</t>
  </si>
  <si>
    <t>Microsoft’s Global Foundation Services (GFS) cloud infrastructure is the data center and network engine that powers Microsoft’s enterprise cloud services. While the GFS system has no user consumable services, it is leveraged by multiple Microsoft offerings as a common control provider.</t>
  </si>
  <si>
    <t>FY13-029</t>
  </si>
  <si>
    <t>United States Department of Agriculture</t>
  </si>
  <si>
    <t>USDA National Information Technology Center</t>
  </si>
  <si>
    <t>Xerox Corporation</t>
  </si>
  <si>
    <t>AGENCYNITCIAAS</t>
  </si>
  <si>
    <t>James Steven</t>
  </si>
  <si>
    <t>Managed Print Services for US Federal Government</t>
  </si>
  <si>
    <t>https://community.max.gov/x/Pwu4Jg</t>
  </si>
  <si>
    <t>https://community.max.gov/download/attachments/992346739/ATO.Letter_USDA.NITC_USDA_09.16.13.pdf?api=v2</t>
  </si>
  <si>
    <t>FR1730334049</t>
  </si>
  <si>
    <t>NITCServiceDesk@ocio.usda.gov</t>
  </si>
  <si>
    <t>http://www.ocio.usda.gov/about-ocio/data-center-operations/nitc-cloud-services</t>
  </si>
  <si>
    <t>The USDA’s National Information Technology Center (NITC) is a federally-owned Cloud Service Provider for systems that are owned by Federal, State, and Local governments. The NITC offers both IaaS and PaaS services.   Additional information is available at:  [http://www.ocio.usda.gov/about-ocio/data-center-operations-dco](http://www.ocio.usda.gov/about-ocio/data-center-operations-dco). The NITC Service Catalog is available at :  [http://www.ocio.usda.gov/document/nitc-service-catalog](http://www.ocio.usda.gov/document/nitc-service-catalog)  The NITC’s Infrastructure as a Service (IaaS) cloud offering provides customers with the ability to deploy virtual systems using rapid on-demand self-service, flexible networking capabilities, resource pooling, rapid elasticity and a robust disaster recovery infrastructure within a Virtual Datacenter (VDC) construct on a hybrid cloud infrastructure. The IaaS VDC product is currently available in OpenStack and VMware based configurations.  The NITC’s Platform as a Service (PaaS) offering provides standard hardened virtualized operating systems leveraging advanced server virtualization technologies, compliant security and build standards, and economies of scale. The PaaS offering enablesrapid delivery of cost-effective, fully-managed operating platforms offering expanded controls to securely host customer’s mission critical applications. This NITC PaaS offering is currently available formultiple operating systems, including: RedHat Linux,Microsoft Windows, Oracle Solaris, and IBM AIX.  In addition to the FedRAMP Moderate security control baseline, the NITC has implemented FISMA High security controls within both service offerings.</t>
  </si>
  <si>
    <t>Removed from Expired ATO list as A-130 applies to letter. (9/16/16)</t>
  </si>
  <si>
    <t>https://marketplace.fedramp.gov/img/logos/CSP_logos/USDA%20Logo.jpg</t>
  </si>
  <si>
    <t>FY13-030</t>
  </si>
  <si>
    <t>F1603047866</t>
  </si>
  <si>
    <t>Frank Baitman &amp; Kevin Charest</t>
  </si>
  <si>
    <t>https://community.max.gov/download/attachments/1113425425/ATO%20Letter_AWSGC_HHS_05.13.13.pdf?api=v2</t>
  </si>
  <si>
    <t>FY13-031</t>
  </si>
  <si>
    <t>Cisco Systems Inc.</t>
  </si>
  <si>
    <t xml:space="preserve">Cisco WebEx  </t>
  </si>
  <si>
    <t>F1511207635</t>
  </si>
  <si>
    <t>Department of Commerce</t>
  </si>
  <si>
    <t>United States Census Bureau</t>
  </si>
  <si>
    <t>Brian McGrath</t>
  </si>
  <si>
    <t>https://community.max.gov/x/xIGIOg</t>
  </si>
  <si>
    <t>https://community.max.gov/download/attachments/982024658/ATO.Letter_CiscoWebEx_DOC_ESA_01.31.13.pdf?api=v2</t>
  </si>
  <si>
    <t>Sanjay Khanna</t>
  </si>
  <si>
    <t>collab-usgov@cisco.com</t>
  </si>
  <si>
    <t>http://www.cisco.com/go/fedramp</t>
  </si>
  <si>
    <t>Office 365 with International Traffic In Arms (ITAR) Support - Defense</t>
  </si>
  <si>
    <t>F1402113099</t>
  </si>
  <si>
    <t>https://marketplace.fedramp.gov/img/logos/CSP_logos/Cisco%20Logo.jpg</t>
  </si>
  <si>
    <t>https://marketplace.fedramp.gov/img/logos/Agency_logos/US-DeptOfCommerce-Seal.png</t>
  </si>
  <si>
    <t>FY13-032</t>
  </si>
  <si>
    <t>Federal Managed Cloud Services</t>
  </si>
  <si>
    <t>F1209041518</t>
  </si>
  <si>
    <t>Department of Justice</t>
  </si>
  <si>
    <t>Melodi Crowley</t>
  </si>
  <si>
    <t>office.microsoft.com</t>
  </si>
  <si>
    <t>National Endowment for the Humanities</t>
  </si>
  <si>
    <t>Brett Bobley</t>
  </si>
  <si>
    <t>https://community.max.gov/x/DgwdJg</t>
  </si>
  <si>
    <t>https://community.max.gov/download/attachments/1155203762/ATO.Letter_OracleFMCS_NEH_11.09.09.pdf?api=v2</t>
  </si>
  <si>
    <t>Zack Moore</t>
  </si>
  <si>
    <t>fmcs_fedramp_us_grp@oracle.com</t>
  </si>
  <si>
    <t>Microsoft Office 365 with ITAR Support is a Software as a Service offering with government specific instances of several services including Exchange Online, SharePoint Online, and Skype for Business. The government specific instances are designated for the sole use of U.S federal, U.S. government contractors, and Federally Funded Research and Development Centers (FFRDCs). Office 365 delivers customers with familiar productivity, communication and collaboration capabilities all in a service that is reliable, secure and able to rapidly scale up or down to meet variable resource demands.</t>
  </si>
  <si>
    <t>https://s3.amazonaws.com/sitesusa/wp-content/uploads/sites/482/2016/08/Microsoft-Logo.png</t>
  </si>
  <si>
    <t>11/23/16: Letter is for FY-10 which is before FedRAMP and this record keeping. Add to FY-13 as it is the oldest FY.</t>
  </si>
  <si>
    <t>https://s3.amazonaws.com/sitesusa/wp-content/uploads/sites/482/2016/08/768px-US-DeptOfTransportation-Seal.svg_.png</t>
  </si>
  <si>
    <t>https://marketplace.fedramp.gov/img/logos/Agency_logos/NEH%20Logo.jpg</t>
  </si>
  <si>
    <t>BMC Software</t>
  </si>
  <si>
    <t>BMC Remedyforce</t>
  </si>
  <si>
    <t>F1506166767</t>
  </si>
  <si>
    <t>FY13-033</t>
  </si>
  <si>
    <t>ServiceNow</t>
  </si>
  <si>
    <t>ServiceNow Service Automation Government Cloud Suite</t>
  </si>
  <si>
    <t>Department of Education</t>
  </si>
  <si>
    <t>F1305072116</t>
  </si>
  <si>
    <t>Virginia Leandro</t>
  </si>
  <si>
    <t>bmc_remedyforce@bmc.com</t>
  </si>
  <si>
    <t>http://www.bmc.com/it-solutions/remedyforce.html?vu=remedyforce</t>
  </si>
  <si>
    <t>Department of Energy</t>
  </si>
  <si>
    <t>Oak Ridge National Laboratory</t>
  </si>
  <si>
    <t>Johnny Moore</t>
  </si>
  <si>
    <t>https://community.max.gov/x/QoWaP</t>
  </si>
  <si>
    <t xml:space="preserve">**PRODUCT DESCRIPTION**
Remedyforce is an IT service management solution built on the Salesforce.com platform that combines best-practice aligned process automation with a simple, easy-to-use experience for maximum IT productivity and innovation. Remedyforce is designed to remove complexity and help you quickly realize value.
**BUSINESS CHALLENGE**
Today’s businesses are completely dependent on technology to gain and maintain a competitive advantage. This increased reliance on technology means there’s greater pressure on IT service organizations to keep pace with an unprecedented degree of business change. However, many IT organizations are struggling to meet these new demands because the technology and processes they have in place are inflexible and
aligned to business operations of the past. 
To keep up with the evolving needs of the business, IT service organizations need modern, flexible, and intuitive service and support technology that facilitates the flow of information among people, teams, and departments. The solution must be fast to deploy, easy to maintain, and painless to adapt and integrate.
**BMC SOLUTION**
Built with speed and flexibility in mind, Remedyforce is the ideal service and support solution for the modern IT ecosystem. For organizations looking to simplify their infrastructures and run high-speed IT with a focus on value, Remedyforce is the perfect fit.
**KEY FEATURES**
Remedyforce provides comprehensive IT service management and ITIL© functionality to help IT run at the speed of business.
 - Key ITIL processes, including incident, problem, change, service level management, self-service, discovery, and asset management
 -  Social, mobile, and collaborative capabilities make connecting people and information easy
 -  Innovative asset lifecycle management capabilities for proactive management to reduce costs and improve data consistency while mitigating risks
 - The stability of the world’s leading cloud platform, Salesforce.com, helps you realize value and reduce ongoing maintenance
 - Out of the box integrations to today’s core business technologies, including BMC solutions and Salesforce.com offerings, as well as 2,500+ Salesforce.com AppExchange solutions
</t>
  </si>
  <si>
    <t>https://marketplace.fedramp.gov/img/logos/CSP_logos/BMC%20Remedyforce%20Logo.jpg</t>
  </si>
  <si>
    <t>https://community.max.gov/download/attachments/1155203837/ATO.Letter_ServiceNow_DoE_ORNL_7.11.13.pdf?api=v2</t>
  </si>
  <si>
    <t>Carri Thompson</t>
  </si>
  <si>
    <t>carri.thompson@servicenow.com</t>
  </si>
  <si>
    <t>www.servicenow.com</t>
  </si>
  <si>
    <t>https://marketplace.fedramp.gov/img/logos/Agency_logos/US-DeptOfEducation-Seal.png</t>
  </si>
  <si>
    <t>https://marketplace.fedramp.gov/img/logos/CSP_logos/ServiceNow%20Logo.jpg</t>
  </si>
  <si>
    <t>https://marketplace.fedramp.gov/img/logos/Agency_logos/US-DeptOfEnergy-Seal.png</t>
  </si>
  <si>
    <t>FY14-001</t>
  </si>
  <si>
    <t>AINS</t>
  </si>
  <si>
    <t xml:space="preserve">eCase </t>
  </si>
  <si>
    <t>PaaS, SaaS</t>
  </si>
  <si>
    <t>AGENCYHUDSAAS</t>
  </si>
  <si>
    <t>Department of Housing and Urban Development</t>
  </si>
  <si>
    <t>Harold Williams</t>
  </si>
  <si>
    <t>https://community.max.gov/x/FgnEJg</t>
  </si>
  <si>
    <t>https://community.max.gov/download/attachments/779322049/ATO.Letter_AINS_HUD_02.19.14.pdf?api=v2</t>
  </si>
  <si>
    <t>GP Sinha</t>
  </si>
  <si>
    <t>info@ains.com</t>
  </si>
  <si>
    <t>www.ains.com</t>
  </si>
  <si>
    <t>eCase is a robust Platform as a Service for implementing multiple, coexisting adaptive case management SaaS solutions including eCase-Correspondence, eCase-HR, eCase-Audit and FOIAXpress (the industry leading purpose-built FOIA case processing software) within a single commercial off-the-shelf (COTS) solution. eCase provides a dynamic case management framework with the capability to power a wide range of workflow-driven processes and core case management functions, tracking and reporting around a wide range of business process verticals and can help agencies manage their business information efficiently and automate workflow processes, gaining a valuable competitive advantage.</t>
  </si>
  <si>
    <t>https://marketplace.fedramp.gov/img/logos/CSP_logos/AINS%20Logo.jpg</t>
  </si>
  <si>
    <t>https://marketplace.fedramp.gov/img/logos/Agency_logos/US-DeptOfHUD-Seal.png</t>
  </si>
  <si>
    <t>FY14-002</t>
  </si>
  <si>
    <t>Department of the Treasury</t>
  </si>
  <si>
    <t>Internal Revenue Service</t>
  </si>
  <si>
    <t>Mary Hernandez</t>
  </si>
  <si>
    <t>https://community.max.gov/download/attachments/1256457901/ATO.Letter_Akamai_Treasury_03.06.14.pdf?api=v2</t>
  </si>
  <si>
    <t>The letter (which is an update to an existing ATO) clearly states that the expiration date is still Nov. 19, 2015. Replaced by FY16-064</t>
  </si>
  <si>
    <t>https://marketplace.fedramp.gov/img/logos/Agency_logos/US-DeptOfTheTreasury-Seal.png</t>
  </si>
  <si>
    <t>FY14-003</t>
  </si>
  <si>
    <t>Technology Transformation Service</t>
  </si>
  <si>
    <t>Kathy Conrad</t>
  </si>
  <si>
    <t>https://community.max.gov/download/attachments/1256457901/ATO.Letter_Akamai_GSA_02.27.14.pdf?api=v2</t>
  </si>
  <si>
    <t>https://marketplace.fedramp.gov/img/logos/Agency_logos/GSAlogo.png</t>
  </si>
  <si>
    <t>FY14-004</t>
  </si>
  <si>
    <t>Health Resources and Services Administration</t>
  </si>
  <si>
    <t xml:space="preserve">Adriane Burton </t>
  </si>
  <si>
    <t>https://community.max.gov/download/attachments/1115488742/ATO.Letter_AWS.EW_HHS.HRSA_02.24.14.pdf?api=v2</t>
  </si>
  <si>
    <t>FY14-005</t>
  </si>
  <si>
    <t>Federal Bureau of Investigation</t>
  </si>
  <si>
    <t>Dean Hall</t>
  </si>
  <si>
    <t>https://community.max.gov/download/attachments/1115488742/ATO.Letter_AWS.EW_DOJ_06.30.14.pdf?api=v2</t>
  </si>
  <si>
    <t>ISSUE: If person X signs on behalf of person Y, is the authorizing official person X or Y?. Determined this is AWS based on the MAX filename.</t>
  </si>
  <si>
    <t>https://marketplace.fedramp.gov/img/logos/Agency_logos/Seal_of_the_United_States_Department_of_Justice.png</t>
  </si>
  <si>
    <t>FY14-006</t>
  </si>
  <si>
    <t>National Science Foundation</t>
  </si>
  <si>
    <t>Daniel Hofherr</t>
  </si>
  <si>
    <t>https://community.max.gov/download/attachments/1115488742/ATO.Letter_AWS.EW_NSF_07.10.14.pdf?api=v2</t>
  </si>
  <si>
    <t>https://marketplace.fedramp.gov/img/logos/Agency_logos/NSF.png</t>
  </si>
  <si>
    <t>FY14-007</t>
  </si>
  <si>
    <t>Defense Information Systems Agency</t>
  </si>
  <si>
    <t>Mark Orndorff</t>
  </si>
  <si>
    <t>https://community.max.gov/download/attachments/1113425425/ATO.Letter_AWS.GC_DOD_02.04.14.pdf?api=v2</t>
  </si>
  <si>
    <t>6/27/16: Has been replaced by FY16-53 with Roger Greenwell as the AO.</t>
  </si>
  <si>
    <t>FY14-008</t>
  </si>
  <si>
    <t>Federal Bureau of Prisons</t>
  </si>
  <si>
    <t>Sonya Thompson</t>
  </si>
  <si>
    <t>Data Dictionary for the Authorization Log and 3PAO Table</t>
  </si>
  <si>
    <t>CSV?</t>
  </si>
  <si>
    <t>Field</t>
  </si>
  <si>
    <t>Description</t>
  </si>
  <si>
    <t>Source</t>
  </si>
  <si>
    <t>Secondary Source</t>
  </si>
  <si>
    <t>Data Type</t>
  </si>
  <si>
    <t>Format</t>
  </si>
  <si>
    <t>Default Value</t>
  </si>
  <si>
    <t>Valid Values</t>
  </si>
  <si>
    <t>Required-Y/N</t>
  </si>
  <si>
    <t>Notes</t>
  </si>
  <si>
    <t>Unique/Duplicated</t>
  </si>
  <si>
    <t>In Tab?</t>
  </si>
  <si>
    <t>Ref# (Fiscal Year)</t>
  </si>
  <si>
    <t>The reference number for the ATO/P-ATO letter in the Fiscal Year binder</t>
  </si>
  <si>
    <t>Manually assigned when an ATO or P-ATO letter is added to a FY binder</t>
  </si>
  <si>
    <t>Text</t>
  </si>
  <si>
    <t>FYNN-MMM where NN is the FY (assoc. w/the authorization date) and MMM is a sequentially assigned number.</t>
  </si>
  <si>
    <t>NN must be 13 or great and MMM is a validate integer</t>
  </si>
  <si>
    <t>FY14-009</t>
  </si>
  <si>
    <t>Unique</t>
  </si>
  <si>
    <t>New ATO PATO Log</t>
  </si>
  <si>
    <t>*</t>
  </si>
  <si>
    <t>Cloud Service Provider, i.e., the company providing the Cloud Service Offering.</t>
  </si>
  <si>
    <t>ATO/P-ATO Letter</t>
  </si>
  <si>
    <t>SSP</t>
  </si>
  <si>
    <t>Duplicated</t>
  </si>
  <si>
    <t>Bureau of the Fiscal Service</t>
  </si>
  <si>
    <t>Jim McLaughlin</t>
  </si>
  <si>
    <t>Cloud Service Offering, i.e., the name of the company's cloud product.</t>
  </si>
  <si>
    <t>https://community.max.gov/download/attachments/1113425425/ATO.Letter_AWS.GC_Treasury_03.10.14.pdf?api=v2</t>
  </si>
  <si>
    <t>The type of cloud service: Infrastructure as a Service (IaaS), Platform as a Service (PaaS), Software as a Service (SaaS) or a combination (i.e., PaaS &amp; SaaS or IaaS &amp; PaaS)..</t>
  </si>
  <si>
    <t>System Security Plan</t>
  </si>
  <si>
    <t>IaaS, PaaS, SaaS, IaaS &amp; PaaS, Paas &amp; SaaS</t>
  </si>
  <si>
    <t>Unique identifier for CSP product reviewed by FedRAMP.</t>
  </si>
  <si>
    <t>Automatically assigned by the FedRAMP PMO.</t>
  </si>
  <si>
    <t>Salesforce: Fnnnnnnnnnn.
Pre-Sales Force: Text anywhere from 9-18 characters.</t>
  </si>
  <si>
    <t>via Salesforce. Pre-Salesforce PackageIDs were manually assigned and are text.</t>
  </si>
  <si>
    <t xml:space="preserve">3/20/17: Made inactive due to not actually being an ATO letter. Treasury confirmed this. </t>
  </si>
  <si>
    <t>The type of FedRAMP authorization achieved by this CSO.  Can be JAB, Agency or CSP-Supplied.</t>
  </si>
  <si>
    <t>CSP, JAB, Agency</t>
  </si>
  <si>
    <t>It is required for all occurances except if someone is FedRAMP Ready.</t>
  </si>
  <si>
    <t>If "Y," indicates that this ATO leverages an existing ATO or P-ATO (e.g., the original P-ATO or the first Agency ATO for a CSP).  If "N," then this ATO/P-ATO is the original P-ATO or sponsoring Agency ATO or CSP.</t>
  </si>
  <si>
    <t>Y,N</t>
  </si>
  <si>
    <t>FY14-010</t>
  </si>
  <si>
    <t>The authorization date is the "Authorization to Operate" (ATO) letter or the date of the P-ATO.</t>
  </si>
  <si>
    <t>Date</t>
  </si>
  <si>
    <t>The rules for determining a Auth. Date are as follows:
1) First, use an authorization date if it is explictly stated in the letter.
2) Next, if date signatures are on the letter, use the latest date of the signature dates.
3) Use the letter date (typically at the top of the letter)
4) If the letter has no date, email the Agency and ask for a date.
5) If no response to above #4, use the date that the ATO letter was mailed to FedRAMP.</t>
  </si>
  <si>
    <t>The authorizing date stamped or printed on the ATO/P-ATO Letter</t>
  </si>
  <si>
    <t>https://community.max.gov/download/attachments/1113425425/ATO.Letter_AWS.GC_NSF_04.10.14.pdf?api=v2</t>
  </si>
  <si>
    <t>May be blank if there are no letter date (generally at the top) in the ATO/P-ATO letter.</t>
  </si>
  <si>
    <t>The most recent date of when the authorizing official signed the ATO/P-ATO letter</t>
  </si>
  <si>
    <t>May be blank if there are no signature dates on the ATO/P-ATO letter.</t>
  </si>
  <si>
    <t>Determines if the ATO letter is still active or has expired / been replaced by a newer ATO.</t>
  </si>
  <si>
    <t xml:space="preserve">Agency </t>
  </si>
  <si>
    <t>FY14-011</t>
  </si>
  <si>
    <t>Active, Inactive</t>
  </si>
  <si>
    <t>There are three types of Inactive Letters:
1) Expired letters which have been replaced by newer letters.
2) Letters of CSP-CSO products which are no longer in use by the Agency.
3) Letters for products no longer supported by the CSP in the Federal marketplace (e.g., company has decided not to sell to the Federal gov't).</t>
  </si>
  <si>
    <t>The designation which identifies CSP is in the FedRAMP Process. Can be "FedRAMP Ready", "In Process", "In PMO Review", or "Compliant"</t>
  </si>
  <si>
    <t>FedRAMP Government Leaders</t>
  </si>
  <si>
    <t>FedRAMP Website</t>
  </si>
  <si>
    <t>In Process, In PMO Review, Compliant</t>
  </si>
  <si>
    <t>The type of cloud model -- Private Cloud, Public Cloud, Community Cloud, Hybrid Cloud or a combination.</t>
  </si>
  <si>
    <t>CSP System Security Plan</t>
  </si>
  <si>
    <t>Private, Public, Community, Hybrid, Private &amp; Public, Public &amp; Community, Private &amp; Community</t>
  </si>
  <si>
    <t>The security level for the cloud service offering. Can be Low, Moderate or High.</t>
  </si>
  <si>
    <t>Low, Moderate, High</t>
  </si>
  <si>
    <t>https://community.max.gov/download/attachments/1256457959/ATO.Letter_CGI.FC_DHS_10.30.13.pdf?api=v2</t>
  </si>
  <si>
    <t>The name of the agency listed on the leveraged ATO letter.</t>
  </si>
  <si>
    <t>See lookup table</t>
  </si>
  <si>
    <t>This field is mandatory except when someone is FedRAMP Ready.</t>
  </si>
  <si>
    <t>Replaced by FY15-128.</t>
  </si>
  <si>
    <t>The name of the subagency within the Authorizing Agency listed on the leveraged ATO letter</t>
  </si>
  <si>
    <t>FY14-012</t>
  </si>
  <si>
    <t>The name of the Authorizing Official signing the leveraged ATO letter.</t>
  </si>
  <si>
    <t>Judicial Branch</t>
  </si>
  <si>
    <t>Administrative Office of the United States Courts</t>
  </si>
  <si>
    <t>The date that the ATO letter expires. Typically three years from the Authorization Date unless stated differently on the letter.</t>
  </si>
  <si>
    <t>The name of the agency that sponsored the CSP-CSO.  For the original, sponsoring CSP-Supplied authorization, the value is "CSP Supplied."  For the original JAB P-ATO letter, the value is "JAB Authorization,"  This is because there is only a sponsoring Agency for a Agency ATO.</t>
  </si>
  <si>
    <t>Joseph Bossi</t>
  </si>
  <si>
    <t>The link for the folders stored in OMB MAX</t>
  </si>
  <si>
    <t>OMB MAX</t>
  </si>
  <si>
    <t>https://community.max.gov/download/attachments/1116602747/ATO.Letter_CGI.FC_US.Courts_04.25.14.pdf?api=v2</t>
  </si>
  <si>
    <t>The link for the ATO/P-ATO letter stored in OMB MAX</t>
  </si>
  <si>
    <t>Std. URL format</t>
  </si>
  <si>
    <t>Is this one of the 24 major Agencies named in the CFO Act?</t>
  </si>
  <si>
    <t>ATO/P-ATO Letter (which should specify the agency)</t>
  </si>
  <si>
    <t>https://marketplace.fedramp.gov/img/logos/Agency_logos/US%20Courts%20Logo.png</t>
  </si>
  <si>
    <t>FY14-013</t>
  </si>
  <si>
    <t>The name of the point of contact for the Cloud Service Provider.</t>
  </si>
  <si>
    <t>Concurrent Technologies Corporation</t>
  </si>
  <si>
    <t xml:space="preserve">Unclassified Remote Hosted Desktops (URHD) </t>
  </si>
  <si>
    <t>F1209041517</t>
  </si>
  <si>
    <t>The email of the point of contact for the Cloud Service Provider.</t>
  </si>
  <si>
    <t>https://community.max.gov/x/yxUGJg</t>
  </si>
  <si>
    <t>https://community.max.gov/download/attachments/1153174318/P-ATO_CTC_12.20.13.pdf?api=v2</t>
  </si>
  <si>
    <t>The website URL of the Cloud Service Provider.</t>
  </si>
  <si>
    <t>Mark Heck</t>
  </si>
  <si>
    <t>heckm@ctc.com</t>
  </si>
  <si>
    <t>Agency PoC</t>
  </si>
  <si>
    <t>Where Agency PoC information goes. For now it is just "Coming Soon"</t>
  </si>
  <si>
    <t>www.ctc.com</t>
  </si>
  <si>
    <t>PoC contacts</t>
  </si>
  <si>
    <t>Knowledge Consulting Group, a wholly owned subsidiary of ManTech Advanced Systems International, Inc</t>
  </si>
  <si>
    <t>Concurrent Technologies Corporation (CTC) provides the customer the ability to access their applications and data through a user-definable virtual workspace, full virtual desktop, mobile cloud or a light-weight client from many different client types including PCs, Tablets and Smartphones.</t>
  </si>
  <si>
    <t>The name of the independent assessor that reviewed the cloud service offering. In most cases, the independent assessor is part of the FedRAMP 3rd Party Assessment Organization program.</t>
  </si>
  <si>
    <t>SAR?</t>
  </si>
  <si>
    <t>FY14-014</t>
  </si>
  <si>
    <t xml:space="preserve">Economic Systems </t>
  </si>
  <si>
    <t xml:space="preserve">Economic Systems Federal Human Resources Navigator </t>
  </si>
  <si>
    <t>Should point to valid list of 3PAOs</t>
  </si>
  <si>
    <t>F1301251880</t>
  </si>
  <si>
    <t>Package Services Description</t>
  </si>
  <si>
    <t>Description of the services provided by the CSO.  This is formatted using Markdown.</t>
  </si>
  <si>
    <t>CSP Provided</t>
  </si>
  <si>
    <t>Markdown Format</t>
  </si>
  <si>
    <t>https://community.max.gov/x/eoVSJw</t>
  </si>
  <si>
    <t>Currently, this information is on fedramp.gov.  Once we decide on a format, we will populate this field.</t>
  </si>
  <si>
    <t>https://community.max.gov/download/attachments/1155203360/P-ATO_EconSys.FHR_04.25.14.pdf?api=v2</t>
  </si>
  <si>
    <t xml:space="preserve">Date at which a package is recognized as FedRAMP Authorized. </t>
  </si>
  <si>
    <t xml:space="preserve">Website </t>
  </si>
  <si>
    <t>Government</t>
  </si>
  <si>
    <t>Kimberly Kettner</t>
  </si>
  <si>
    <t>kimberly@econsys.com</t>
  </si>
  <si>
    <t>www.Fedhrnavigator.com</t>
  </si>
  <si>
    <t>SecureIT</t>
  </si>
  <si>
    <t>The following rules should apply when assigning an auth. date:
1) For JAB P-ATO where Leveraging = N, use the Auth. Date of the letter.
2) For Agency where Leveraging = N, use the date when the Agency ATO became FedRAMP compliant, i.e., when it was announced.
3) For In-Process and In PMO Review, the field should be blank.</t>
  </si>
  <si>
    <t>Federal Human Resources (FHR) Navigator is a SaaS enterprise application available by subscription to Federal agencies. The application is provided as a COTS application that runs in a single enclave with multiple agency tenants. All customer data is stored in the same database instance. Shared tenancy is built into the database with customer data so that each customer’s data is separated logically and protected from unauthorized access. Shared tenancy is built into the database architecture of the software. Economic Systems (EconSys) operates one instance for all customers in a virtual environment hosted in the Autonomic Resources ARC-P IaaS.</t>
  </si>
  <si>
    <t>Section where comments are made on the ATO/P-ATO letter for future reference</t>
  </si>
  <si>
    <t>https://marketplace.fedramp.gov/img/logos/CSP_logos/EconSys%20Logo.jpg</t>
  </si>
  <si>
    <t>FedRAMP PMO</t>
  </si>
  <si>
    <t>FY14-015</t>
  </si>
  <si>
    <t>Edge Hosting, A DataBank Company</t>
  </si>
  <si>
    <t>FedRAMP Compliant CloudPlus</t>
  </si>
  <si>
    <t>Identifies if this row should be included in the Marketplace.  For example, private clouds (e.g., CRMaaS from DHS) should not be included in the Marketplace.</t>
  </si>
  <si>
    <t>F1404304159</t>
  </si>
  <si>
    <t>Y or N</t>
  </si>
  <si>
    <t>Department of Labor</t>
  </si>
  <si>
    <t>Office of Workers’ Compensation Programs</t>
  </si>
  <si>
    <t>Gary Steinberg</t>
  </si>
  <si>
    <t>https://community.max.gov/x/XYPDLw</t>
  </si>
  <si>
    <t xml:space="preserve">Contains a URL pointing to graphics file containing the logo for the CSP associated with this authorization. </t>
  </si>
  <si>
    <t>Valid URL</t>
  </si>
  <si>
    <t>If a CSP is not to be listed in the Marketplace, then this field is not required.  Also, the row can be added without initially having the logo file.  Currently all logo files are stored in a common directory on Fedramp's GitHub location</t>
  </si>
  <si>
    <t>https://community.max.gov/download/attachments/992346677/ATO.Letter_EdgeHosting_DOL_08.08.14.pdf?api=v2</t>
  </si>
  <si>
    <t>PackageID of FedRAMP-Authorized packages used by this package.  Some FedRAMP packages use (at a lower layer) other FedRAMP-authorized packages.  For example, Microsoft  Dynamics 365 uses Microsoft Azure Gov, both of which are FedRAMP Authorized.</t>
  </si>
  <si>
    <t>Mark A. Houpt</t>
  </si>
  <si>
    <t>Compliance@DataBank.com</t>
  </si>
  <si>
    <t>https://www.databank.com/</t>
  </si>
  <si>
    <t>Blank</t>
  </si>
  <si>
    <t>Comma-deliminted list of valid FedRAMP Package IDs</t>
  </si>
  <si>
    <t>Lockheed Martin</t>
  </si>
  <si>
    <t>For Agency packages, this is the date that the Agency is expected to issue an ATO letter for the CSP.  For CSPs pursuing a P-ATO, this is the date of the projected P-ATO.</t>
  </si>
  <si>
    <t>Agency ATOs: Agency
P-ATOs: FedRAMP PMO</t>
  </si>
  <si>
    <t>https://marketplace.fedramp.gov/img/logos/CSP_logos/DataBank%20Logo.jpg</t>
  </si>
  <si>
    <t xml:space="preserve">This field should only be populated for CSPs that are "In-Process". </t>
  </si>
  <si>
    <t>Date that a package was determined to be FedRAMP Ready</t>
  </si>
  <si>
    <t>https://marketplace.fedramp.gov/img/logos/Agency_logos/US-DeptOfLabor-Seal-AltColors.svg.png</t>
  </si>
  <si>
    <t>Date that a package was determined to be FedRAMP In-Process</t>
  </si>
  <si>
    <t>FY14-016</t>
  </si>
  <si>
    <t>Michael Brown</t>
  </si>
  <si>
    <t xml:space="preserve">Contains a URL pointing to graphics file containing the logo for the Agency associated with this authorization. </t>
  </si>
  <si>
    <t>https://community.max.gov/download/attachments/1155203563/ATO.Letter_HPE.Helion_DHS_06.02.14.pdf?api=v2</t>
  </si>
  <si>
    <t>The URL pointing to a graphics file with the assessor's company logo.</t>
  </si>
  <si>
    <t>Assessor Company</t>
  </si>
  <si>
    <t>n/a</t>
  </si>
  <si>
    <t>3PAO Master List</t>
  </si>
  <si>
    <t>Company Name</t>
  </si>
  <si>
    <t>The assessor's company name.</t>
  </si>
  <si>
    <t>FY14-017</t>
  </si>
  <si>
    <t>MicroFocus</t>
  </si>
  <si>
    <t>Fortify on Demand</t>
  </si>
  <si>
    <t>F1301101857</t>
  </si>
  <si>
    <t>In Remediation Status (Yes/No)</t>
  </si>
  <si>
    <t>Identifies whether or not this assessor is in remediation status with the FedRAMP PMO to address issues,</t>
  </si>
  <si>
    <t>FedRAMP Accreditation Date (by either FedRAMP originally or A2LA)</t>
  </si>
  <si>
    <t>The date that this assessor was certified as a 3PAO.</t>
  </si>
  <si>
    <t>https://community.max.gov/download/attachments/1155203492/ATO.Letter_HPE.FOD_DHS_06.07.14.pdf?api=v2</t>
  </si>
  <si>
    <t>The founding date of the assessor company.</t>
  </si>
  <si>
    <t>Patrick Query</t>
  </si>
  <si>
    <t>Patrick.Query@microfocus.com</t>
  </si>
  <si>
    <t>https://software.microfocus.com/en-us/home</t>
  </si>
  <si>
    <t>Contact Information</t>
  </si>
  <si>
    <t>Email address of the assessor company.  Any questions regarding this assessor should be sent to this email.</t>
  </si>
  <si>
    <t>Assessor Website URL</t>
  </si>
  <si>
    <t>URL for the assessor company.</t>
  </si>
  <si>
    <t>Standard URL format.</t>
  </si>
  <si>
    <t>https://marketplace.fedramp.gov/img/logos/CSP_logos/MicroFocus%20Logo.jpg</t>
  </si>
  <si>
    <t>Addresses of up to 3 locations for this assessor.</t>
  </si>
  <si>
    <t>MM/DD/YYYY</t>
  </si>
  <si>
    <t>3PAO Services Description</t>
  </si>
  <si>
    <t>Description of the services provided by the assessor.  In Markdown format.</t>
  </si>
  <si>
    <t>FY14-018</t>
  </si>
  <si>
    <t>IBM</t>
  </si>
  <si>
    <t>SmartCloud for Government</t>
  </si>
  <si>
    <t>F1206081363</t>
  </si>
  <si>
    <t>List of the CSPs assessed by this 3PAO.</t>
  </si>
  <si>
    <t>Provides FedRAMP Consulting Services Y/N?</t>
  </si>
  <si>
    <t>https://community.max.gov/x/RgLbR</t>
  </si>
  <si>
    <t>Identifies if the assessor also provides FedRAMP-related consulting services.</t>
  </si>
  <si>
    <t>https://community.max.gov/download/attachments/1155203654/P-ATO_IBM.SCG_11.07.13.pdf?api=v2</t>
  </si>
  <si>
    <t>Consulting Services Description</t>
  </si>
  <si>
    <t>Provides detail on the services provided by the assessor.</t>
  </si>
  <si>
    <t>Doug Felton</t>
  </si>
  <si>
    <t>dafelton@us.ibm.com</t>
  </si>
  <si>
    <t>www-01.ibm.com/software/lotus/cloud/government/</t>
  </si>
  <si>
    <t>List of CSPs that an assessor has provided consulting services to.</t>
  </si>
  <si>
    <t>Valid CSP names</t>
  </si>
  <si>
    <t>Additional Cyber Frameworks Supported by Assessor</t>
  </si>
  <si>
    <t>List of additional, cybersecurity frameworks supported for which an assessor is accredited (e.g., NIST, ISO frameworks)</t>
  </si>
  <si>
    <t>IBM’s SmartCloud for Government (SCG) is a secure multi-tenant Infrastructure as a Service (IaaS) cloud computing environment for U.S. Federal customers. SCG services include provisioning of compute, memory, network, OS, and storage resources to meet client production and development/test computing needs. SCG IaaS services can be bundled with enterprise class, fully managed cloud hosting services, including OS Provisioning and Administration, Enterprise System Management,  Security Operation Center (SOC), Storage Management, and Backup.  These SCG IaaS capabilities can also be leveraged to support a broad range of IBM and 3rd party software offerings using a PaaS or SaaS delivery model.
IBM’s portfolio of cloud security expertise spans multiple security domains including people, data, applications and infrastructure, with an emphasis on visibility, control, isolation and automation. The SCG solutions are delivered from IBM Federal Data Centers (FDC) that are expressly designed and managed to meet FISMA requirements. IBM SCG enables customers to choose cloud solutions and services that meet their workload requirements and helps Government agencies deliver business outcomes with faster time to value and a lower total cost of ownership.</t>
  </si>
  <si>
    <t>https://marketplace.fedramp.gov/img/logos/CSP_logos/IBM%20Logo.jpg</t>
  </si>
  <si>
    <t>FY14-019</t>
  </si>
  <si>
    <t>https://community.max.gov/download/attachments/1256458204/ATO.Letter_IBM.SCG_DOI_12.18.13.pdf?api=v2</t>
  </si>
  <si>
    <t>FY14-020</t>
  </si>
  <si>
    <t>Mary Pletcher</t>
  </si>
  <si>
    <t>https://community.max.gov/download/attachments/992346701/ATO.Letter_MicroPact_DOI_06.06.14.pdf?api=v2</t>
  </si>
  <si>
    <t>This is a Sponsoring Agency ATO. There are two "leveraged" letters in FY13</t>
  </si>
  <si>
    <t>FY14-021</t>
  </si>
  <si>
    <t>United States Mint</t>
  </si>
  <si>
    <t>Lauren Buschor</t>
  </si>
  <si>
    <t>https://community.max.gov/download/attachments/777093308/ATO.Letter_MicroPact_Treasury.USMint_09.29.14.pdf?api=v2</t>
  </si>
  <si>
    <t>FY14-022</t>
  </si>
  <si>
    <t xml:space="preserve">Office 365 Multi-Tenant &amp; Supporting Services </t>
  </si>
  <si>
    <t>MSO365MT</t>
  </si>
  <si>
    <t>National Institute of Standards and Technology</t>
  </si>
  <si>
    <t>Delwin Brockett</t>
  </si>
  <si>
    <t>https://community.max.gov/x/3JC6L</t>
  </si>
  <si>
    <t>https://community.max.gov/download/attachments/780173411/ATO.Letter_MS.O365_DOC_04.07.14.pdf?api=v2</t>
  </si>
  <si>
    <t>O365FedRAMP@microsoft.com</t>
  </si>
  <si>
    <t>www.microsoft.office.com</t>
  </si>
  <si>
    <t>7/7/16: Letter doesn't explicitly state the CSP (Microsoft O365) but it is in the filename of the letter.</t>
  </si>
  <si>
    <t>FY14-023</t>
  </si>
  <si>
    <t>https://community.max.gov/download/attachments/780173411/ATO.Letter_MS.O365_NSF_04.10.14.pdf?api=v2</t>
  </si>
  <si>
    <t>FY14-024</t>
  </si>
  <si>
    <t>OMB</t>
  </si>
  <si>
    <t>MAX General Support Services</t>
  </si>
  <si>
    <t>MAX-GSS</t>
  </si>
  <si>
    <t>Executive Office of the President</t>
  </si>
  <si>
    <t>Office of Management and Budget</t>
  </si>
  <si>
    <t>Courtney Timberlake</t>
  </si>
  <si>
    <t>https://community.max.gov/x/3YEYLg</t>
  </si>
  <si>
    <t>https://community.max.gov/download/attachments/920093566/ATO.Letter_MAX.GSS_OMB_06.09.14.pdf?api=v2</t>
  </si>
  <si>
    <t>Dan Chandler</t>
  </si>
  <si>
    <t>MAXSupport@max.gov</t>
  </si>
  <si>
    <t>https://www.MAX.gov</t>
  </si>
  <si>
    <t>MAX General Support Services (MAX GSS) is the cloud infrastructure that powers MAX.gov Shared Services ([https://MAX.gov](https://MAX.gov)). MAX GSS is leveraged as a common control provider.
MAX GSS and MAX.gov Shared Services provide government-wide advanced collaboration, information sharing, data collection, publishing, and analytical capabilities for federal agencies and partners. MAX GSS includes:
 - MAX GSS – Physical and Environmental infrastructure, Servers, Virtual
   Machines, Databases, Networking, and Security 
 - MAX Authentication (MAX    Auth) – Single Sign-On (SSO) and 2-Factor
   Authentication as a Service    with HSPD-12 (CAC/PIV) integration 
 - MAX    is built upon an integrated    database that maintains the
   wide range    of data necessary to meet    multiple production and
   policy support    demands.
MAX is managed by the Budget Systems Branch (BSB), Budget Review Division (BRD), of the Office of Management and Budget (OMB), in conjunction with the Budget Formulation and Execution Line of Business (BFELoB) Program Management Office (PMO) at the Department of Education (ED).</t>
  </si>
  <si>
    <t>https://marketplace.fedramp.gov/img/logos/CSP_logos/OMB%20Logo.jpg</t>
  </si>
  <si>
    <t>https://marketplace.fedramp.gov/img/logos/Agency_logos/Seal_of_the_Executive_Office_of_the_President_of_the_United_States_2014.png</t>
  </si>
  <si>
    <t>FY14-025</t>
  </si>
  <si>
    <t xml:space="preserve">MAX.gov Shared Services </t>
  </si>
  <si>
    <t>AGENCYMAX</t>
  </si>
  <si>
    <t>https://community.max.gov/x/4IEYLg</t>
  </si>
  <si>
    <t>https://community.max.gov/download/attachments/920093586/OMB%20MAX%20ATO%20Letter%202014-06-09.pdf?api=v2</t>
  </si>
  <si>
    <t>MAX.gov Shared Services ([https://MAX.gov](https://MAX.gov)) is a government-wide advanced collaboration, information sharing, data collection, publishing, and analytical capability for federal agencies and partners. MAX services include:
 - MAX Community – Collaboration, Content Management, and Knowledge
   Management - MAX Calendar – Scheduling, Calendar Sharing, and Meeting Coordination
 - MAX Shared Desktop – Online meetings with a Secure Virtual Desktop
 - MAX Collect – Basic and Advanced Data Collection, Publishing, and
   Workflows 
 - MAX Survey – Basic and Advanced Data Collection 
 - MAX    Analytics –    Business Intelligence with Data Cubes 
 - MAX    Authentication    – Single    Sign-On (SSO) and 2-Factor   
   Authentication as a Service with       HSPD-12 (CAC/PIV) integration 
MAX is built upon an integrated database that maintains the wide range of data necessary to meet multiple production and policy support demands.
MAX is managed by the Budget Systems Branch (BSB), Budget Review Division (BRD), of the Office of Management and Budget (OMB), in conjunction with the Budget Formulation and Execution Line of Business (BFELoB) Program Management Office (PMO) at the Department of Education (ED).</t>
  </si>
  <si>
    <t>FY14-026</t>
  </si>
  <si>
    <t>https://community.max.gov/download/attachments/1155203762/P-ATO_Oracle.FMCS_02.24.14.pdf?api=v2</t>
  </si>
  <si>
    <t>Oracle Federal Managed Cloud Services provides hosting, applications management, infrastructure support, and operation and maintenance (O&amp;M) services to U.S. federal government agencies. Primary services include hardware and facilities setup/configuration, application management, testing, monitoring, patching, incident management, problem resolution, technical and functional service desk, point upgrades, security, and disaster recovery.
The FMCS Infrastructure information system resides in a physically and logically isolated Federal Government Zone within the general security perimeter of Oracle’s U.S. Data Centers. The environment has been architected following FISMA and NIST guidance to help Federal customers achieve and maintain Authority To Operate (accreditation) for their relevant information systems or data hosted at Oracle.</t>
  </si>
  <si>
    <t>FY14-027</t>
  </si>
  <si>
    <t>Joseph Hungate</t>
  </si>
  <si>
    <t>https://community.max.gov/x/WQOaLQ</t>
  </si>
  <si>
    <t>https://community.max.gov/download/attachments/1328023355/ATO.Letter_Oracle.FMCS_HUD_09.30.14.pdf?api=v2</t>
  </si>
  <si>
    <t>FY14-028</t>
  </si>
  <si>
    <t>Salesforce</t>
  </si>
  <si>
    <t>Salesforce Government Cloud</t>
  </si>
  <si>
    <t>AGENCYSF</t>
  </si>
  <si>
    <t>https://community.max.gov/x/eQs3Kw</t>
  </si>
  <si>
    <t>https://community.max.gov/download/attachments/1130635691/ATO.Letter_Salesforce_HHS_05.23.14.pdf?api=v2</t>
  </si>
  <si>
    <t>fedramp@salesforce.com</t>
  </si>
  <si>
    <t>www.salesforce.com/industries/public-sector</t>
  </si>
  <si>
    <t>The Salesforce Government Cloud is a partitioned instance of Salesforce’s Platform-as-a-Service (PaaS) and Software-as-a-Service (SaaS), multi-tenant community cloud infrastructure specifically for use by U.S federal, state, and local government customers, U.S. government contractors, and Federally Funded Research and Development Centers (FFRDCs). The Salesforce Government Cloud is comprised of the Salesforce services: Lightning Platform, Sales, Service, Communities, Analytics, and Industry Solutions. Additional information is available at: (https://trust.salesforce.com/en/compliance/)[https://trust.salesforce.com/en/compliance/]. A complete list of current in-scope Salesforce products included in the authorization boundary is available upon request.</t>
  </si>
  <si>
    <t>https://marketplace.fedramp.gov/img/logos/CSP_logos/Salesforce%20Logo.jpg</t>
  </si>
  <si>
    <t>FY14-029</t>
  </si>
  <si>
    <t>United States Department of the Treasury</t>
  </si>
  <si>
    <t xml:space="preserve">Workplace.gov Community Cloud (WC2) </t>
  </si>
  <si>
    <t>AGENCYWC2</t>
  </si>
  <si>
    <t>Debra Vess</t>
  </si>
  <si>
    <t>https://community.max.gov/x/w4ZYL</t>
  </si>
  <si>
    <t>https://community.max.gov/download/attachments/1317439556/ATO.Letter_Treasury.WC2_Treasury_05.06.14.pdf?api=v2</t>
  </si>
  <si>
    <t>workplace.gov</t>
  </si>
  <si>
    <t>The Workplace.gov Community Cloud (WC2) uses a government community cloud deployment model and the cloud computing service model for WC2 is both Platform as a Service (PaaS) and Software as a Service (SaaS). The Infrastructure as a Service (IaaS) provider services leveraged for this solution are Amazon Web Services (AWS) and Akamai Content Delivery Network (CDN). The WC2 system provides a platform for government customers’ systems and applications to allow them the capability to utilize cloud computing hosting environments. This platform supports a range of highly-available web services hosted within AWS and delivered to end-users via the Akamai Content Delivery Network (CDN). The WC2 infrastructure allows Treasury customers to focus on the operational and business aspects of their web presence such as usability, information architecture and content authoring without having to re-invent and configure the technical infrastructure each time.</t>
  </si>
  <si>
    <t>https://marketplace.fedramp.gov/img/logos/CSP_logos/DoT%20Logo.jpg</t>
  </si>
  <si>
    <t>AGENCYAMAZONEW, F1206061353</t>
  </si>
  <si>
    <t>FY14-030</t>
  </si>
  <si>
    <t>https://community.max.gov/download/attachments/1115488742/ATO.Letter_AWS.EW_DOD_02.06.13.pdf?api=v2</t>
  </si>
  <si>
    <t>8/30/16 - New letter received from DISA, replaced by FY16-098, made inactive (MB)</t>
  </si>
  <si>
    <t>FY14-031</t>
  </si>
  <si>
    <t>Google G Suite</t>
  </si>
  <si>
    <t>F1206081364</t>
  </si>
  <si>
    <t>National Archives and Records Administration</t>
  </si>
  <si>
    <t>Swarnali Haldar</t>
  </si>
  <si>
    <t>https://community.max.gov/x/34ngVQ</t>
  </si>
  <si>
    <t>https://community.max.gov/download/attachments/1531087271/ATO.Letter_Google_NARA_06.24.14-no%20password.pdf?api=v2</t>
  </si>
  <si>
    <t>Google FedRAMP Team</t>
  </si>
  <si>
    <t>fedramp@google.com</t>
  </si>
  <si>
    <t>https://gsuite.google.com/</t>
  </si>
  <si>
    <t>Leverage letter even though the sponsoring letter is newer. Received on 5/5/16.</t>
  </si>
  <si>
    <t>https://marketplace.fedramp.gov/img/logos/CSP_logos/Google%20Logo.jpg</t>
  </si>
  <si>
    <t>https://marketplace.fedramp.gov/img/logos/Agency_logos/NARA_Logo.png</t>
  </si>
  <si>
    <t>FY14-032</t>
  </si>
  <si>
    <t>Michael Kerr</t>
  </si>
  <si>
    <t>https://community.max.gov/download/attachments/1130635691/ATO.Letter_SalesForce_DOL_06.18.14.pdf?api=v2</t>
  </si>
  <si>
    <t>FY14-033</t>
  </si>
  <si>
    <t>David Michaels</t>
  </si>
  <si>
    <t>https://community.max.gov/download/attachments/1131251347/ATO.Letter_USDANITC_DOL_03.11.14.pdf?api=v2</t>
  </si>
  <si>
    <t>FY14-034</t>
  </si>
  <si>
    <t>https://community.max.gov/download/attachments/1116602815/ATO.Letter_Akamai_DOC_ESA_04.1.14.PDF?api=v2</t>
  </si>
  <si>
    <t>FY14-035</t>
  </si>
  <si>
    <t>Michael Walsh</t>
  </si>
  <si>
    <t>https://community.max.gov/download/attachments/992346725/ATO.Letter_Salesforce_NARA_01.29.14-no%20password.pdf?api=v2</t>
  </si>
  <si>
    <t>FY14-036</t>
  </si>
  <si>
    <t>John Easton</t>
  </si>
  <si>
    <t>https://community.max.gov/download/attachments/1113425425/ATO.Letter_AWSGC_DoE_03.12.14.pdf?api=v2</t>
  </si>
  <si>
    <t>FY14-037</t>
  </si>
  <si>
    <t>https://community.max.gov/download/attachments/1115488742/ATO.Letter_AWSEW_DoE_03.12.14.pdf?api=v2</t>
  </si>
  <si>
    <t>FY14-038</t>
  </si>
  <si>
    <t>General Dynamics Information Technology (GDIT)</t>
  </si>
  <si>
    <t>GDIT Cloud</t>
  </si>
  <si>
    <t>F1303191948</t>
  </si>
  <si>
    <t>Timothy Hauser</t>
  </si>
  <si>
    <t>https://community.max.gov/x/_gPNKw</t>
  </si>
  <si>
    <t>https://community.max.gov/download/attachments/1155203438/ATO.Letter_GDIT_DoL_06.13.14.pdf?api=v2</t>
  </si>
  <si>
    <t>Jim Spiridopoulos</t>
  </si>
  <si>
    <t>info@gdit.com</t>
  </si>
  <si>
    <t>www.gdit.com/cloudsolutions</t>
  </si>
  <si>
    <t>Subagency</t>
  </si>
  <si>
    <t>https://marketplace.fedramp.gov/img/logos/CSP_logos/GDIT%20Logo.jpg</t>
  </si>
  <si>
    <t>Non-CFO Agencies</t>
  </si>
  <si>
    <t>FY15-001</t>
  </si>
  <si>
    <t>OMB Reporting Tables</t>
  </si>
  <si>
    <t>Sorted List of CSP-CSO-Auth -- Used in Snapshot Drop-down</t>
  </si>
  <si>
    <t>Sorted List of CSPs</t>
  </si>
  <si>
    <t>Sorted List of CSOs</t>
  </si>
  <si>
    <t>Sorted List of Authorizing Agencies</t>
  </si>
  <si>
    <t>Access Board</t>
  </si>
  <si>
    <t>Adobe</t>
  </si>
  <si>
    <t>Adobe Connect Managed Services (ACMS-EW)</t>
  </si>
  <si>
    <t>F1509037235</t>
  </si>
  <si>
    <t>Sara Hall</t>
  </si>
  <si>
    <t>Administration for Children and Families</t>
  </si>
  <si>
    <t>https://community.max.gov/x/moHpNg</t>
  </si>
  <si>
    <t>https://community.max.gov/download/attachments/921272740/ATO.Letter_Adobe.ACMS.EW_HHS_07.09.15.pdf?api=v2</t>
  </si>
  <si>
    <t>Community Cloud</t>
  </si>
  <si>
    <t>Brandon Benson</t>
  </si>
  <si>
    <t>brbenson@adobe.com</t>
  </si>
  <si>
    <t>www.adobe.com</t>
  </si>
  <si>
    <t>Low</t>
  </si>
  <si>
    <t>FedRAMP Compliant</t>
  </si>
  <si>
    <t>Adobe offers immersive online meeting experiences for collaboration, large scale webinars, and virtual classrooms.  This software as a service (SaaS) capability is FedRAMP certified and supports:
 - Instant Access:  Allow participants on desktop to enter hassle-free
   with no downloads 
 - Security:  Choose an industry-leading solution used    across the
   intelligence community, federal civilian, and department    of
   defense 
 - Compliance:  Support your audience with Section 508      
   accessibility standards features 
 - Mobility:  Enjoy hosting, file          sharing, whiteboarding, and
   emoticons via mobile 
 - Tracking:  Measure      live learner    participation with engagement
   monitoring 
 - Training:  Use     the SCORM    / AICC features of a    Learning
   Management System (LMS) at a        fraction of the cost
Entirely managed and maintained by a single partner, organizations can rely on Adobe’s expertise managing the most complex and mission-critical collaboration and eLearning solutions.  Adobe provides cloud hosting and expert application support enabling enterprises to concentrate on collaboration and eLearning missions. A single, named point of contact (customer success engineer) is assigned to each customer to support “go-live” operations, as well as steady state continuous delivery and continuous diagnostics and mitigation.  Adobe Connect Managed Services (ACMS) is available for GovCloud (ACMS-GC) and US East-US West (ACMS-EW).</t>
  </si>
  <si>
    <t>https://marketplace.fedramp.gov/img/logos/CSP_logos/Adobe%20Logo.jpg</t>
  </si>
  <si>
    <t>Table 1 -  All JAB P-ATOs, Agency ATOs, and CSP Supplied</t>
  </si>
  <si>
    <t>FY15-002</t>
  </si>
  <si>
    <t>Adobe Connect Managed Services (ACMS-GC)</t>
  </si>
  <si>
    <t>F1509037236</t>
  </si>
  <si>
    <t>https://community.max.gov/x/U4HpNg</t>
  </si>
  <si>
    <t>https://community.max.gov/download/attachments/921272709/ATO.Letter_Adobe.ACMS.GC_HHS_07.09.15.pdf?api=v2</t>
  </si>
  <si>
    <t/>
  </si>
  <si>
    <t>All</t>
  </si>
  <si>
    <t>Administrative Conference of the United States</t>
  </si>
  <si>
    <t>Administration of Foreign Affairs</t>
  </si>
  <si>
    <t>Department of State</t>
  </si>
  <si>
    <t>Paas</t>
  </si>
  <si>
    <t>FY15-003</t>
  </si>
  <si>
    <t>Adobe Experience Manager Managed Services (AEMMS-EW)</t>
  </si>
  <si>
    <t>F1509037239</t>
  </si>
  <si>
    <t>FedRAMP Compliant (In PMO Review)</t>
  </si>
  <si>
    <t>https://community.max.gov/x/nYHpNg</t>
  </si>
  <si>
    <t>Table 2 -  Sponsored JAB P-ATOs, Agency ATOs, and CSP Supplied</t>
  </si>
  <si>
    <t>https://community.max.gov/download/attachments/921272752/ATO.Letter_Adobe.AEMMS.EW_HHS_07.09.15.pdf?api=v2</t>
  </si>
  <si>
    <t>Create, manage and deliver digital experiences across websites, mobile sites and on-site screens that are global in reach, yet personally relevant and engaging.  Forrester ranks Adobe as the  leader in web content management;  Adobe received the highest scores possible for its current offering, strategy and market presence.  This software as a service (SaaS) capability is FedRAMP certified and allows customers to:
 - Increase Efficiency:  Build, share and deliver content from the same
   place 
 - Support Agile Delivery:  Quickly deliver personalized    experiences
   across different screens, geos and channels Promote    
 - Consistency:     Use a library of content that can be easily reused  
   enterprise-wide
Entirely managed and maintained by Adobe; organizations can rely on Adobe’s expertise managing the most complex and mission-critical Experience Manager deployments all over the world. Adobe provides cloud hosting and expert application support enabling enterprises to concentrate on citizen engagement and digital transformation. A single, named point of contact (customer success engineer) is assigned to each customer to support “go-live” operations, as well as steady state continuous delivery and continuous diagnostics and mitigation.  Adobe Experienced Manager Managed Services (AEMMS) is available for GovCloud (AEMMS-GC) and US East-US West (AEMMS-EW).</t>
  </si>
  <si>
    <t>FY15-004</t>
  </si>
  <si>
    <t>Adobe Experience Manager Managed Services (AEMMS-GC)</t>
  </si>
  <si>
    <t>F1509037238</t>
  </si>
  <si>
    <t>https://community.max.gov/x/WIHpNg</t>
  </si>
  <si>
    <t>https://community.max.gov/download/attachments/921272705/ATO.Letter_Adobe.AEMMS.GC_HHS_07.09.15.pdf?api=v2</t>
  </si>
  <si>
    <t>Advisory Council on Historic Preservation</t>
  </si>
  <si>
    <t>Administration on Aging</t>
  </si>
  <si>
    <t>Multiple</t>
  </si>
  <si>
    <t>FedRAMP In Process</t>
  </si>
  <si>
    <t>Table 2a -  Sponsored JAB P-ATOs</t>
  </si>
  <si>
    <t>FY15-005</t>
  </si>
  <si>
    <t>Adobe LiveCycle Managed Services (LCMS-EW)</t>
  </si>
  <si>
    <t>F1509037237</t>
  </si>
  <si>
    <t>https://community.max.gov/x/XYHpNg</t>
  </si>
  <si>
    <t>https://community.max.gov/download/attachments/921272703/ATO.Letter_Adobe.LCMS.EW_HHS_07.09.15.pdf?api=v2</t>
  </si>
  <si>
    <t>Affordable Housing Program</t>
  </si>
  <si>
    <t>SaaS &amp; PaaS</t>
  </si>
  <si>
    <t>Table 2b -  Sponsored Agency ATOs</t>
  </si>
  <si>
    <t>Simplify the creation, processing, and securing of electronic forms and documents.   The Adobe solution supports employee / citizen enrollments and other communications, and integrates them into an engaging, digital experience.   This platform as a service (PaaS) capability is FedRAMP certified and allows customers to:
 - Streamline form discovery:  Make forms easy to find, and deliver based on device, location or customer profile. 
 - Simplify form filling: Complete forms using pre-filled fields, help text and videos, and    electronic signing 
 - Increase process efficiency:  Develop automated workflows
 - Personalize responses: Create personalized, interactive statements to support access from    anywhere 
 - Proactively secure and track: Secure sensitive documents, control and track their use with    digital rights management (DRM)
Entirely managed and maintained by Adobe; organizations can rely on Adobe’s expertise managing the most complex and mission-critical Experience Manager deployments all over the world. Adobe provides cloud hosting and expert application support enabling enterprises to concentrate on citizen engagement and digital transformation. A single, named point of contact (customer success engineer) is assigned to each customer to support “go-live” operations, as well as steady state continuous delivery and continuous diagnostics and mitigation.  Adobe LiveCycle Managed Services (LCMS) is available for GovCloud (LCMS-GC) and US East-US West (LCMS-EW).</t>
  </si>
  <si>
    <t>FY15-006</t>
  </si>
  <si>
    <t>Adobe LiveCycle Managed Services (LCMS-GC)</t>
  </si>
  <si>
    <t>Appalachian Regional Commission</t>
  </si>
  <si>
    <t>F1207261446</t>
  </si>
  <si>
    <t>African Development Foundation</t>
  </si>
  <si>
    <t>U.S. Agency for International Development</t>
  </si>
  <si>
    <t>PaaS &amp; IaaS</t>
  </si>
  <si>
    <t>Table 2c -  CSP Supplied</t>
  </si>
  <si>
    <t>https://community.max.gov/x/u4JsNQ</t>
  </si>
  <si>
    <t>https://community.max.gov/download/attachments/896697770/ATO.Letter_Adobe.LCMS.GC_HHS_07.09.15.pdf?api=v2</t>
  </si>
  <si>
    <t>Simplify the creation, processing, and securing of electronic forms and documents.   The Adobe solution supports employee / citizen enrollments and other communications, and integrates them into an engaging, digital experience.   This platform as a service (PaaS) capability is FedRAMP certified and allows customers to:
 - Streamline form discovery:  Make forms easy to find, and deliver based on device, location or customer profile. 
 - Simplify form filling: Complete forms using pre-filled fields, help text and videos, and    electronic signing 
 - Increase process efficiency:  Develop automated workflows
 - Personalize responses: Create personalized, interactive statements to support access from    anywhere 
 - Proactively secure and track: Secure sensitive documents, control and track their use with    digital rights management (DRM)
Entirely managed and maintained by Adobe; organizations can rely on Adobe’s expertise managing the most complex and mission-critical Experience Manager deployments all over the world. Adobe provides cloud hosting and expert application support enabling enterprises to concentrate on citizen engagement and digital transformation. A single, named point of contact (customer success engineer) is assigned to each customer to support “go-live” operations, as well as steady state continuous delivery and continuous diagnostics and mitigation.  Adobe LiveCycle Managed Services (LCMS) is available for GovCloud (LCMS-GC) and US East-US West (LCMS-EW).</t>
  </si>
  <si>
    <t>Barry Goldwater Scholarship and Excellence in Education Foundation</t>
  </si>
  <si>
    <t>Agency for Healthcare Research and Quality</t>
  </si>
  <si>
    <t>FY15-007</t>
  </si>
  <si>
    <t>Table 3 -  Leveraged JAB P-ATOs, Agency ATOs, and CSP Supplied</t>
  </si>
  <si>
    <t>John Hickey</t>
  </si>
  <si>
    <t>https://community.max.gov/download/attachments/779322049/ATO.Letter_AINS_DOD.DISA_3.26.15.pdf?api=v2</t>
  </si>
  <si>
    <t>Broadcasting Board of Governors</t>
  </si>
  <si>
    <t>Agricultural Marketing Service</t>
  </si>
  <si>
    <t>Table 3a -  Leveraged JAB P-ATOs</t>
  </si>
  <si>
    <t>FY15-008</t>
  </si>
  <si>
    <t>Bureau of Consumer Financial Protection</t>
  </si>
  <si>
    <t>Agricultural Research Service</t>
  </si>
  <si>
    <t>Used in Dashboard</t>
  </si>
  <si>
    <t>Table 3b -  Leveraged Agency ATOs</t>
  </si>
  <si>
    <t>https://community.max.gov/download/attachments/1256457901/ATO.Letter_Akamai_Treasury_10.30.14.pdf?api=v2</t>
  </si>
  <si>
    <t>Central Intelligence Agency</t>
  </si>
  <si>
    <t>Air Force</t>
  </si>
  <si>
    <t>List of CSO Given a CSP</t>
  </si>
  <si>
    <t>FY15-009</t>
  </si>
  <si>
    <t>Table 3c -  Leveraged CSP Supplied</t>
  </si>
  <si>
    <t>June Hartley</t>
  </si>
  <si>
    <t>https://community.max.gov/download/attachments/1256457901/ATO.Letter_Akamai_DOI_12.16.14.pdf?api=v2</t>
  </si>
  <si>
    <t>Chemical Safety and Hazard Investigation Board</t>
  </si>
  <si>
    <t>Alcohol and Tobacco Tax and Trade Bureau</t>
  </si>
  <si>
    <t>FY15-010</t>
  </si>
  <si>
    <t>https://community.max.gov/download/attachments/1256457901/ATO.Letter_Akamai_DOD.DISA_3.26.15.pdf?api=v2</t>
  </si>
  <si>
    <t>10/25/2016: Expired ATO made inactive in FY17. Replaced by FY17-002</t>
  </si>
  <si>
    <t>Christopher Columbus Fellowship Foundation</t>
  </si>
  <si>
    <t>Allowances</t>
  </si>
  <si>
    <t>FY15-012</t>
  </si>
  <si>
    <t>Adam Sieminski</t>
  </si>
  <si>
    <t>Civilian Property Realignment Board</t>
  </si>
  <si>
    <t>https://community.max.gov/download/attachments/1116602815/ATO.Letter_Akamai_DOE_09.30.15.pdf?api=v2</t>
  </si>
  <si>
    <t>American Battle Monuments Commission</t>
  </si>
  <si>
    <t>Other Defense Civil Programs</t>
  </si>
  <si>
    <t>FY15-013</t>
  </si>
  <si>
    <t>Commission on Civil Rights</t>
  </si>
  <si>
    <t>https://community.max.gov/download/attachments/1115488742/ATO.Letter_AWSEW_Treasury_10.30.14.pdf?api=v2</t>
  </si>
  <si>
    <t>Animal and Plant Health Inspection Service</t>
  </si>
  <si>
    <t>FY15-014</t>
  </si>
  <si>
    <t>Commission on Ocean Policy</t>
  </si>
  <si>
    <t>Architect of the Capitol</t>
  </si>
  <si>
    <t>Legislative Branch</t>
  </si>
  <si>
    <t>Energy Information Administration</t>
  </si>
  <si>
    <t>https://community.max.gov/download/attachments/1115488742/ATO.Letter_AWS.EW_DOE_11.25.14.pdf?api=v2</t>
  </si>
  <si>
    <t>Committee for Purchase from People who are Blind or Severely Disabled, activities</t>
  </si>
  <si>
    <t>Armed Forces Retirement Home</t>
  </si>
  <si>
    <t>Commodity Futures Trading Commission</t>
  </si>
  <si>
    <t>Army</t>
  </si>
  <si>
    <t>FY15-015</t>
  </si>
  <si>
    <t>Consumer Product Safety Commission</t>
  </si>
  <si>
    <t>Bank Insurance</t>
  </si>
  <si>
    <t>Federal Deposit Insurance Corporation</t>
  </si>
  <si>
    <t>Laura Marin</t>
  </si>
  <si>
    <t>https://community.max.gov/download/attachments/1115488742/ATO.Letter_AWS.EW_HUD_12.24.14.pdf?api=v2</t>
  </si>
  <si>
    <t>Corporation for National and Community Service</t>
  </si>
  <si>
    <t>Benefits Programs</t>
  </si>
  <si>
    <t>Corporation for Public Broadcasting</t>
  </si>
  <si>
    <t>Botanic Garden</t>
  </si>
  <si>
    <t>FY15-016</t>
  </si>
  <si>
    <t>Corporation for Travel Promotion</t>
  </si>
  <si>
    <t>Bureau of Alcohol, Tobacco, Firearms, and Explosives</t>
  </si>
  <si>
    <t>National Aeronautics and Space Administration</t>
  </si>
  <si>
    <t>Deborah Diaz</t>
  </si>
  <si>
    <t>Council of the Inspectors General on Integrity and Efficiency</t>
  </si>
  <si>
    <t>Bureau of Engraving and Printing</t>
  </si>
  <si>
    <t>Court Services and Offender Supervision Agency for the District of Columbia</t>
  </si>
  <si>
    <t>Bureau of Indian Affairs and Bureau of Indian Education</t>
  </si>
  <si>
    <t>https://community.max.gov/download/attachments/1115488742/ATO.Letter_AWS.EW_NASA.03.04.15.pdf?api=v2</t>
  </si>
  <si>
    <t>Defense Nuclear Facilities Safety Board</t>
  </si>
  <si>
    <t>Bureau of Industry and Security</t>
  </si>
  <si>
    <t xml:space="preserve">
4/14/16: Original email with this ATO letter noted that it is a draft.
5/23/16: ATO letter date referenced by FY16-36 to be 8/27/13</t>
  </si>
  <si>
    <t>https://marketplace.fedramp.gov/img/logos/Agency_logos/NASA_logo.png</t>
  </si>
  <si>
    <t>Delta Regional Authority</t>
  </si>
  <si>
    <t>Bureau of Labor Statistics</t>
  </si>
  <si>
    <t>FY15-017</t>
  </si>
  <si>
    <t>Denali Commission</t>
  </si>
  <si>
    <t>Bureau of Land Management</t>
  </si>
  <si>
    <t>https://community.max.gov/download/attachments/1115488742/ATO.Letter_AWS.Redshift_DOD.DISA_3.26.15.pdf?api=v2</t>
  </si>
  <si>
    <t xml:space="preserve">Bureau of Mines </t>
  </si>
  <si>
    <t>Election Assistance Commission</t>
  </si>
  <si>
    <t>FY15-018</t>
  </si>
  <si>
    <t>Bureau of Ocean Energy Management, Regulation and Enforcement</t>
  </si>
  <si>
    <t>Electric Reliability Organization</t>
  </si>
  <si>
    <t>https://community.max.gov/download/attachments/1115488742/ATO.Letter_AWS.EW_DOC_08.26.15.pdf?api=v2</t>
  </si>
  <si>
    <t>Bureau of Reclamation</t>
  </si>
  <si>
    <t>Equal Employment Opportunity Commission</t>
  </si>
  <si>
    <t>FY15-019</t>
  </si>
  <si>
    <t>Bureau of Safety and Environmental Enforcement</t>
  </si>
  <si>
    <t>Tennessee Valley Authority</t>
  </si>
  <si>
    <t>Daniel Traynor</t>
  </si>
  <si>
    <t>https://community.max.gov/download/attachments/1115488742/ATO.Letter_AWS.EW_TVA_06.26.15.pdf?api=v2</t>
  </si>
  <si>
    <t>Bureau of the Census</t>
  </si>
  <si>
    <t>Export-Import Bank of the United States</t>
  </si>
  <si>
    <t>https://marketplace.fedramp.gov/img/logos/Agency_logos/US-TennesseeValleyAuthority-Logo.png</t>
  </si>
  <si>
    <t>FY15-020</t>
  </si>
  <si>
    <t>The Arcanum Group Inc.</t>
  </si>
  <si>
    <t>Infor SyteLine ERP Suite</t>
  </si>
  <si>
    <t>F1607057911</t>
  </si>
  <si>
    <t>Bureau of the Public Debt</t>
  </si>
  <si>
    <t>Harry Lee</t>
  </si>
  <si>
    <t>Farm Credit Administration</t>
  </si>
  <si>
    <t>https://community.max.gov/download/attachments/944865902/ATO.Letter_Arcanum_DOC.Census_09.24.15.pdf?api=v2</t>
  </si>
  <si>
    <t>Robert Fortier</t>
  </si>
  <si>
    <t>info@thearcanumgroup.com</t>
  </si>
  <si>
    <t>www.thearcanumgroup.com</t>
  </si>
  <si>
    <t>Cemeterial Expenses</t>
  </si>
  <si>
    <t>Farm Credit System</t>
  </si>
  <si>
    <t>Centers for Disease Control and Prevention</t>
  </si>
  <si>
    <t>Farm Credit System Insurance Corporation</t>
  </si>
  <si>
    <t>The Integrated Logistics Management System is a cloud-based, Software-as-a-Subscription solution, hosted and licensed by The Arcanum Group, Inc. ILMS provides the U.S. Census Bureau with inventory, warehousing, and customer service modules of the commercial off-the-shelf Infor SyteLine 9.00.30 Enterprise Resource Planning application. The system provides logistics support for censuses and surveys with real time, integrated logistics data for decision support, program control, and response to unplanned requirements. The ILMS system supports planning and execution of logistics activities as well as capturing logistics costs.</t>
  </si>
  <si>
    <t>Centers for Medicare and Medicaid Services</t>
  </si>
  <si>
    <t>Federal Communications Commission</t>
  </si>
  <si>
    <t>https://marketplace.fedramp.gov/img/logos/CSP_logos/Arcanum%20Logo.jpg</t>
  </si>
  <si>
    <t>Central Utah Project</t>
  </si>
  <si>
    <t>FY15-021</t>
  </si>
  <si>
    <t>National Labor Relations Board</t>
  </si>
  <si>
    <t>Bryan Burnett</t>
  </si>
  <si>
    <t>Citizenship and Immigration Services</t>
  </si>
  <si>
    <t>Federal Election Commission</t>
  </si>
  <si>
    <t>https://community.max.gov/download/attachments/1113425425/ATO.Letter_AWS.GC_NLRB_10.24.14.pdf?api=v2</t>
  </si>
  <si>
    <t>https://marketplace.fedramp.gov/img/logos/Agency_logos/National_Labor_Relations_Board_logo_-_color.png</t>
  </si>
  <si>
    <t>FY15-022</t>
  </si>
  <si>
    <t>https://community.max.gov/download/attachments/1113425425/ATO.Letter_AWSGC_Treasury_10.30.14.pdf?api=v2</t>
  </si>
  <si>
    <t>Community Planning and Development</t>
  </si>
  <si>
    <t>Federal Financial Institutions Examination Council</t>
  </si>
  <si>
    <t>FY15-023</t>
  </si>
  <si>
    <t>Appian</t>
  </si>
  <si>
    <t>Appian Cloud</t>
  </si>
  <si>
    <t>Comptroller of the Currency</t>
  </si>
  <si>
    <t>F1210011608</t>
  </si>
  <si>
    <t>Federal Transportation Administration</t>
  </si>
  <si>
    <t>Matthew Crouch</t>
  </si>
  <si>
    <t>https://community.max.gov/x/lAC8Mg</t>
  </si>
  <si>
    <t>https://community.max.gov/download/attachments/1115488812/ATO.Letter_Appian_DOT_04.23.15.pdf?api=v2</t>
  </si>
  <si>
    <t>Congressional Budget Office</t>
  </si>
  <si>
    <t>Federal Home Loan Bank System</t>
  </si>
  <si>
    <t>fedramp@appian.com</t>
  </si>
  <si>
    <t>www.appian.com</t>
  </si>
  <si>
    <t>Appian delivers an enterprise platform for digital transformation that enables agencies to revolutionize their constituent experience, optimize their operations, and enforce compliance initiatives. Powered by industry leading Business Process Management (BPM) and Case Management capabilities, Appian’s low-code approach can radically accelerate the time it takes to build and deploy powerful, modern applications in the cloud.</t>
  </si>
  <si>
    <t>https://marketplace.fedramp.gov/img/logos/CSP_logos/Appian%20Logo.jpg</t>
  </si>
  <si>
    <t>Construction</t>
  </si>
  <si>
    <t>Federal Home Loan Mortgage Corporation</t>
  </si>
  <si>
    <t>FY15-024</t>
  </si>
  <si>
    <t>Council of Economic Advisers</t>
  </si>
  <si>
    <t>Federal Housing Enterprise Regulator</t>
  </si>
  <si>
    <t>https://community.max.gov/download/attachments/1256457937/ATO.Letter_ATT_DOD.DISA_3.26.15.pdf?api=v2</t>
  </si>
  <si>
    <t>fhkeel@att.com</t>
  </si>
  <si>
    <t>Council on Environmental Quality and Office of Environmental Quality</t>
  </si>
  <si>
    <t>10/25/2016: Expired ATO made inactive in FY17. Replaced by FY17-003</t>
  </si>
  <si>
    <t>Federal Housing Finance Agency</t>
  </si>
  <si>
    <t>FY15-025</t>
  </si>
  <si>
    <t>Environmental Protection Agency</t>
  </si>
  <si>
    <t>Douglas Hooker</t>
  </si>
  <si>
    <t>Courts of Appeals, District Courts, and other Judicial Services</t>
  </si>
  <si>
    <t>Federal Labor Relations Authority</t>
  </si>
  <si>
    <t>https://community.max.gov/download/attachments/1155204092/ATO.Letter_AR.ARC-P_DOE_10.14.14.pdf?api=v2</t>
  </si>
  <si>
    <t>Federal Maritime Commission</t>
  </si>
  <si>
    <t>FY15-026</t>
  </si>
  <si>
    <t>Federal Mediation and Conciliation Service</t>
  </si>
  <si>
    <t>https://community.max.gov/download/attachments/1155204092/ATO.Letter_ARC-P_DOD.DISA_3.26.15.pdf?api=v2</t>
  </si>
  <si>
    <t>Defense-wide</t>
  </si>
  <si>
    <t>6/27/16: Has been replaced by FY16-33, AO Roger Greenwell</t>
  </si>
  <si>
    <t>Federal Mine Safety and Health Review Commission</t>
  </si>
  <si>
    <t>FY15-027</t>
  </si>
  <si>
    <t xml:space="preserve">ARCWRX </t>
  </si>
  <si>
    <t>F1311272686</t>
  </si>
  <si>
    <t>https://community.max.gov/x/OoJqLg</t>
  </si>
  <si>
    <t>https://community.max.gov/download/attachments/1116602743/P-ATO_ARCWRX_09.24.15.pdf?api=v2</t>
  </si>
  <si>
    <t>Department-Wide Programs</t>
  </si>
  <si>
    <t>The ARCWRX Platform-as-a-Service (PaaS) offering, built on RedHat OpenShift, provides an application development platform within a multi-tenant virtual environment leveraging the ARC-P IaaS system. Provisioning, automatic scaling, and management of application containers are inherent platform features. The ARCWRX platform allows customer agency and mission developers to design, build, publish, manage, and scale government applications in a secure virtual container runtime environment utilizing programing languages such as Java, PHP, Ruby, Node.js, and Perl with database options including MongoDb, MySQL, and PostgreSQL. Agency and mission customers are afforded the ability to concentrate efforts on application code development while the operation and maintenance of the underlying infrastructure is abstracted. Additional benefits of the ARCWRX PaaS offering include on demand self-service provisioning, broad network access, resource pooling, rapid elasticity, measured service, and the ability to scale applications automatically to handle increased traffic load and demand. A complete set of continuous integration and revision control tools include Git, Jenkins, and Cron and allow for streamlined application development.</t>
  </si>
  <si>
    <t>Federal National Mortgage Association</t>
  </si>
  <si>
    <t>11/21/16: System moved to ARC-P, Made inactive in FY-17</t>
  </si>
  <si>
    <t>FY15-028</t>
  </si>
  <si>
    <t xml:space="preserve">Avue Technologies </t>
  </si>
  <si>
    <t xml:space="preserve">Avue Digital Services </t>
  </si>
  <si>
    <t>F1206191394</t>
  </si>
  <si>
    <t>Office of Justice Programs</t>
  </si>
  <si>
    <t>Angel Santa</t>
  </si>
  <si>
    <t>https://community.max.gov/x/NYE7Mw</t>
  </si>
  <si>
    <t>Departmental Administration</t>
  </si>
  <si>
    <t>https://community.max.gov/download/attachments/1510411522/ATO.Letter_Avue_DOJ_03.27.15.pdf?api=v2</t>
  </si>
  <si>
    <t>Federal Retirement Thrift Investment Board</t>
  </si>
  <si>
    <t>Rick Payne</t>
  </si>
  <si>
    <t>fedramp@avuetech.com</t>
  </si>
  <si>
    <t>www.avuetech.com</t>
  </si>
  <si>
    <t>https://marketplace.fedramp.gov/img/logos/CSP_logos/Avue%20Logo.jpg</t>
  </si>
  <si>
    <t>FY15-029</t>
  </si>
  <si>
    <t>https://community.max.gov/download/attachments/1510411522/ATO.Letter_Avue_DOD.DISA_6.11.15.pdf?api=v2</t>
  </si>
  <si>
    <t>Departmental Management</t>
  </si>
  <si>
    <t>Financing Vehicles and the Board of Governors of the Federal Reserve</t>
  </si>
  <si>
    <t>FY15-030</t>
  </si>
  <si>
    <t>Blackmesh</t>
  </si>
  <si>
    <t>Secure Cloud</t>
  </si>
  <si>
    <t>AGENCYBLACKMESH</t>
  </si>
  <si>
    <t>Harry S Truman Scholarship Foundation</t>
  </si>
  <si>
    <t>Rodney Turk</t>
  </si>
  <si>
    <t>https://community.max.gov/x/VgJbMg</t>
  </si>
  <si>
    <t>https://community.max.gov/download/attachments/992346654/ATO.Letter_BlackMesh_DOE_04.08.15.pdf?api=v2</t>
  </si>
  <si>
    <t>sales@blackmesh.com</t>
  </si>
  <si>
    <t>www.blackmesh.com</t>
  </si>
  <si>
    <t>Independent Payment Advisory Board</t>
  </si>
  <si>
    <t>SecureCloud is provided by BlackMesh as a FedRAMP Moderate Platform as a Service (PaaS) offering. The offering consists several managed services to facilitate hosting federal applications in a secure environment. The solution provided is a multi-tenant cloud-based environment, with the option for deployment of single-tenant environments if required by specific customers and system owners. BlackMesh is able to provide hosting environments compliant with requirements including, but not limited to, FedRAMP, FISMA, PCI DSS, and HIPAA.
BlackMesh offers a managed hosting service that empowers customers to retain complete control over the application environment, while dramatically reducing the time and cost associated with in-house administration. BlackMesh solutions are designed to provide end-to-end managed hosting – from software, server, and network support, including setup, configuration, upgrades, monitoring, and troubleshooting. SecureCloud supports the following technologies within the tenant space: CentOS, Red Hat Enterprise Linux, Oracle Linux, Ubuntu, and Microsoft Windows Server. BlackMesh provisions customers instances with Apache, PHP, MySQL, IIS, .net, Active Directory, SQL Server, Oracle Database, LDAP and other technologies on behalf of the customer.
BlackMesh manages the customer tenant from the application down to the infrastructure as defined by Platform as a Service (PaaS). Within SecureCloud, tenants automatically get monitoring, security hardening, Operating System management and patching, managed backups, and managed firewalls. BlackMesh manages up to the application code including approved configuration changes for the system owner.
The managed hosting solution provided by BlackMesh is based upon virtualized hosts, and provides support for on-demand creation of virtual machines. Individual tenant environments within SecureCloud are isolated from one another through security capabilities at both the network and host levels.</t>
  </si>
  <si>
    <t>https://marketplace.fedramp.gov/img/logos/CSP_logos/Blackmesh%20Logo.jpg</t>
  </si>
  <si>
    <t>FY15-031</t>
  </si>
  <si>
    <t>Indian Law and Order Commission</t>
  </si>
  <si>
    <t>https://community.max.gov/download/attachments/992346654/ATO.Letter_Blackmesh_DOD.DISA_6.11.15.pdf?api=v2</t>
  </si>
  <si>
    <t>Institute of American Indian and Alaska Native Culture and Arts Development</t>
  </si>
  <si>
    <t>Departmental Management and Operations</t>
  </si>
  <si>
    <t>Institute of Museum and Library Services</t>
  </si>
  <si>
    <t>FY15-032</t>
  </si>
  <si>
    <t>Clear Government Solutions (CGS)</t>
  </si>
  <si>
    <t>FedGRID Government Community Cloud</t>
  </si>
  <si>
    <t>F1212111782</t>
  </si>
  <si>
    <t>https://community.max.gov/x/p4i8Jw</t>
  </si>
  <si>
    <t>Departmental Offices</t>
  </si>
  <si>
    <t>Intelligence Community Management Account</t>
  </si>
  <si>
    <t>https://community.max.gov/download/attachments/1153174291/P-ATO_CGS_10.20.14.pdf?api=v2</t>
  </si>
  <si>
    <t>Chris Grady</t>
  </si>
  <si>
    <t>chris.grady@cleargovsolutions.com</t>
  </si>
  <si>
    <t>www.cleargovsolutions.com</t>
  </si>
  <si>
    <t>FedGRID is an Infrastructure as a Service (IaaS) Government Community cloud purpose built to meet the demands of the U.S. Federal Government – specifically FedRAMP JAB security controls. FedGRID was also designed to meet the contractual requirements of the GSA Infrastructure as a Service Blanket Purchase Agreement (BPA) – established to help agencies achieve efficiencies and savings, and to comply with federal mandates such as ‘Cloud First’.</t>
  </si>
  <si>
    <t xml:space="preserve">1/18/17: CGS JAB P-ATO is revoked. Removed from website. </t>
  </si>
  <si>
    <t>International Trade Commission</t>
  </si>
  <si>
    <t>FY15-033</t>
  </si>
  <si>
    <t>Deposit Insurance</t>
  </si>
  <si>
    <t>James Madison Memorial Fellowship Foundation</t>
  </si>
  <si>
    <t>https://community.max.gov/download/attachments/1153174291/ATO.Letter_CGS_DOD.DISA_3.26.15.pdf?api=v2</t>
  </si>
  <si>
    <t>FY15-034</t>
  </si>
  <si>
    <t>Japan-United States Friendship Commission</t>
  </si>
  <si>
    <t>Domestic Nuclear Detection Office</t>
  </si>
  <si>
    <t>https://community.max.gov/download/attachments/1153174318/ATO.Letter_CTC_DOD.DISA_3.26.15.pdf?api=v2</t>
  </si>
  <si>
    <t>Drug Enforcement Administration</t>
  </si>
  <si>
    <t>Legal Services Corporation</t>
  </si>
  <si>
    <t>FY15-035</t>
  </si>
  <si>
    <t>Cornerstone OnDemand</t>
  </si>
  <si>
    <t>Unified Talent Management Suite (CUTMS)</t>
  </si>
  <si>
    <t>F1509217359</t>
  </si>
  <si>
    <t>https://community.max.gov/x/fgIhMg</t>
  </si>
  <si>
    <t>https://community.max.gov/download/attachments/930415021/ATO.Letter_Cornerstone.OnDemand_Treasury_09.22.15.pdf?api=v2</t>
  </si>
  <si>
    <t>Economic and Statistical Analysis</t>
  </si>
  <si>
    <t>David Toy</t>
  </si>
  <si>
    <t>DToy@csod.com</t>
  </si>
  <si>
    <t>www.cornerstoneondemand.com</t>
  </si>
  <si>
    <t>Cornerstone OnDemand (NASDAQ: CSOD) is the global leader in cloud-based learning and talent management software. The company’s solutions help organizations realize the potential of the modern workforce. From recruitment, onboarding, training and collaboration, to performance management, compensation, succession planning and analytics, Cornerstone is designed to enable a lifetime of learning and development that is fundamental to the growth of employees and organizations.
Based in Santa Monica, California, the company’s solutions are used by nearly 2,700 clients worldwide, spanning 25 million users across 191 countries and 42 languages.
To learn more about Cornerstone, visit us on Twitter, Facebook and our blog. For more information, visit [www.cornerstoneondemand.com](https://www.cornerstoneondemand.com/).</t>
  </si>
  <si>
    <t>https://marketplace.fedramp.gov/img/logos/CSP_logos/Cornerstone%20Logo.jpg</t>
  </si>
  <si>
    <t>Economic Development Administration</t>
  </si>
  <si>
    <t>Marine Mammal Commission</t>
  </si>
  <si>
    <t>FY15-036</t>
  </si>
  <si>
    <t>Rackspace Government Solutions</t>
  </si>
  <si>
    <t>Rackspace Government Cloud</t>
  </si>
  <si>
    <t>F1510137547</t>
  </si>
  <si>
    <t>Economic Development Challenge</t>
  </si>
  <si>
    <t>Merit Systems Protection Board</t>
  </si>
  <si>
    <t>https://community.max.gov/x/GATJO</t>
  </si>
  <si>
    <t>https://community.max.gov/download/attachments/1153174344/P-ATO_DGS_09.24.15.pdf?api=v2</t>
  </si>
  <si>
    <t>Dan Tudahl</t>
  </si>
  <si>
    <t>GovOps@rackspace.com</t>
  </si>
  <si>
    <t>www.rackspace.com/government</t>
  </si>
  <si>
    <t>Economic Research Service</t>
  </si>
  <si>
    <t>Morris K Udall and Stewart L Udall Foundation</t>
  </si>
  <si>
    <t>The Rackspace Government Solutions Rackspace Government Cloud (FCCP) provides a unique approach to security that allows federal agencies to have more control and flexibility to meet their unique security needs. This platform is one of the first P-ATOs issued to a PaaS cloud service provider covering management through the virtual operating system.
FCCP brings together the benefits of standardized cloud elements such as common tools, processes, and training while affording agencies a level of flexibility that is not normally available in existing public cloud environments. Government agencies can layer on agency-specific controls in addition to those certified by FedRAMP.
Designed from the ground up for security sensitive U.S. Government customers, FCCP provides customers with a fully managed cloud environment including:
 - Virtual Operating System Administration 
 - Continuous Monitoring    
 - Disaster Recovery 
 - World-Class Data Centers    
 - Backups 
 - Vulnerability Scanning   
 - Multi-factor Authentication    
 - Change and Configuration Management 
 - Network and Operating System Patching 
 - Performance Monitoring in Real-Time 
 - Antivirus    
 - FISMA/FedRAMPSM Security Documentation 
 - Secure Cloud Module with the Ability to Support Agency-Specific Controls    
 - Zero-overlap Architecture Allowing for Faster Deployment and Auditing Times 
 - Continuous Monitoring                
 - Software-as-a-Service (SaaS) Enablement</t>
  </si>
  <si>
    <t>https://marketplace.fedramp.gov/img/logos/CSP_logos/Rackspace%20Logo.jpg</t>
  </si>
  <si>
    <t>FY15-037</t>
  </si>
  <si>
    <t>Educational Benefits</t>
  </si>
  <si>
    <t>Decision Lens Inc.</t>
  </si>
  <si>
    <t>Decision Lens Software</t>
  </si>
  <si>
    <t>F1507317125</t>
  </si>
  <si>
    <t>David Nelson</t>
  </si>
  <si>
    <t>https://community.max.gov/x/KYJsNQ</t>
  </si>
  <si>
    <t>https://community.max.gov/download/attachments/923206794/ATO.Letter_DecisionLens_HHS.CMS_08.06.15.pdf?api=v2</t>
  </si>
  <si>
    <t>Employee Benefits Security Administration</t>
  </si>
  <si>
    <t>Andy Keller</t>
  </si>
  <si>
    <t>National Capital Planning Commission</t>
  </si>
  <si>
    <t>andykeller@decisionlens.com</t>
  </si>
  <si>
    <t>www.decisionlens.com</t>
  </si>
  <si>
    <t>The Decision Lens Software is a cloud-based prioritization and resource optimization software solution. Decision Lens enables governmental organizations to make critical decisions in program and project prioritization and resourcing, modernization, resource allocation and optimization, and workforce planning. This cloud-based software, which is hosted on the FedRAMP-authorized Amazon Web Services (AWS) Infrastructure as a Service (IaaS), rapidly engages decision-makers to achieve better outcomes in a resource-constrained environment. Driven by sophisticated analytics, the Decision Lens Software empowers organizations to identify those investments that will deliver the best future outcomes.</t>
  </si>
  <si>
    <t>https://marketplace.fedramp.gov/img/logos/CSP_logos/Decision%20Lens%20Logo.jpg</t>
  </si>
  <si>
    <t>Employment and Training Administration</t>
  </si>
  <si>
    <t>National Council on Disability</t>
  </si>
  <si>
    <t>FY15-038</t>
  </si>
  <si>
    <t>Employment Standards Administration</t>
  </si>
  <si>
    <t>National Credit Union Administration</t>
  </si>
  <si>
    <t>John Showman</t>
  </si>
  <si>
    <t>https://community.max.gov/download/attachments/1155203360/ATO.Letter_EconSys_EPA_10.30.14.pdf?api=v2</t>
  </si>
  <si>
    <t>Energy Programs</t>
  </si>
  <si>
    <t>National Endowment for the Arts</t>
  </si>
  <si>
    <t>https://marketplace.fedramp.gov/img/logos/Agency_logos/Environmental_Protection_Agency_logo.png</t>
  </si>
  <si>
    <t>Environmental and Other Defense Activities</t>
  </si>
  <si>
    <t>FY15-039</t>
  </si>
  <si>
    <t>https://community.max.gov/download/attachments/1155203360/ATO.Letter_EconSys_DOD.DISA_3.26.15.pdf?api=v2</t>
  </si>
  <si>
    <t>Executive Operations</t>
  </si>
  <si>
    <t>Executive Residence at the White House</t>
  </si>
  <si>
    <t>National Mediation Board</t>
  </si>
  <si>
    <t>FY15-040</t>
  </si>
  <si>
    <t>Fair Housing and Equal Opportunity</t>
  </si>
  <si>
    <t>National Railroad Passenger Corporation Office of Inspector General</t>
  </si>
  <si>
    <t>https://community.max.gov/download/attachments/1155203360/ATO.Letter_EconSys_DOI_05.04.15.pdf?api=v2</t>
  </si>
  <si>
    <t>Family Housing</t>
  </si>
  <si>
    <t>National Transportation Safety Board</t>
  </si>
  <si>
    <t>FY15-041</t>
  </si>
  <si>
    <t>Farm Service Agency</t>
  </si>
  <si>
    <t>Neighborhood Reinvestment Corporation</t>
  </si>
  <si>
    <t>https://community.max.gov/download/attachments/992346677/ATO.Letter_EdgeHosting_DOD.DISA_3.26.15.pdf?api=v2</t>
  </si>
  <si>
    <t>FDIC Office of Inspector General</t>
  </si>
  <si>
    <t>Northern Border Regional Commission</t>
  </si>
  <si>
    <t>FY15-042</t>
  </si>
  <si>
    <t>Esri</t>
  </si>
  <si>
    <t>Esri Managed Cloud Services</t>
  </si>
  <si>
    <t>Nuclear Waste Technical Review Board</t>
  </si>
  <si>
    <t>F1311252651</t>
  </si>
  <si>
    <t>https://community.max.gov/x/44BdLw</t>
  </si>
  <si>
    <t>https://community.max.gov/download/attachments/992346679/ATO.Letter_ESRI_DOC_08.06.15.pdf?api=v2</t>
  </si>
  <si>
    <t>Occupational Safety and Health Review Commission</t>
  </si>
  <si>
    <t>Michael E. Young</t>
  </si>
  <si>
    <t>fedramp@esri.com</t>
  </si>
  <si>
    <t>www.esri.com</t>
  </si>
  <si>
    <t>https://marketplace.fedramp.gov/img/logos/CSP_logos/Esri%20Logo2.jpg</t>
  </si>
  <si>
    <t>Office of Government Ethics</t>
  </si>
  <si>
    <t>FY15-043</t>
  </si>
  <si>
    <t>Federal Drug Control Programs</t>
  </si>
  <si>
    <t>Kenneth Boyd</t>
  </si>
  <si>
    <t>Office of Navajo and Hopi Indian Relocation</t>
  </si>
  <si>
    <t>https://community.max.gov/download/attachments/992346679/ATO.Letter_ESRI_DOC.Census_09.04.15.pdf?api=v2</t>
  </si>
  <si>
    <t>Esri is a leading provider of geographic information systems (GIS) with decades of experience hosting solutions for customers. Esri Managed Cloud Services provides organizations with ready-to-use instances of ArcGIS running in the cloud and includes the infrastructure (facilities, hardware, network, and security), the software (Esri and third party), application deployment, testing, ongoing data management (data updates, backup, and archive), technical support, monitoring, and supporting 24/7 Security Operations Center. The environment has been architected following FISMA, NIST, and CIS guidance to facilitate FedRAMP moderate geospatial Platform-as-a-Service (PaaS) and Software-as-a-Service (SaaS) authorizations of our customer environments. EMCS enables quickly sharing geospatial content and providing access to critical information while the organization maintains complete control over the access to their services and maps. EMCS leverages the Amazon Web Services East / West Regions FedRAMP moderate cloud infrastructure.</t>
  </si>
  <si>
    <t>Office of Special Counsel</t>
  </si>
  <si>
    <t>FY15-044</t>
  </si>
  <si>
    <t>Federal Financial Institutions Examination Council Appraisal Subcommittee</t>
  </si>
  <si>
    <t>Office of the Federal Coordinator for Alaska Natural Gas Transportation Projects</t>
  </si>
  <si>
    <t>https://community.max.gov/x/SJMsKw</t>
  </si>
  <si>
    <t>https://community.max.gov/download/attachments/1155203492/P-ATO_HPE.FOD_01.27.15.pdf?api=v2</t>
  </si>
  <si>
    <t>The HPE Fortify on Demand (FoD) for US Public Sector performs security assessments of application code and web site/web services testing without any software to install or manage. Static Code Scanning of code such as Java, .NET, and other major programming languages for security defects are performed in the FoD System at the code layer followed by an audit review by an HPE Static auditor. Dynamic Web Site and Web Services testing use HPE’s WebInspect software as the scan engine, followed by a review from an HPE Dynamic tester.</t>
  </si>
  <si>
    <t>Other Commissions and Boards</t>
  </si>
  <si>
    <t>Formerly HPE - FoD</t>
  </si>
  <si>
    <t>Federal Financing Bank</t>
  </si>
  <si>
    <t>FY15-045</t>
  </si>
  <si>
    <t>Patient-Centered Outcomes Research Trust Fund</t>
  </si>
  <si>
    <t>Huddle US</t>
  </si>
  <si>
    <t>Huddle Enterprise Cloud Content Collaboration and File Sharing Portal for Government</t>
  </si>
  <si>
    <t>F1408115175</t>
  </si>
  <si>
    <t>United States Agency for International Development</t>
  </si>
  <si>
    <t>Jay Mahanand</t>
  </si>
  <si>
    <t>https://community.max.gov/x/KoE7Mw</t>
  </si>
  <si>
    <t>Federal Highway Administration</t>
  </si>
  <si>
    <t>Postal Service</t>
  </si>
  <si>
    <t>https://community.max.gov/download/attachments/992346693/ATO.Letter_Huddle_USAID_2.11.15.pdf?api=v2</t>
  </si>
  <si>
    <t>David Holman</t>
  </si>
  <si>
    <t>fedramp@huddle.com</t>
  </si>
  <si>
    <t>www.huddle.com</t>
  </si>
  <si>
    <t>Federal Judicial Center</t>
  </si>
  <si>
    <t>Presidio Trust</t>
  </si>
  <si>
    <t>Huddle provides cloud based online collaboration and document sharing solutions for users and businesses. Using a Software as a Service (SaaS) service model, Huddle combines Enterprise Content Management (ECM) and social software allowing companies and communities to collaborate flexibly.
The key functionality that the Huddle system provides is:
 - A web-based workspace area where teams of individuals can access their content 
 - Hierarchical file storage with clean document preview    
 - Document workflow such as reviews, comments and version history   
 - Permissions models around folders so access can be restricted to specific teams 
 - Creation and tracking of tasks assigned to members of the team, with automatic reminders 
 - Instant note taking facility with mark-down formatting
 - Dashboard feature to provide a quick overview of activity within the team</t>
  </si>
  <si>
    <t>https://marketplace.fedramp.gov/img/logos/CSP_logos/Huddle%20Logo.jpg</t>
  </si>
  <si>
    <t>Federal Law Enforcement Training Center</t>
  </si>
  <si>
    <t>Privacy and Civil Liberties Oversight Board</t>
  </si>
  <si>
    <t>https://marketplace.fedramp.gov/img/logos/Agency_logos/USAID-Seal.png</t>
  </si>
  <si>
    <t>Federal Motor Carrier Safety Administration</t>
  </si>
  <si>
    <t>Public Company Accounting Oversight Board</t>
  </si>
  <si>
    <t>FY15-046</t>
  </si>
  <si>
    <t>Federal Prison System</t>
  </si>
  <si>
    <t>Public Safety Broadband Corporation</t>
  </si>
  <si>
    <t>https://community.max.gov/download/attachments/1510411557/ATO.Letter_Huddle_DOD.DISA_6.11.15.pdf?api=v2</t>
  </si>
  <si>
    <t>Federal Railroad Administration</t>
  </si>
  <si>
    <t>Federal Transit Administration</t>
  </si>
  <si>
    <t>Recovery Act Accountability and Transparency Board</t>
  </si>
  <si>
    <t>FY15-047</t>
  </si>
  <si>
    <t>Financial Crimes Enforcement Network</t>
  </si>
  <si>
    <t>Securities and Exchange Commission</t>
  </si>
  <si>
    <t>National Institutes of Health</t>
  </si>
  <si>
    <t>Brian Trent</t>
  </si>
  <si>
    <t>https://community.max.gov/download/attachments/992346693/ATO.Letter_Huddle_HHS_9.30.15.pdf?api=v2</t>
  </si>
  <si>
    <t>Financial Management Service</t>
  </si>
  <si>
    <t>Securities Investor Protection Corporation</t>
  </si>
  <si>
    <t>FY15-048</t>
  </si>
  <si>
    <t xml:space="preserve">MaaS360 Enterprise Mobility Management </t>
  </si>
  <si>
    <t>F1208031461</t>
  </si>
  <si>
    <t>Smithsonian Institution</t>
  </si>
  <si>
    <t>https://community.max.gov/x/GBU6Jg</t>
  </si>
  <si>
    <t>https://community.max.gov/download/attachments/1155203596/P-ATO_Fiberlink.MaaS360_08.05.15.pdf?api=v2</t>
  </si>
  <si>
    <t>Food and Drug Administration</t>
  </si>
  <si>
    <t>Jeff Ward</t>
  </si>
  <si>
    <t>jeff.ward@us.ibm.com</t>
  </si>
  <si>
    <t>Standard Setting Body</t>
  </si>
  <si>
    <t>www.maas360.com</t>
  </si>
  <si>
    <t>IBM’s MaaS360 is a comprehensive, cloud-based security and management platform for devices, applications and content. Government agencies use MaaS360 to protect data and optimize productivity, enabling employees to work anytime and anywhere through trusted mobile interactions. Through a single console, agencies can:
 - Activate and configure devices over the air for instant set-up
 - Monitor and control the security posture of smartphones, tablets, and laptops 
 - Distribute, secure and manage mobile apps for easy employee     
 - Enforce policy compliance for stronger data protection 
 - Access, sync and share business documents for seamless collaboration
 - Enable secure mobile web browsing and simple access to intranet sites 
 - Contain email and attachments with data loss prevention controls
MaaS360 provides a true, on-demand software-as-a-service delivery model, built on a secure, multi-tenant architecture. It offers immediate insight and control without the added costs and complexities of deploying hardware and software, dealing with intricate configurations, and dedicating additional resources to support the solution on an ongoing basis.</t>
  </si>
  <si>
    <t>Nuclear Regulatory Commission</t>
  </si>
  <si>
    <t>Food and Nutrition Service</t>
  </si>
  <si>
    <t>https://marketplace.fedramp.gov/img/logos/CSP_logos/MaaS360%20Logo.jpg</t>
  </si>
  <si>
    <t>State Justice Institute</t>
  </si>
  <si>
    <t>FY15-049</t>
  </si>
  <si>
    <t>Food Safety and Inspection Service</t>
  </si>
  <si>
    <t>Telecommunications Development Fund</t>
  </si>
  <si>
    <t>https://community.max.gov/x/dIjXJg</t>
  </si>
  <si>
    <t>https://community.max.gov/download/attachments/1256458204/ATO.Letter_IBM.SCG_DOD.DISA_3.26.15.pdf?api=v2</t>
  </si>
  <si>
    <t>Foreign Agricultural Service</t>
  </si>
  <si>
    <t>Foreign Assistance Program Allowances</t>
  </si>
  <si>
    <t>U.S. Army Corps of Engineers</t>
  </si>
  <si>
    <t>FY15-050</t>
  </si>
  <si>
    <t>IT-CNP</t>
  </si>
  <si>
    <t>GovDataHosting Cloud Platform</t>
  </si>
  <si>
    <t>F1303221956</t>
  </si>
  <si>
    <t>Forest and Wildlife Conservation, Military Reservations</t>
  </si>
  <si>
    <t>Moderate (High In Process)</t>
  </si>
  <si>
    <t>United Mine Workers of America Benefit Funds</t>
  </si>
  <si>
    <t>https://community.max.gov/x/zAebJw</t>
  </si>
  <si>
    <t>https://community.max.gov/download/attachments/1155203715/P-ATO_IT-CNP_07.17.15.pdf?api=v2</t>
  </si>
  <si>
    <t>Office of Personnel Management</t>
  </si>
  <si>
    <t>Forest Service</t>
  </si>
  <si>
    <t>Claude Swanson</t>
  </si>
  <si>
    <t>United States Court of Appeals for Veterans Claims</t>
  </si>
  <si>
    <t>fedramp@govdatahosting.com</t>
  </si>
  <si>
    <t>www.govdatahosting.com</t>
  </si>
  <si>
    <t>IT-CNP’s FedRAMP JAB-authorized GovDataHosting Cloud Platform (GCP) is delivered as FISMA-compliant Infrastructure-as-a-Service (IaaS) offering using multi-tenant Federal Government cloud and private cloud computing environment deployment models.  Dedicated to supporting information systems requiring low or moderate risk levels of protection, GCP IaaS fully managed computing infrastructure provides a comprehensive portfolio of hardened Microsoft Windows and Red Hat Enterprise Linux options to support a wide range of virtual server implementation requirements.
GCP certified support personnel manage the underlying components of datacenter infrastructure (physical security, redundant power/cooling, network, storage, physical hypervisor servers, access/authentication, operating system, backup, disaster recovery and security compliance) allowing customers to focus on their system mission, software application implementation and system performance fine-tuning. 100% of GCP datacenters and 24/7/365 mission critical support is provided from the continental United States and is available exclusively to U.S. Federal, state, and local government entities and their respective authorized contractors. GCP offers government customers the ability to quickly and cost effectively deploy FedRAMP and NIST SP 800-53 compliant information systems while leveraging elastic network, connectivity, as well as virtual server memory, disk and CPU resources that can be scaled up or down to accommodate periodic spikes in processing demand.</t>
  </si>
  <si>
    <t>FSLIC Resolution</t>
  </si>
  <si>
    <t>https://marketplace.fedramp.gov/img/logos/CSP_logos/IT-CNP%20Logo.jpg</t>
  </si>
  <si>
    <t>United States Enrichment Corporation Fund</t>
  </si>
  <si>
    <t>FY15-051</t>
  </si>
  <si>
    <t>General Activities</t>
  </si>
  <si>
    <t>United States Holocaust Memorial Museum</t>
  </si>
  <si>
    <t>https://community.max.gov/download/attachments/1256458223/ATO.Letter_LM_DOD.DISA_3.26.15.pdf?api=v2</t>
  </si>
  <si>
    <t>General Administration</t>
  </si>
  <si>
    <t>United States Institute of Peace</t>
  </si>
  <si>
    <t>10/25/2016: Expired ATO made inactive in FY17. Replaced by FY17-004</t>
  </si>
  <si>
    <t>Government Accountability Office</t>
  </si>
  <si>
    <t>FY15-052</t>
  </si>
  <si>
    <t>United States Interagency Council on Homelessness</t>
  </si>
  <si>
    <t>Benefits Review Board</t>
  </si>
  <si>
    <t>Betty Hall</t>
  </si>
  <si>
    <t>Government National Mortgage Association</t>
  </si>
  <si>
    <t>Vietnam Education Foundation</t>
  </si>
  <si>
    <t>https://community.max.gov/download/attachments/777093308/ATO.Letter_MicroPact_DOL_03.23.15.pdf?api=v2</t>
  </si>
  <si>
    <t>Government Printing Office</t>
  </si>
  <si>
    <t>Grain Inspection, Packers and Stockyards Administration</t>
  </si>
  <si>
    <t>FY15-053</t>
  </si>
  <si>
    <t>Housing Programs</t>
  </si>
  <si>
    <t>https://community.max.gov/download/attachments/777093308/ATO.Letter_MicroPact_DOD.DISA_3.26.15.pdf?api=v2</t>
  </si>
  <si>
    <t>Hurricane Education Recovery</t>
  </si>
  <si>
    <t>FY15-054</t>
  </si>
  <si>
    <t>https://community.max.gov/download/attachments/992346701/ATO.Letter_MicroPact_DOI_07.28.15.pdf?api=v2</t>
  </si>
  <si>
    <t>Indian Health Services</t>
  </si>
  <si>
    <t>The MicroPact Product Suite, which includes icomplaints® and entellitrak®, is delivered via a Platform as a Service (PaaS) model to U.S. federal, state and local government customers. MicroPact’s icomplaints is the leading standard for federal EEO case management and is used by most major federal agencies. MicroPact’s entellitrak, which takes a Data-First™ approach to dynamic case management and Business Process Management (BPM), is available with fully integrated Document Management, Natural Language Analytics, and Mobile Modules. Whether based on-premises or in the cloud, entellitrak can be implemented immediately and configured continuously, enabling customers to get to work quickly while keeping costs low.
MicroPact is unique as a developer of commercial off-the-shelf (COTS) case management and BPM software in that 97 percent of all federal agencies with more than 500 employees currently use one or more solution from the MicroPact Product Suite.</t>
  </si>
  <si>
    <t>Information Analysis and Infrastructure Protection</t>
  </si>
  <si>
    <t>FY15-055</t>
  </si>
  <si>
    <t>Small Business Administration</t>
  </si>
  <si>
    <t>Institute of Education Sciences</t>
  </si>
  <si>
    <t>HHS Office of the Inspector General</t>
  </si>
  <si>
    <t>Robert Owens</t>
  </si>
  <si>
    <t>https://community.max.gov/download/attachments/780173411/ATO.Letter_MS.O365_HHS.OIG_11.13.14.pdf?api=v2</t>
  </si>
  <si>
    <t>Insular Affairs</t>
  </si>
  <si>
    <t>Office 365 MultiTenant is a Software as a Service offering with government specific instances of some services including Exchange Online, SharePoint Online, and Skype for Business. The government specific instances are designated for the sole use of U.S federal, tribal, state, and local government customers, U.S. government contractors, and Federally Funded Research and Development Centers (FFRDCs). Office 365 delivers customers with familiar productivity, communication and collaboration capabilities all in a service that is reliable, secure and able to rapidly scale up or down to meet variable resource demands.</t>
  </si>
  <si>
    <t>Social Security Administration</t>
  </si>
  <si>
    <t>Inter-American Foundation</t>
  </si>
  <si>
    <t>FY15-056</t>
  </si>
  <si>
    <t>Interagency Law Enforcement</t>
  </si>
  <si>
    <t>https://community.max.gov/download/attachments/780173411/ATO.Letter_MS.O365_DOC.NIST_03.24.15.pdf?api=v2</t>
  </si>
  <si>
    <t>Interest on the Public Debt</t>
  </si>
  <si>
    <t>FY15-057</t>
  </si>
  <si>
    <t>https://community.max.gov/download/attachments/780173411/ATO.Letter_MS.O365_DOD.DISA_3.26.15.pdf?api=v2</t>
  </si>
  <si>
    <t>International Assistance Program</t>
  </si>
  <si>
    <t>International Commissions</t>
  </si>
  <si>
    <t>FY15-058</t>
  </si>
  <si>
    <t>International Monetary Programs</t>
  </si>
  <si>
    <t>https://community.max.gov/download/attachments/780173411/ATO.Letter_MS.O365.TVA_06.24.15.pdf?api=v2</t>
  </si>
  <si>
    <t>International Organizations and Conferences</t>
  </si>
  <si>
    <t>International Reconstruction and Other Assistance</t>
  </si>
  <si>
    <t>FY15-059</t>
  </si>
  <si>
    <t>Barry Socks</t>
  </si>
  <si>
    <t>International Security Assistance</t>
  </si>
  <si>
    <t>https://community.max.gov/download/attachments/992346706/ATO.Letter_MS.O365_NCPC_08.20.15.pdf?api=v2</t>
  </si>
  <si>
    <t>https://marketplace.fedramp.gov/img/logos/Agency_logos/US-NationalCapitalPlanningCommission-Logo.png</t>
  </si>
  <si>
    <t>International Trade Administration</t>
  </si>
  <si>
    <t>FY15-060</t>
  </si>
  <si>
    <t>Legal Activities and U S Marshals</t>
  </si>
  <si>
    <t>https://community.max.gov/x/WgZfJw</t>
  </si>
  <si>
    <t>https://community.max.gov/download/attachments/1155204218/ATO.Letter_MS.Azure_NLRB_11.25.14.pdf?api=v2</t>
  </si>
  <si>
    <t>Library of Congress</t>
  </si>
  <si>
    <t>Adam Soh</t>
  </si>
  <si>
    <t>adamsoh@microsoft.com</t>
  </si>
  <si>
    <t>Management and Administration</t>
  </si>
  <si>
    <t>Maritime Administration</t>
  </si>
  <si>
    <t>FY15-061</t>
  </si>
  <si>
    <t>https://community.max.gov/download/attachments/1256458242/ATO.Letter_MS.Azure_DOD.DISA_3.26.15.pdf?api=v2</t>
  </si>
  <si>
    <t>Military Construction</t>
  </si>
  <si>
    <t>Military Personnel</t>
  </si>
  <si>
    <t>FY15-062</t>
  </si>
  <si>
    <t>Military Retirement</t>
  </si>
  <si>
    <t>https://community.max.gov/download/attachments/1256458242/ATO.Letter_MS.Azure_TVA_06.26.15.pdf?api=v2</t>
  </si>
  <si>
    <t>Military Sales Program</t>
  </si>
  <si>
    <t>Millennium Challenge Corporation</t>
  </si>
  <si>
    <t>FY15-063</t>
  </si>
  <si>
    <t>Stanley Lowe</t>
  </si>
  <si>
    <t>Mine Safety and Health Administration</t>
  </si>
  <si>
    <t>https://community.max.gov/display/FedRAMPExternal/MS+Azure+ATO+Letters</t>
  </si>
  <si>
    <t>https://community.max.gov/download/attachments/1155204218/ATO.Letter_MS.Azure_VA_08.20.15.pdf?api=v2</t>
  </si>
  <si>
    <t>Minority Business Development Agency</t>
  </si>
  <si>
    <t>https://marketplace.fedramp.gov/img/logos/Agency_logos/Seal_of_the_United_States_Department_of_Veterans_Affairs_(1989-2012).png</t>
  </si>
  <si>
    <t>Multilateral Assistance</t>
  </si>
  <si>
    <t>FY15-064</t>
  </si>
  <si>
    <t>Dynamics 365 for Government</t>
  </si>
  <si>
    <t>F1310142515</t>
  </si>
  <si>
    <t>Rafael Diaz</t>
  </si>
  <si>
    <t>https://community.max.gov/x/nAG9PQ</t>
  </si>
  <si>
    <t>https://community.max.gov/download/attachments/1179582858/ATO.Letter_MS.CRM_HUD_07.17.15.pdf?api=v2</t>
  </si>
  <si>
    <t>Shashank Jain</t>
  </si>
  <si>
    <t>CRMOLGOV@microsoft.com</t>
  </si>
  <si>
    <t>https://www.microsoft.com/en-us/dynamics/public-sector.aspx#GovernmentCloud</t>
  </si>
  <si>
    <t>12/5/16: Original sponosoring letter. Made Leverage = Yes as P-ATO letter was received (FY17-017) Swapped from Agency path to JAB path</t>
  </si>
  <si>
    <t>FY15-065</t>
  </si>
  <si>
    <t>Netcomm</t>
  </si>
  <si>
    <t>Beacon</t>
  </si>
  <si>
    <t>National Agricultural Statistics Service</t>
  </si>
  <si>
    <t>F1508127183</t>
  </si>
  <si>
    <t>Renita Anderson</t>
  </si>
  <si>
    <t>https://community.max.gov/x/KQNKNw</t>
  </si>
  <si>
    <t>https://community.max.gov/download/attachments/927597359/ATO.Letter_Netcomm.Beacon_HHS_09.18.15.pdf?api=v2</t>
  </si>
  <si>
    <t>Laurel Fielding</t>
  </si>
  <si>
    <t>fedramp@netcomm.net</t>
  </si>
  <si>
    <t>www.netcomm.net</t>
  </si>
  <si>
    <t>National Highway Traffic Safety Administration</t>
  </si>
  <si>
    <t>NetComm is the government’s expert for unifying the user experience at the agency IT edge, delivering custom information management software solutions to a wide range of government clients. A Women-Owned Small Business (WOSB) with 30 years of Federal experience, NetComm offers a variety of cloud-based services through Beacon, NetComm’s data analytics toolset that allows users to create customized dashboards tailored to an organization’s or agency’s particular needs, including:
 - Automated HR, finance, property management, digital signatures, e-workflows, online collaboration and dashboard tools, specifically tailored to help clients meet their organizational goals 
 - Improved access to and analysis of complex data 
 - Standards &amp; best practices for security &amp; privacy management in the cloud 
 - Mobile Capabilities 
 - Data Visualization and Dashboarding
Beacon leverages the Amazon Web Services GovCloud region FedRAMP moderate cloud Infrastructure as a Service (IaaS).</t>
  </si>
  <si>
    <t>https://marketplace.fedramp.gov/img/logos/CSP_logos/NetComm%20Logo.jpg</t>
  </si>
  <si>
    <t>National Indian Gaming Commission</t>
  </si>
  <si>
    <t>FY15-066</t>
  </si>
  <si>
    <t>National Infrastructure Bank</t>
  </si>
  <si>
    <t>https://community.max.gov/download/attachments/777093306/ATO.Letter_MAX.GSS_DOD_03.26.15.pdf?api=v2</t>
  </si>
  <si>
    <t>National Institute of Food and Agriculture</t>
  </si>
  <si>
    <t>FY15-067</t>
  </si>
  <si>
    <t>https://community.max.gov/download/attachments/920093586/OMB%20MAX%20Shared%20Services%20DoD%20DISA%20P-ATO%20PL-2%202015-03-26.pdf?api=v2</t>
  </si>
  <si>
    <t>National Nuclear Security Administration</t>
  </si>
  <si>
    <t>National Oceanic and Atmospheric Administration</t>
  </si>
  <si>
    <t>FY15-068</t>
  </si>
  <si>
    <t>National Park Service</t>
  </si>
  <si>
    <t>https://community.max.gov/download/attachments/1155203762/ATO.Letter_Oracle.FMCS_DOD.DISA_3.26.15.pdf?api=v2</t>
  </si>
  <si>
    <t>National Protection and Programs Directorate</t>
  </si>
  <si>
    <t>Expiration date in letter no longer valid. Letter is an ongoing authorization per Hieu Le @ DISA</t>
  </si>
  <si>
    <t>National Security Council and Homeland Security Council</t>
  </si>
  <si>
    <t>FY15-069</t>
  </si>
  <si>
    <t>Oracle Service Cloud</t>
  </si>
  <si>
    <t>F1206061351</t>
  </si>
  <si>
    <t>National Security Division</t>
  </si>
  <si>
    <t>https://community.max.gov/download/attachments/1256458267/P-ATO_Oracle.SC_12.05.14.pdf?api=v2</t>
  </si>
  <si>
    <t>cloud.oracle.com/public-sector-cloud</t>
  </si>
  <si>
    <t>National Technical Information Service</t>
  </si>
  <si>
    <t>The Oracle Service Cloud is Oracle’s premier Software as a Service (SaaS) solution providing the industry’s best in class customer service platform for enterprise customers. Oracle Service Cloud is deployed onto a robust, secure infrastructure hosting Oracle’s patented CX software applications in an environment accredited to FedRAMP-Moderate specifications. The Oracle Service Cloud leverages a fault-tolerant core application framework offering flexible add-on modules providing customers with a customizable, out-of-the-box feature set to support both customer-facing and customer service agent-facing functions. The Oracle Service Cloud is offered as a hosted cloud solution (i.e., operated and maintained by Oracle within its secure hosting environment at co-location facilities in the United States) providing customers with a modern, efficient and secure cloud solution via a proven Software as a Service (SaaS) delivery model.</t>
  </si>
  <si>
    <t>F1508277234</t>
  </si>
  <si>
    <t>FY15-070</t>
  </si>
  <si>
    <t>National Telecommunications and Information Administration</t>
  </si>
  <si>
    <t>https://community.max.gov/download/attachments/1155203796/ATO.Letter_Oracle.SC_DOD.DISA_3.26.15.pdf?api=v2</t>
  </si>
  <si>
    <t>Natural Resources Conservation Service</t>
  </si>
  <si>
    <t>Natural Resources Damage Assessment and Restoration</t>
  </si>
  <si>
    <t>FY15-071</t>
  </si>
  <si>
    <t>Navy, Marine Corps</t>
  </si>
  <si>
    <t>https://community.max.gov/download/attachments/992346725/ATO.Letter_Salesforce_DOE.EIA_11.25.14.pdf?api=v2</t>
  </si>
  <si>
    <t>Occupational Safety and Health Administration</t>
  </si>
  <si>
    <t>Office of Administration</t>
  </si>
  <si>
    <t>FY15-072</t>
  </si>
  <si>
    <t>Office of Chief Economist</t>
  </si>
  <si>
    <t>https://community.max.gov/download/attachments/1130635691/ATO.Letter_Salesforce_DOD.DISA_3.26.15.pdf?api=v2</t>
  </si>
  <si>
    <t>Office of Civil Rights</t>
  </si>
  <si>
    <t>Office of Communications</t>
  </si>
  <si>
    <t>FY15-073</t>
  </si>
  <si>
    <t>Federal Student Aid</t>
  </si>
  <si>
    <t>Office of Compliance</t>
  </si>
  <si>
    <t>Keith Wilson</t>
  </si>
  <si>
    <t>https://community.max.gov/download/attachments/992346725/ATO.Letter_Salesforce_ED_6.17.15.pdf?api=v2</t>
  </si>
  <si>
    <t>Office of Elementary and Secondary Education</t>
  </si>
  <si>
    <t>Office of English Language Acquisition</t>
  </si>
  <si>
    <t>FY15-074</t>
  </si>
  <si>
    <t>SecureKey</t>
  </si>
  <si>
    <t xml:space="preserve">Briidge.net Exchange™ for Connect.Gov </t>
  </si>
  <si>
    <t>F1309302507</t>
  </si>
  <si>
    <t>Office of Federal Contract Compliance Programs</t>
  </si>
  <si>
    <t>https://community.max.gov/x/Jo2FKQ</t>
  </si>
  <si>
    <t>https://community.max.gov/download/attachments/1155204167/P-ATO_SecureKey_12.05.14.pdf?api=v2</t>
  </si>
  <si>
    <t>Rene McIver</t>
  </si>
  <si>
    <t>sk-security@securekey.com</t>
  </si>
  <si>
    <t>www.securekey.com</t>
  </si>
  <si>
    <t>Office of Federal Student Aid</t>
  </si>
  <si>
    <t>7/12/16: Changed to Agency. New ATO issued from GSA (FY16-077) Made Inactive in FY16</t>
  </si>
  <si>
    <t>FY15-075</t>
  </si>
  <si>
    <t>Office of Housing Finance Oversight</t>
  </si>
  <si>
    <t>https://community.max.gov/download/attachments/1155204167/ATO.Letter_SecureKey_DOD.DISA_3.26.15.pdf?api=v2</t>
  </si>
  <si>
    <t>Office of Indian Education</t>
  </si>
  <si>
    <t>9/29/16: Decommissioned. Made Inactive in FY16.</t>
  </si>
  <si>
    <t>Office of Innovation and Improvement</t>
  </si>
  <si>
    <t>FY15-076</t>
  </si>
  <si>
    <t>Softlayer</t>
  </si>
  <si>
    <t>Softlayer Federal Cloud (SFC)</t>
  </si>
  <si>
    <t>F1211011660</t>
  </si>
  <si>
    <t>Christine Calvosa</t>
  </si>
  <si>
    <t>Office of Inspector General</t>
  </si>
  <si>
    <t>https://community.max.gov/x/xoRmN</t>
  </si>
  <si>
    <t>https://community.max.gov/download/attachments/1256458317/ATO.Letter_SoftLayer_FCC_06.16.15.pdf?api=v2</t>
  </si>
  <si>
    <t>Steve Kinman</t>
  </si>
  <si>
    <t>vstinson@us.ibm.com</t>
  </si>
  <si>
    <t>www.softlayer.com</t>
  </si>
  <si>
    <t>https://marketplace.fedramp.gov/img/logos/CSP_logos/Softlayer%20Logo.jpg</t>
  </si>
  <si>
    <t>https://marketplace.fedramp.gov/img/logos/Agency_logos/US-FCC-Seal.png</t>
  </si>
  <si>
    <t>FY15-077</t>
  </si>
  <si>
    <t>USDA National Finance Center</t>
  </si>
  <si>
    <t>AGENCYNFCPAAS</t>
  </si>
  <si>
    <t>National Finance Center</t>
  </si>
  <si>
    <t>John White</t>
  </si>
  <si>
    <t>Office of Labor Management Standards</t>
  </si>
  <si>
    <t>https://community.max.gov/download/attachments/952108801/ATO.Letter_USDA.NFC_USDA_05.15.15.pdf?api=v2</t>
  </si>
  <si>
    <t>Irene Brooks</t>
  </si>
  <si>
    <t>ISSBAudit@nfc.usda.gov</t>
  </si>
  <si>
    <t>https://www.nfc.usda.gov/</t>
  </si>
  <si>
    <t>Office of Lead Hazard Control and Healthy Homes</t>
  </si>
  <si>
    <t>Lockheed Martin SETA A&amp;A Team</t>
  </si>
  <si>
    <t>The National Finance Center (NFC) is a designated Shared Services Center under the Federal Information Technology Shared Services and OPM’s Human Resources Line of Business initiatives. These initiatives require Federal agencies to use a shared approach to service delivery.
NFC’s hosting services provide a secure multi-tenant community cloud. Hosting customers leverage the NFC Data Center Services framework in its entirety, and may selectively implement one or more of the non-core services based on their individual business needs, and operational and financial imperatives. Within each of the non-core services, customers can choose a fully-configured service architecture from the outset, or start with a basic configuration and adapt and expand as necessary.
NFC’s PaaS consists of NFC’s IT Infrastructure of hardware, operating systems, storage, network capacity, and the physically secure data centers.  This infrastructure is partitioned into the following general support systems (GSS), Enterprise Infrastructure, Mainframe, and Midrange.  The Enterprise Infrastructure (EI) consists of the network and data center components.  The Mainframe and Midrange provide the computer-processing capability.</t>
  </si>
  <si>
    <t>3/24/17: Made inactive due to failure to keep up to date with ConMon and AAs. Might come back in 2017.</t>
  </si>
  <si>
    <t>FY15-078</t>
  </si>
  <si>
    <t>Office of National Drug Control Policy</t>
  </si>
  <si>
    <t>Office of Postsecondary Education</t>
  </si>
  <si>
    <t>https://community.max.gov/download/attachments/1131251347/ATO.Letter_USDA.NITC_DOD.DISA_3.26.15.pdf?api=v2</t>
  </si>
  <si>
    <t>Office of Safe and Drug-Free Schools</t>
  </si>
  <si>
    <t>10/25/2016: Expired ATO made inactive in FY17. Replaced by FY17-005</t>
  </si>
  <si>
    <t>Office of Science and Technology Policy</t>
  </si>
  <si>
    <t>Office of Special Education and Rehabilitative Services</t>
  </si>
  <si>
    <t>FY15-079</t>
  </si>
  <si>
    <t>Office of Surface Mining Reclamation and Enforcement</t>
  </si>
  <si>
    <t>https://community.max.gov/download/attachments/992346731/ATO.Letter_WC2_Treasury_10.30.14.pdf?api=v2</t>
  </si>
  <si>
    <t>Office of Sustainable Housing and Communities</t>
  </si>
  <si>
    <t>Office of the General Counsel</t>
  </si>
  <si>
    <t>FY15-080</t>
  </si>
  <si>
    <t>Office of the Inspector General</t>
  </si>
  <si>
    <t>https://community.max.gov/download/attachments/1317439556/ATO.Letter_Treasury.Workplace.gov_DOD.DISA_3.26.15.pdf?api=v2</t>
  </si>
  <si>
    <t>Office of the Secretary</t>
  </si>
  <si>
    <t>FY15-081</t>
  </si>
  <si>
    <t>IBM Federal Cloud</t>
  </si>
  <si>
    <t>FR1814275274</t>
  </si>
  <si>
    <t>Robert Foster</t>
  </si>
  <si>
    <t>https://community.max.gov/x/ogibJw</t>
  </si>
  <si>
    <t>https://community.max.gov/download/attachments/992346742/ATO.Letter_Verizon.ECFE_HHS_10.15.14.pdf?api=v2</t>
  </si>
  <si>
    <t>Office of the Solicitor</t>
  </si>
  <si>
    <t>IBMFC FedRAMP GRC Team</t>
  </si>
  <si>
    <t>GCTS_FedRAMP_IBMFC@wwpdl.vnet.ibm.com</t>
  </si>
  <si>
    <t xml:space="preserve">http://ibm.biz/vzcloud </t>
  </si>
  <si>
    <t>Office of the Special Trustee for American Indians</t>
  </si>
  <si>
    <t xml:space="preserve">The IBM Federal Cloud (IBMFC) represents an Infrastructure as a Service (IaaS) solution, as defined by NIST's SP 800-145, supported by an enterprise class computing architecture that is delivered from strategically located cloud enabled data centers in Miami, FL and Culpeper, VA, where core infrastructure components are shared by government customers. All IBMFC customers are United States Federal government entities and are only granted access to the services through a formal contracting process. The contracting process establishes the relationship between Cloud Services and customer, and defines the customer’s intended use of the service, authorizes the use of IBMFC and ensures the proper allocation of resources. IBMFC offers government customers the capability to provision virtual servers, storage, load balancers, firewalls, object based storage, and Instance Based Virtual Machines (IBVM), as well as virtual environment back-ups and disaster recover service for their specific applications. </t>
  </si>
  <si>
    <t>Password for 2016 SAR: VerizonSAR2016</t>
  </si>
  <si>
    <t>Office of the United States Trade Representative</t>
  </si>
  <si>
    <t>FY15-082</t>
  </si>
  <si>
    <t>Office of Thrift Supervision</t>
  </si>
  <si>
    <t>Office of Vocational and Adult Education</t>
  </si>
  <si>
    <t>https://community.max.gov/download/attachments/992346742/ATO.Letter_Verizon_DOD.DISA_3.26.15.pdf?api=v2</t>
  </si>
  <si>
    <t>Office of Workers' Compensation Programs</t>
  </si>
  <si>
    <t>Operation and Maintenance</t>
  </si>
  <si>
    <t>FY15-083</t>
  </si>
  <si>
    <t xml:space="preserve">Virtustream </t>
  </si>
  <si>
    <t xml:space="preserve">Federal Cloud (VFC) </t>
  </si>
  <si>
    <t>F1301091856</t>
  </si>
  <si>
    <t>Orderly Liquidation</t>
  </si>
  <si>
    <t>https://community.max.gov/x/AYIHJ</t>
  </si>
  <si>
    <t>https://community.max.gov/download/attachments/1155204052/P-ATO_Virtustream_05.26.15.pdf?api=v2</t>
  </si>
  <si>
    <t>Kevin Bookman</t>
  </si>
  <si>
    <t>kevin.bookman@virtustream.com</t>
  </si>
  <si>
    <t>www.virtustream.com</t>
  </si>
  <si>
    <t>Overseas Private Investment Corporation</t>
  </si>
  <si>
    <t xml:space="preserve">Virtustream Federal Cloud is an Infrastructure as a Service that allows organizations to cut costs from their most expensive and time-consuming mission-critical applications. Powered by our innovative xStream cloud management platform, Virtustream’s true consumption-based pricing model allows federal government IT departments to only pay for what they use—improving economics beyond basic virtualization, and freeing up budgetary funding to be allocated to other areas.
Our xStream cloud management software can also be deployed on any x86-based infrastructure, giving agencies the efficiency where it's needed—all with a single interface for management and control. Agencies can deploy applications where they are required, saving costs across the entire hybrid landscape.
More information can be found at [https://www.virtustream.com/cloud/virtustream-federal-cloud] (https://www.virtustream.com/cloud/virtustream-federal-cloud) </t>
  </si>
  <si>
    <t>Peace Corps</t>
  </si>
  <si>
    <t>https://marketplace.fedramp.gov/img/logos/CSP_logos/Virtustream%20Logo.jpg</t>
  </si>
  <si>
    <t>FY15-084</t>
  </si>
  <si>
    <t>QTS</t>
  </si>
  <si>
    <t>QTS Government Cloud</t>
  </si>
  <si>
    <t>F1309252456</t>
  </si>
  <si>
    <t>Pension Benefit Guaranty Corporation</t>
  </si>
  <si>
    <t>Pipeline and Hazardous Materials Safety Administration</t>
  </si>
  <si>
    <t>https://community.max.gov/download/attachments/1155204041/P-ATO_Carpathia.vCGS_01.21.15.pdf?api=v2</t>
  </si>
  <si>
    <t>Rob Caldwell</t>
  </si>
  <si>
    <t>Policy Development and Research</t>
  </si>
  <si>
    <t>Rob.Caldwell@Qtsdatacenters.com</t>
  </si>
  <si>
    <t>http://www.qtsdatacenters.com/products-and-solutions/cloud-services/qts-government-cloud</t>
  </si>
  <si>
    <t>Power Marketing Administration</t>
  </si>
  <si>
    <t>The QTS Government Cloud is a FedRAMP Compliant Infrastructure as a Service (IaaS) offering that government agencies can leverage to deploy and manage compute, network, and storage resources in a self-service model. The Government Cloud holds a FISMA Moderate Joint Authorization Board Provisional ATO (P-ATO) and is authorized to support DoD Impact Level 2 (IL2) workloads. This Government Community Cloud deployment model ensures only government or supporting organizations supporting government agency workloads are hosted on the system. The QTS Government Cloud supports both single system and hybrid deployments to connect workloads in multiple locations aligning to current government agency adoption patterns. Learn more at [http://www.qtsdatacenters.com/products-and-solutions/cloud-services/qts-government-cloud](http://www.qtsdatacenters.com/products-and-solutions/cloud-services/qts-government-cloud)</t>
  </si>
  <si>
    <t xml:space="preserve">10/4/16: POC and website changed from Alan Boissy due to QTS taking over this offering.
2/17/17: CSP/CSO changed from VMware vCloud® Government Service provided by Carpathia™ (vCGS) </t>
  </si>
  <si>
    <t>Presidential Transition</t>
  </si>
  <si>
    <t>https://marketplace.fedramp.gov/img/logos/CSP_logos/QTS%20Logo.jpg</t>
  </si>
  <si>
    <t>FY15-085</t>
  </si>
  <si>
    <t>Procurement</t>
  </si>
  <si>
    <t>Program Support Center</t>
  </si>
  <si>
    <t>https://community.max.gov/x/CIWzKw</t>
  </si>
  <si>
    <t>Public and Indian Housing Programs</t>
  </si>
  <si>
    <t>https://community.max.gov/download/attachments/1155204041/ATO.Letter_VMware.Carpathia_DOD.DISA_6.11.15.pdf?api=v2</t>
  </si>
  <si>
    <t>Radiation Exposure Compensation</t>
  </si>
  <si>
    <t>Real Property Activities</t>
  </si>
  <si>
    <t>Research and Innovative Technology Administration</t>
  </si>
  <si>
    <t>FY15-086</t>
  </si>
  <si>
    <t>Research, Development, Test, and Evaluation</t>
  </si>
  <si>
    <t>Retiree Health Care</t>
  </si>
  <si>
    <t>Daniel Harvill</t>
  </si>
  <si>
    <t>Revolving and Management Funds</t>
  </si>
  <si>
    <t>https://community.max.gov/download/attachments/1256458288/ATO.Letter_ServiceNow_NASA_11.20.14.pdf?api=v2</t>
  </si>
  <si>
    <t>Risk Management Agency</t>
  </si>
  <si>
    <t>Added after OMB Report</t>
  </si>
  <si>
    <t>Rural Business Cooperative Service</t>
  </si>
  <si>
    <t>Rural Development</t>
  </si>
  <si>
    <t>FY15-088</t>
  </si>
  <si>
    <t>1901 Group</t>
  </si>
  <si>
    <t>in3sight</t>
  </si>
  <si>
    <t>IaaS, SaaS</t>
  </si>
  <si>
    <t>F1305012100</t>
  </si>
  <si>
    <t>Rural Housing Service</t>
  </si>
  <si>
    <t>Keith Bluestein</t>
  </si>
  <si>
    <t>Rural Utilities Service</t>
  </si>
  <si>
    <t>https://community.max.gov/x/6wCXNg</t>
  </si>
  <si>
    <t>https://community.max.gov/download/attachments/1557595208/ATO.Letter_1901_SBA_08.14.15.pdf?api=v2</t>
  </si>
  <si>
    <t xml:space="preserve">Laurie Kelly </t>
  </si>
  <si>
    <t xml:space="preserve">fedramp@1901group.com </t>
  </si>
  <si>
    <t>Saint Lawrence Seaway Development Corporation</t>
  </si>
  <si>
    <t xml:space="preserve"> www.1901group.com</t>
  </si>
  <si>
    <t>Science and Technology</t>
  </si>
  <si>
    <t>https://marketplace.fedramp.gov/img/logos/CSP_logos/1901%20Logo.jpg</t>
  </si>
  <si>
    <t>https://marketplace.fedramp.gov/img/logos/Agency_logos/US-SmallBusinessAdmin-Seal.png</t>
  </si>
  <si>
    <t>Security, Enforcement, and Investigations</t>
  </si>
  <si>
    <t>FY15-089</t>
  </si>
  <si>
    <t>BMC Remedy Fed-SaaS (BMC Remedy OnDemand for Public Sector)</t>
  </si>
  <si>
    <t>Selective Service System</t>
  </si>
  <si>
    <t>F1510057481</t>
  </si>
  <si>
    <t>Special Assistance Initiatives</t>
  </si>
  <si>
    <t>Special Assistance to the President and the Official Residence of the Vice President</t>
  </si>
  <si>
    <t>Special Foreign Currency Program</t>
  </si>
  <si>
    <t>Substance Abuse and Mental Health Services Administration</t>
  </si>
  <si>
    <t>Supply and Technology Activities</t>
  </si>
  <si>
    <t>Nandu Mahadevan</t>
  </si>
  <si>
    <t>https://community.max.gov/x/m4IEO</t>
  </si>
  <si>
    <t>Supreme Court of the United States</t>
  </si>
  <si>
    <t>https://community.max.gov/download/attachments/939819831/FedRAMP%20ATO_Letter%20BMC%20Remedy%20Fed-SAAS_09292015%20.pdf?api=v2</t>
  </si>
  <si>
    <t>Surface Transportation Board</t>
  </si>
  <si>
    <t>Michelle Buckner</t>
  </si>
  <si>
    <t>fedrampinfo@bmc.com</t>
  </si>
  <si>
    <t>www.bmc.com</t>
  </si>
  <si>
    <t>Technology Administration</t>
  </si>
  <si>
    <t>The White House</t>
  </si>
  <si>
    <t>BMC Remedy OnDemand is a market-leading cloud-based ITSM solution that provides anytime, anywhere access to ITIL best practices including self-service, incident and problem management, change and release management, asset and configuration management, and service level management, so you can:
 - Deliver ITSM out-of-the-box and configure with drag-and-drop ease.
 - Deploy an intuitive self-service solution accessible on any device   
 - Mobilize the IT workforce with a rich multi-device experience across tablets, smartphones and browsers.
BMC Remedy OnDemand is a leader in the Gartner Magic Quadrant for IT Service Support Management Tools and includes the #1 rated CMDB in the Gartner Critical Capabilities for Configuration Management Databases.
Designed specifically for government agencies, BMC Remedy OnDemand for Public Sector is hosted in the FedRAMP compliant Amazon Web Services (AWS) cloud and can be tailored to the needs of any agency with rapid implementations, flexible configuration, huge scalability and easy upgrades.</t>
  </si>
  <si>
    <t>Trade and Development Agency</t>
  </si>
  <si>
    <t>https://marketplace.fedramp.gov/img/logos/CSP_logos/BMC%20Logo.jpg</t>
  </si>
  <si>
    <t>Transportation Security Administration</t>
  </si>
  <si>
    <t>Trust Funds</t>
  </si>
  <si>
    <t>FY15-090</t>
  </si>
  <si>
    <t>Office 365 with International Traffic In Arms (ITAR) Support</t>
  </si>
  <si>
    <t>U S Patent and Trademark Office</t>
  </si>
  <si>
    <t>Joseph Klimavicz</t>
  </si>
  <si>
    <t>Unanticipated Needs</t>
  </si>
  <si>
    <t>https://community.max.gov/x/xQIRNQ</t>
  </si>
  <si>
    <t>https://community.max.gov/download/attachments/1165985858/ATO.Letter_MS.O365.ITAR_DOJ_05.13.15.pdf?api=v2</t>
  </si>
  <si>
    <t>United States Coast Guard</t>
  </si>
  <si>
    <t>United States Court of Appeals for the Federal Circuit</t>
  </si>
  <si>
    <t>United States Court of International Trade</t>
  </si>
  <si>
    <t>United States Fish and Wildlife Service</t>
  </si>
  <si>
    <t>United States Geological Survey</t>
  </si>
  <si>
    <t>FY15-091</t>
  </si>
  <si>
    <t>United States Parole Commission</t>
  </si>
  <si>
    <t>United States Secret Service</t>
  </si>
  <si>
    <t>https://community.max.gov/download/attachments/992346706/ATO.Letter_MS.O365_HUD_12.22.14.pdf?api=v2</t>
  </si>
  <si>
    <t>United States Sentencing Commission</t>
  </si>
  <si>
    <t>Veterans Health Administration</t>
  </si>
  <si>
    <t>Violent Crime Reduction Trust Fund</t>
  </si>
  <si>
    <t>Wage and Hour Division</t>
  </si>
  <si>
    <t>FY15-093</t>
  </si>
  <si>
    <t>TIBCO</t>
  </si>
  <si>
    <t>Tibbr</t>
  </si>
  <si>
    <t>F1407225035</t>
  </si>
  <si>
    <t>https://community.max.gov/x/WAcFOQ</t>
  </si>
  <si>
    <t>https://community.max.gov/download/attachments/956630881/ATO.Letter_TIBCO.tibbr_USAID_09.10.15.pdf?api=v2</t>
  </si>
  <si>
    <t>Andrew Henry Obermayer</t>
  </si>
  <si>
    <t>aobermay@tibco.com</t>
  </si>
  <si>
    <t>www.tibco.com</t>
  </si>
  <si>
    <t xml:space="preserve">Tibbr enables users to post news and updates, ask questions, make announcements, or share ideas using a familiar, social network user interface, while restricting who can see the posts to just specific individuals, certain groups, or the whole agency, depending upon the use case and privacy required.  tibbr connects geographically dispersed teams and leverages collective expertise to solve problems, improve employee engagement, capture corporate knowledge and all in a highly secure collaborative platform.
</t>
  </si>
  <si>
    <t>https://marketplace.fedramp.gov/img/logos/CSP_logos/TIBCO%20Logo.jpg</t>
  </si>
  <si>
    <t>FY15-094</t>
  </si>
  <si>
    <t>United States Office of Government Ethics</t>
  </si>
  <si>
    <t>Shelley Finlayson</t>
  </si>
  <si>
    <t>https://community.max.gov/download/attachments/992346739/ATO.Letter_USDANITC_OGE_07.23.15.pdf?api=v2</t>
  </si>
  <si>
    <t xml:space="preserve">6/28/16: Discussion held with John H. Read through the letter and figured out that this letter uses both NITC &amp; MAX.gov Shared Services. Therefore two instances of this letter will be made in this log and the website. One for NITC &amp; one for MAX.gov SS. </t>
  </si>
  <si>
    <t>https://marketplace.fedramp.gov/img/logos/Agency_logos/US-OfficeOfGovernmentEthics-Logo.png</t>
  </si>
  <si>
    <t>FY15-095</t>
  </si>
  <si>
    <t>United States Citizenship and Immigration Services</t>
  </si>
  <si>
    <t>Mark Schwartz</t>
  </si>
  <si>
    <t>https://community.max.gov/download/attachments/921272752/ATO.Letter_Adobe_DHS_07.29.15.pdf?api=v2</t>
  </si>
  <si>
    <t xml:space="preserve">Added 3/30/16. Not included in FY15 OMB Report </t>
  </si>
  <si>
    <t>FY15-096</t>
  </si>
  <si>
    <t>CoSo Cloud, LLC.</t>
  </si>
  <si>
    <t>CoSo Cloud FedRAMP Managed Service Platform</t>
  </si>
  <si>
    <t>F1206111371</t>
  </si>
  <si>
    <t>https://community.max.gov/x/8A4GJg</t>
  </si>
  <si>
    <t>https://community.max.gov/download/attachments/992346665/ATO.Letter_ConnectSolutions_DHS_07.29.15.pdf?api=v2</t>
  </si>
  <si>
    <t>Blake Loring</t>
  </si>
  <si>
    <t>security@ConnectSolutions.com</t>
  </si>
  <si>
    <t>https://www.cosocloud.com</t>
  </si>
  <si>
    <t>USCIS Independent Assessment Team</t>
  </si>
  <si>
    <t>CoSo's Private FedRAMP Compliant Cloud for Adobe Connect is a powerful and proven platform, enabling agencies to excel in their missions.   It provides 99.99% uptime to ensure government agencies have reliable collaboration for critical communications. CoSo's platform and services have been used to facilitate crisis-communications regarding food tampering, drug recalls, and international disasters &amp; emergencies. Additionally, both the military and many federal agencies utilize CoSo's platform to provide secure training around the globe.</t>
  </si>
  <si>
    <t>https://marketplace.fedramp.gov/img/logos/CSP_logos/CoSo%20Logo.jpg</t>
  </si>
  <si>
    <t>FY15-097</t>
  </si>
  <si>
    <t>https://community.max.gov/download/attachments/992346725/ATO.Letter_Salesforce_DHS_07.29.15.pdf?api=v2</t>
  </si>
  <si>
    <t>FY15-098</t>
  </si>
  <si>
    <t>CSP Supplied</t>
  </si>
  <si>
    <t>FY15-099</t>
  </si>
  <si>
    <t>Project Hosts</t>
  </si>
  <si>
    <t>Federal Private Cloud</t>
  </si>
  <si>
    <t>F1403283529</t>
  </si>
  <si>
    <t>https://community.max.gov/x/EYGKLQ</t>
  </si>
  <si>
    <t>Scott Chapman</t>
  </si>
  <si>
    <t>scottc@projecthosts.com</t>
  </si>
  <si>
    <t>www.projecthosts.com</t>
  </si>
  <si>
    <t>Email describing CSP Supplied status included in FY15  binder</t>
  </si>
  <si>
    <t>https://marketplace.fedramp.gov/img/logos/CSP_logos/Project%20Hosts%20Logo.jpg</t>
  </si>
  <si>
    <t>FY15-100</t>
  </si>
  <si>
    <t>https://community.max.gov/x/mAS0LQ</t>
  </si>
  <si>
    <t>QTS (QTS Realty Trust, Inc.) is a leading national provider of cloud, data center, and managed services for the Federal Government and commercial industry. The company offers a complete portfolio of core data center services, including Custom Data Center, Colocation, and Cloud and Managed Services. The QTS Federal Cloud is FedRAMP-ready and is built upon world class technologies from Cisco, VMware and EMC. QTS currently supports FISMA-compliant deployments across the Civilian, Defense, and Intelligence Community sectors. We manage a national portfolio of highly-redundant, world-class, data centers supported by best-in-class technology, infrastructure, equipment, and people. QTS owns, operates and manages facilities coast-to-coast encompassing approximately 4.7 million square feet of secure, state-of-the-art infrastructure; strategically located in many of the nation’s most important markets. We currently support over 850 customers throughout government and commercial industry and our data centers serve as the foundation for all of our services including secure, compliant Cloud and Managed Services, Custom Data Center Solutions, and Colocation.
QTS Federal Cloud is designed to meet the stringent mandates faced by federal government agencies, including the Federal Data Center Consolidation Initiative (FDCCI), Cloud First policy and IT Shared Services strategy. QTS' highly-secure cloud solution delivers scalable, high-performing, virtual data centers for federal agencies and government contractors.</t>
  </si>
  <si>
    <t>Auth. date was 12/5/2015 based on the website.  Changed per JH email of 3/11 to move to FY15. No longer listed on FedRAMP wesbite. Email describing CSP Supplied status included in FY15  binder</t>
  </si>
  <si>
    <t>FY15-103</t>
  </si>
  <si>
    <t>Consumer Financial Protection Bureau</t>
  </si>
  <si>
    <t>Ashwin Vasan</t>
  </si>
  <si>
    <t>https://community.max.gov/download/attachments/1115488742/ATO%20Letter_AWSEW_CFPB_05.18.15.pdf?api=v2</t>
  </si>
  <si>
    <t>6/7/16: Email is attached to ATO letter confirming that it is for AWS EW
Password is: Bw!@3kfjQ86v</t>
  </si>
  <si>
    <t>https://marketplace.fedramp.gov/img/logos/Agency_logos/CFPB_Logo.png</t>
  </si>
  <si>
    <t>FY15-104</t>
  </si>
  <si>
    <t>https://community.max.gov/download/attachments/1256458267/ATO%20Letter_OracleSC_CFPB_01.13.15.pdf?api=v2</t>
  </si>
  <si>
    <t>6/24/16: December 2015 letter is the current letter and replaces this letter. Email attached in binder.</t>
  </si>
  <si>
    <t>FY15-105</t>
  </si>
  <si>
    <t>National Nuclear Security Administration / Lawrence Livermore National Laboratory</t>
  </si>
  <si>
    <t>Don Thompson</t>
  </si>
  <si>
    <t>https://community.max.gov/download/attachments/992346725/ATO%20Letter_Salesforce_DOE_NNSA_LLNL_08.03.15.pdf?api=v2</t>
  </si>
  <si>
    <t>FY15-106</t>
  </si>
  <si>
    <t>https://community.max.gov/download/attachments/920093586/ATO.Letter_MAXSS_OGE_07.23.15.pdf?api=v2</t>
  </si>
  <si>
    <t>FY15-107</t>
  </si>
  <si>
    <t>United States Marshals Service</t>
  </si>
  <si>
    <t>Trent Gadd</t>
  </si>
  <si>
    <t>https://community.max.gov/download/attachments/1130635691/ATO%20Letter_Salesforce_DOJ_USMS_09.10.15.pdf?api=v2</t>
  </si>
  <si>
    <t>FY15-108</t>
  </si>
  <si>
    <t>Virgina Arreguin</t>
  </si>
  <si>
    <t>https://community.max.gov/download/attachments/780173411/ATO.Letter_MSO365_DOE_05.01.15.pdf?api=v2</t>
  </si>
  <si>
    <t>FY15-109</t>
  </si>
  <si>
    <t>Oscar Morales</t>
  </si>
  <si>
    <t>https://community.max.gov/download/attachments/1130635691/ATO.Letter_Salesforce_EPA_01.30.15.pdf?api=v2</t>
  </si>
  <si>
    <t>FY15-110</t>
  </si>
  <si>
    <t>John Benison</t>
  </si>
  <si>
    <t>https://community.max.gov/download/attachments/777093308/ATO.Letter_Micropact_HUD_01.20.15.pdf?api=v2</t>
  </si>
  <si>
    <t>FY15-111</t>
  </si>
  <si>
    <t>Proofpoint, Inc.</t>
  </si>
  <si>
    <t>Proofpoint Email Archive</t>
  </si>
  <si>
    <t>F1304222071</t>
  </si>
  <si>
    <t>Tina Amereihn</t>
  </si>
  <si>
    <t>https://community.max.gov/x/vQIZOg</t>
  </si>
  <si>
    <t>https://community.max.gov/download/attachments/974717633/Proofpoint_FedRAMP_30_Sep2015.pdf?api=v2</t>
  </si>
  <si>
    <t>Information System Security Manager</t>
  </si>
  <si>
    <t>fedramp@proofpoint.com</t>
  </si>
  <si>
    <t>www.proofpoint.com</t>
  </si>
  <si>
    <t>The Federal Production Environment provides a complete message archiving solution that can protect an organization from legal liabilities and regulatory risks while improving email storage management and end-user productivity. Its web interface offers fully secure email archiving with robust search and discovery, supervision, and enforcement features. The solution securely stores electronic messages for a specified retention period, while keeping the messages fully searchable and retrievable in real-time or with a batch process. This allows archived messages to be easily viewed, retrieved to a user’s email inbox or exported to an Outlook data file.
The Archiving Customer Premise Equipment (CPE) is software-based, a hardware-based version is also available, and is installed within the Microsoft Office 365 ITAR environment behind the firewall to provide the tight integration and security typically only afforded to internal systems. The CPE integrates with Microsoft Exchange to ensure reliable, native format message archiving. Its integration with Active Directory facilitates unified login and access control management. Since the CPE is the only holder of the encryption keys used with *Proofpoint’s DoubleBlind™ Encryption* technology, any processing that involves encryption or decryption happens on the CPE.
*Proofpoint’s DoubleBlind™ Encryption* technology guarantees the security of data, ensuring that no one outside the organization can access archived data. When a message reaches the CPE, it is encrypted before being sent outside the Microsoft Office 365 ITAR firewall over a secure connection to the Proofpoint Federal Production Environment. Messages are only decrypted when an authorized user on the customer network conducts a search from Outlook or from the CPE’s web-based user interface. Data can never be viewed without access to both the archiving CPE within the Microsoft Office 365 ITAR environment and the Proofpoint Federal Production Environment.</t>
  </si>
  <si>
    <t>https://marketplace.fedramp.gov/img/logos/CSP_logos/Proofpoint%20Logo.jpg</t>
  </si>
  <si>
    <t>FY15-112</t>
  </si>
  <si>
    <t>Eugene McCoy</t>
  </si>
  <si>
    <t>https://community.max.gov/download/attachments/780173411/ATO.Letter_MSO365_DOL_12.19.14.pdf?api=v2</t>
  </si>
  <si>
    <t>FY15-113</t>
  </si>
  <si>
    <t>https://community.max.gov/download/attachments/1155203596/ATO.Letter_IBMMaaS360_DOL_12.19.14.pdf?api=v2</t>
  </si>
  <si>
    <t>FY15-114</t>
  </si>
  <si>
    <t>https://community.max.gov/download/attachments/1130635691/ATO.Letter_Salesforce_USAID_01.15.15.pdf?api=v2</t>
  </si>
  <si>
    <t>FY15-115</t>
  </si>
  <si>
    <t>https://community.max.gov/download/attachments/1531087271/ATO.Letter_Google_DoI_10.31.14.pdf?api=v2</t>
  </si>
  <si>
    <t>FY15-116</t>
  </si>
  <si>
    <t>https://community.max.gov/download/attachments/1155203596/ATO.Letter_IBM_MaaS360_DoI_09.04.15.pdf?api=v2</t>
  </si>
  <si>
    <t>FY15-117</t>
  </si>
  <si>
    <t>https://community.max.gov/download/attachments/1155204218/ATO.Letter_MS_Azure_HUD_08.04.15.pdf?api=v2</t>
  </si>
  <si>
    <t>FY15-119</t>
  </si>
  <si>
    <t>David Shive</t>
  </si>
  <si>
    <t>https://community.max.gov/download/attachments/1116602815/ATO.Letter_Akamai_GSA_07.17.15.pdf?api=v2</t>
  </si>
  <si>
    <t>FY15-120</t>
  </si>
  <si>
    <t>https://community.max.gov/download/attachments/1115488742/ATO.Letter_AWS_EW_GSA_07.17.15.pdf?api=v2</t>
  </si>
  <si>
    <t>FY15-121</t>
  </si>
  <si>
    <t>https://community.max.gov/download/attachments/1116602747/ATO.Letter_CGI_GSA_07.17.15.pdf?api=v2</t>
  </si>
  <si>
    <t>FY15-122</t>
  </si>
  <si>
    <t>https://community.max.gov/download/attachments/1155203654/ATO.Letter_IBM_SCG_GSA_07.17.15.pdf?api=v2</t>
  </si>
  <si>
    <t>FY15-123</t>
  </si>
  <si>
    <t>https://community.max.gov/download/attachments/992346725/ATO.Letter_Salesforce_GSA_07.17.15.pdf?api=v2</t>
  </si>
  <si>
    <t>FY15-124</t>
  </si>
  <si>
    <t>https://community.max.gov/download/attachments/992346739/ATO.Letter_USDA_NITC_GSA_07.17.15.pdf?api=v2</t>
  </si>
  <si>
    <t>FY15-125</t>
  </si>
  <si>
    <t>Phillip Landfried</t>
  </si>
  <si>
    <t>https://community.max.gov/download/attachments/992346701/ATO.Letter_Micropact_DHS_CBP_02.12.15.pdf?api=v2</t>
  </si>
  <si>
    <t>FY15-126</t>
  </si>
  <si>
    <t>https://community.max.gov/download/attachments/1256457901/ATO.Letter_Akamai_DOI_03.27.15.pdf?api=v2</t>
  </si>
  <si>
    <t>Was in MAX but not in the Auth Log. Added to Auth Log 8/18/2016</t>
  </si>
  <si>
    <t>FY15-127</t>
  </si>
  <si>
    <t>Jeanne Etzel</t>
  </si>
  <si>
    <t>https://community.max.gov/download/attachments/1116602747/ATO.Letter_CGI_DHS_09.21.15.pdf?api=v2</t>
  </si>
  <si>
    <t>FY15-128</t>
  </si>
  <si>
    <t>https://community.max.gov/download/attachments/1116602747/ATO.Letter_CGI_DHS_11.20.14.pdf?api=v2</t>
  </si>
  <si>
    <t>FY15-129</t>
  </si>
  <si>
    <t>https://community.max.gov/download/attachments/992346706/ATO.Letter_MSO365_DHS_4.13.15.pdf?api=v2</t>
  </si>
  <si>
    <t>FY15-130</t>
  </si>
  <si>
    <t>Scott Cragg</t>
  </si>
  <si>
    <t>https://community.max.gov/download/attachments/1256458288/ATO.Letter_ServiceNow_FRTIB_07.08.15.pdf?api=v2</t>
  </si>
  <si>
    <t>https://marketplace.fedramp.gov/img/logos/Agency_logos/FRTIB%20Logo.jpg</t>
  </si>
  <si>
    <t>FY15-131</t>
  </si>
  <si>
    <t xml:space="preserve">F1209041518 </t>
  </si>
  <si>
    <t>https://community.max.gov/download/attachments/1155203762/ATO.Letter_OracleFMCS_DoE_FSA_09.18.15.pdf?api=v2</t>
  </si>
  <si>
    <t>FY15-132</t>
  </si>
  <si>
    <t>https://community.max.gov/download/attachments/1155203563/ATO.Letter_HPEHelion_DoE_FSA_09.18.15.pdf?api=v2</t>
  </si>
  <si>
    <t>FY15-133</t>
  </si>
  <si>
    <t>Joyce Hunter</t>
  </si>
  <si>
    <t>https://community.max.gov/download/attachments/1130635691/ATO.Letter_Salesforce_USDA_03.09.15.pdf?api=v2</t>
  </si>
  <si>
    <t>FY15-134</t>
  </si>
  <si>
    <t>Edward Anthony</t>
  </si>
  <si>
    <t>https://community.max.gov/download/attachments/1500545316/ATO.Letter_AdobeACMSGC_DoE_05.22.15.pdf?api=v2</t>
  </si>
  <si>
    <t>FY15-135</t>
  </si>
  <si>
    <t>Greg Robison</t>
  </si>
  <si>
    <t>https://community.max.gov/download/attachments/1130635691/ATO.Letter_Salesforce_DoE_05.04.15.pdf?api=v2</t>
  </si>
  <si>
    <t>FY15-136</t>
  </si>
  <si>
    <t>Linda Wilbanks</t>
  </si>
  <si>
    <t>https://community.max.gov/download/attachments/1155203438/ATO.Letter_GDIT_DoE_FSA_12.16.14.pdf?api=v2</t>
  </si>
  <si>
    <t>FY15-137</t>
  </si>
  <si>
    <t>Joshua Kossoy</t>
  </si>
  <si>
    <t>https://community.max.gov/download/attachments/780173411/ATO.Letter_MSO365_PBGC_03.30.15.pdf?api=v2</t>
  </si>
  <si>
    <t>https://marketplace.fedramp.gov/img/logos/Agency_logos/PBGC%20logo.png</t>
  </si>
  <si>
    <t>FY15-138</t>
  </si>
  <si>
    <t>Blackberry</t>
  </si>
  <si>
    <t>BlackBerry Cloud - AtHoc Services for Government</t>
  </si>
  <si>
    <t>F1302271924</t>
  </si>
  <si>
    <t>Donald Adcock</t>
  </si>
  <si>
    <t>https://community.max.gov/x/CgIoNQ</t>
  </si>
  <si>
    <t>https://community.max.gov/download/attachments/1395853104/ATO.Letter_Blackberry_DoE_02.02.15.pdf?api=v2</t>
  </si>
  <si>
    <t>Rashad Munawar</t>
  </si>
  <si>
    <t>fedrampinfo@blackberry.com</t>
  </si>
  <si>
    <t xml:space="preserve"> http://blackberry.athoc.com</t>
  </si>
  <si>
    <t>https://marketplace.fedramp.gov/img/logos/CSP_logos/BlackBerry%20Logo.jpg</t>
  </si>
  <si>
    <t>FY15-139</t>
  </si>
  <si>
    <t>https://community.max.gov/download/attachments/1395853104/ATO.Letter_Blackberry_DoE_12.11.14.pdf?api=v2</t>
  </si>
  <si>
    <t>FY15-140</t>
  </si>
  <si>
    <t>United States Securities and Exchange Commission</t>
  </si>
  <si>
    <t>Pamela Dyson</t>
  </si>
  <si>
    <t>https://community.max.gov/download/attachments/992346725/ATO.Letter_Salesforce_SEC_08.10.15.pdf?api=v2</t>
  </si>
  <si>
    <t>https://marketplace.fedramp.gov/img/logos/Agency_logos/SEC%20Logo.jpg</t>
  </si>
  <si>
    <t>FY15-141</t>
  </si>
  <si>
    <t>Michael Thomas</t>
  </si>
  <si>
    <t>https://community.max.gov/download/attachments/1395853104/ATO.Letter_Blackberry_DoT_06.01.15.pdf?api=v2</t>
  </si>
  <si>
    <t>FY15-142</t>
  </si>
  <si>
    <t>Kenneth Zwick</t>
  </si>
  <si>
    <t>https://community.max.gov/download/attachments/1155203654/ATO.Letter_IBMSCG_DoJ_03.17.15.pdf?api=v2</t>
  </si>
  <si>
    <t>FY15-143</t>
  </si>
  <si>
    <t>https://community.max.gov/download/attachments/992346706/ATO.Letter_MSO365_DoC_Census_11.05.14.pdf?api=v2</t>
  </si>
  <si>
    <t>FY15-144</t>
  </si>
  <si>
    <t>Box Inc.</t>
  </si>
  <si>
    <t>Box Enterprise Cloud Content Collaboration Platform</t>
  </si>
  <si>
    <t>F1212191840</t>
  </si>
  <si>
    <t>https://community.max.gov/x/UQK2PQ</t>
  </si>
  <si>
    <t>https://community.max.gov/download/attachments/1035338333/ATO.Letter_Box_DoJ_05.27.15.pdf?api=v2</t>
  </si>
  <si>
    <t>Tom Cowles</t>
  </si>
  <si>
    <t>compliance@box.com</t>
  </si>
  <si>
    <t>www.box.com</t>
  </si>
  <si>
    <t>https://marketplace.fedramp.gov/img/logos/CSP_logos/Box%20Logo.jpg</t>
  </si>
  <si>
    <t>FY15-145</t>
  </si>
  <si>
    <t>Mary Klutts</t>
  </si>
  <si>
    <t>https://community.max.gov/download/attachments/1116602747/ATO%20Letter_CGI_LoC_04.27.15.pdf?api=v2</t>
  </si>
  <si>
    <t>https://marketplace.fedramp.gov/img/logos/Agency_logos/LoC%20logo.jpg</t>
  </si>
  <si>
    <t>FY15-146</t>
  </si>
  <si>
    <t>https://community.max.gov/download/attachments/992346706/ATO.Letter_MSO365_NLRB_10.24.14.pdf?api=v2</t>
  </si>
  <si>
    <t>FY15-147</t>
  </si>
  <si>
    <t>https://community.max.gov/download/attachments/1116602815/ATO.Letter_Akamai_DoED_5.4.15.pdf?api=v2</t>
  </si>
  <si>
    <t>FY15-148</t>
  </si>
  <si>
    <t>https://community.max.gov/download/attachments/1116602815/ATO.Letter_Akamai_DoED_FSA_06.18.15.pdf?api=v2</t>
  </si>
  <si>
    <t>FY15-149</t>
  </si>
  <si>
    <t>Erin Dahlin</t>
  </si>
  <si>
    <t>https://community.max.gov/download/attachments/1256458277/ATO.Letter_QTS_CNCS_07.13.15.pdf?api=v2</t>
  </si>
  <si>
    <t>https://marketplace.fedramp.gov/img/logos/Agency_logos/cncs_1.png</t>
  </si>
  <si>
    <t>FY15-N/A</t>
  </si>
  <si>
    <t>Oracle Service Cloud (DOD)</t>
  </si>
  <si>
    <t>F1304012002</t>
  </si>
  <si>
    <t>**Oracle Service Cloud (DoD) has been authorized at the FedRAMP Moderate baseline + Impact Level (IL) 4 controls.**
The Oracle Service Cloud is Oracle’s premier Software as a Service (SaaS) solution providing the industry’s best in class customer service platform for enterprise customers. Oracle Service Cloud is deployed onto a robust, secure infrastructure hosting Oracle’s patented CX software applications in an environment accredited to FedRAMP-Moderate specifications. The Oracle Service Cloud leverages a fault-tolerant core application framework offering flexible add-on modules providing customers with a customizable, out-of-the-box feature set to support both customer-facing and customer service agent-facing functions. The Oracle Service Cloud is offered as a hosted cloud solution (i.e., operated and maintained by Oracle within its secure hosting environment at co-location facilities in the United States) providing customers with a modern, efficient and secure cloud solution via a proven Software as a Service (SaaS) delivery model.</t>
  </si>
  <si>
    <t>Missing ATO letter. Need to retrieve from DoD to fill in the blanks.  Talk to Claudio about announcement date</t>
  </si>
  <si>
    <t>FY16-001</t>
  </si>
  <si>
    <t>Rob Klopp</t>
  </si>
  <si>
    <t>https://community.max.gov/download/attachments/1115488742/ATO.Letter_AWS.EW_SSA_10.01.15.pdf?api=v2</t>
  </si>
  <si>
    <t>https://marketplace.fedramp.gov/img/logos/Agency_logos/US-SocialSecurityAdmin-Seal.png</t>
  </si>
  <si>
    <t>FY16-002</t>
  </si>
  <si>
    <t>Todd Simpson</t>
  </si>
  <si>
    <t>https://community.max.gov/download/attachments/1113425425/ATO.Letter_AWS.GC_HHS.FDA_12.21.15.pdf?api=v2</t>
  </si>
  <si>
    <t>FY16-003</t>
  </si>
  <si>
    <t>https://community.max.gov/download/attachments/1256457937/ATO.Letter_ATT_DOI_12.17.15.pdf?api=v2</t>
  </si>
  <si>
    <t>FY16-004</t>
  </si>
  <si>
    <t>https://community.max.gov/download/attachments/1155204092/ATO.Letter_ARC-P_DOI_12.17.15.pdf?api=v2</t>
  </si>
  <si>
    <t>Letter explicitly limits the ATO to six months from the letter date. Expires in June 2016</t>
  </si>
  <si>
    <t>FY16-005</t>
  </si>
  <si>
    <t>https://community.max.gov/download/attachments/982024658/ATO.Letter_Cisco_HHS_01.04.16.pdf?api=v2</t>
  </si>
  <si>
    <t>Create and join meetings easily from your computer or mobile device. Invite participants to share content in real time. See who you’re talking to. All in a highly secure environment.
This is now reality for government agencies, thanks to Cisco WebEx® Web Conferencing, a FedRAMP-compliant service. As a FedRAMP-compliant solution provided by the market leader in web and video conferencing, Cisco WebEx Web Conferencing lets you:
 - Easily meet face to face with meeting participants from other locations
 - See and hear the same information at the same time with attendees
 - Collaborate and increase productivity without the need for travel
 - Make meetings more engaging with high-definition (HD) video, audio, and content sharing
Cisco WebEx Meeting Center—Collaborate instantly, exchange ideas, and share content with attendees joining meetings from their computers on the go with their mobile devices.</t>
  </si>
  <si>
    <t>FY16-006</t>
  </si>
  <si>
    <t>SAIC</t>
  </si>
  <si>
    <t>SAIC Cloud Infrastructure Service</t>
  </si>
  <si>
    <t>F1306132188</t>
  </si>
  <si>
    <t>https://community.max.gov/x/awMpLg</t>
  </si>
  <si>
    <t>https://community.max.gov/download/attachments/1153174333/P-ATO_Day1_12.14.15.pdf?api=v2</t>
  </si>
  <si>
    <t>Coby Holloway</t>
  </si>
  <si>
    <t>fedramp@saic.com</t>
  </si>
  <si>
    <t>http://www.saic.com/services-solutions/technology-solutions/cloud/</t>
  </si>
  <si>
    <t xml:space="preserve">SAIC is a premier technology integration company providing full life-cycle services and solutions in enterprise information technology for federal agencies. We bring a wide range of services to the cloud transformation market, including SAIC Cloud Infrastructure Service, our FedRAMP-compliant secure public cloud platform. A fully hosted and managed Infrastructure-as-a-Service (IaaS), the service is available through a subscription-based OPEX model. 
SAIC Cloud Infrastructure Service meets FedRAMP’s stringent compliance standards as a result of evolving national security and procurement policies and the growing threats to our nation’s cybersecurity. The solution encompasses managed firewall, endpoint, proxy, and other security services while maintaining integrity of sensitive data and delivering the highest levels of compute performance in a highly secure cloud environment.
SAIC Cloud Infrastructure Service is part of SAIC’s broad portfolio of cloud assessment, engineering, integration, operations, and managed services solutions. Granted a Provisional Authority to Operate (P-ATO) from FedRAMP’s Joint Authorization Board (JAB), and headquartered in Reston, Virginia, SAIC has a proven history of delivering effective technology solutions to government customers, understanding their unique budget challenges and operational impacts with our deep federal domain knowledge.  </t>
  </si>
  <si>
    <t>12/12/16: Name change requested by VAZATA to remove COPT from title and to change logo.
9/29/17: Name change to SAIC due to partnership.</t>
  </si>
  <si>
    <t>https://marketplace.fedramp.gov/img/logos/CSP_logos/SAIC%20Logo.jpg</t>
  </si>
  <si>
    <t>FY16-007</t>
  </si>
  <si>
    <t>Marti Eckert</t>
  </si>
  <si>
    <t>https://community.max.gov/download/attachments/992346679/ATO.Letter_ESRI_SSA_10.13.15.pdf?api=v2</t>
  </si>
  <si>
    <t>FY16-008</t>
  </si>
  <si>
    <t>https://community.max.gov/download/attachments/1155203438/P-ATO_GDIT_12.08.15.pdf?api=v2</t>
  </si>
  <si>
    <t>General Dynamics IT designed, built and manages an enterprise-level, FedRAMP-compliant cloud to support projects of all sizes and complexities. GDIT Cloud provides security, visibility and enhanced performance through proactive monitoring, alerting and maintenance without service interruption. Serving multiple government customers, this multi-tenant Government Community Cloud is hosted in General Dynamics IT leased Data Centers located in the United States.</t>
  </si>
  <si>
    <t>FY16-009</t>
  </si>
  <si>
    <t>https://community.max.gov/download/attachments/1531087274/ATO.Letter_Google.Services_GSA_12.28.15.pdf?api=v2</t>
  </si>
  <si>
    <t>Package located on Googledrive, separate from MAX
9/29/16: Made Inactive. Extension of this letter sent in (FY16-122). Made Inactive in FY16</t>
  </si>
  <si>
    <t>FY16-010</t>
  </si>
  <si>
    <t>Darren Ash</t>
  </si>
  <si>
    <t>https://community.max.gov/download/attachments/1155203596/ATO.Letter_IBM.MaaS360_NRC_03.01.16.pdf?api=v2</t>
  </si>
  <si>
    <t>https://marketplace.fedramp.gov/img/logos/Agency_logos/US-NuclearRegulatoryCommission-Logo.png</t>
  </si>
  <si>
    <t>FY16-011</t>
  </si>
  <si>
    <t>Check on contingency?</t>
  </si>
  <si>
    <t>FY16-012</t>
  </si>
  <si>
    <t>iSite LLC</t>
  </si>
  <si>
    <t>iSite Contract Management Portal</t>
  </si>
  <si>
    <t>F1506256801</t>
  </si>
  <si>
    <t>Jefferey Seaton</t>
  </si>
  <si>
    <t>https://community.max.gov/x/zoSNO</t>
  </si>
  <si>
    <t>https://community.max.gov/download/attachments/948798674/LCMS%20ATO%20LaRC.pdf?api=v2</t>
  </si>
  <si>
    <t>Scott Wickham</t>
  </si>
  <si>
    <t>swickham@msmgroupinc.com</t>
  </si>
  <si>
    <t>www.msm-isite.com</t>
  </si>
  <si>
    <t>The iSite® Contract Management Portal is a web-based system that provides easy-to-use functionality for your task performers, task managers, program managers and finance managers for viewing and managing the day-to-day progress of your Federal Government contracts.</t>
  </si>
  <si>
    <t>Get in touch with NASA regarding status of this ATO</t>
  </si>
  <si>
    <t>https://marketplace.fedramp.gov/img/logos/CSP_logos/iSite%20Logo.jpg</t>
  </si>
  <si>
    <t>FY16-013</t>
  </si>
  <si>
    <t>Edward Davis</t>
  </si>
  <si>
    <t>https://community.max.gov/download/attachments/1155204218/ATO.Letter_MS.Azure_CNCS_01.26.16.pdf?api=v2</t>
  </si>
  <si>
    <t>FY16-014</t>
  </si>
  <si>
    <t>https://community.max.gov/download/attachments/1179582858/ATO.Letter_MS.CRM_HHS_12.22.15.pdf?api=v2</t>
  </si>
  <si>
    <t>12/5/16: Swapped from Agency path to JAB path with P-ATO letter received.</t>
  </si>
  <si>
    <t>FY16-015</t>
  </si>
  <si>
    <t>Parature Customer Service Application (CSA)</t>
  </si>
  <si>
    <t>F1602237855</t>
  </si>
  <si>
    <t>Steven Cooper</t>
  </si>
  <si>
    <t>https://community.max.gov/x/74A2PQ</t>
  </si>
  <si>
    <t>https://community.max.gov/download/attachments/1026982134/DOC%20BusinessUSA%20ATO%20Letter%202015.pdf?api=v2</t>
  </si>
  <si>
    <t>Anwar Kibria</t>
  </si>
  <si>
    <t>akibria@microsoft.com</t>
  </si>
  <si>
    <t>The Parature application is Web-based customer service and support software. The Parature Customer Service Application (CSA) integrates a customer portal, rich knowledgebase, ticketing application, service desk, and a host of additional modules in one dynamic, unified system that provides organizations with a comprehensive, multi-channel way to meet the growing expectations of their customers. The SaaS delivery and integrated, intuitive design enable organizations to get up and running quickly, easily and efficiently.</t>
  </si>
  <si>
    <t>5/9/17: Taken off Marketplace as the service is not being sold anymore and incorporated into CRMOL.</t>
  </si>
  <si>
    <t>FY16-016</t>
  </si>
  <si>
    <t>Accellion</t>
  </si>
  <si>
    <t>Kiteworks Federal Cloud</t>
  </si>
  <si>
    <t>F1511167634</t>
  </si>
  <si>
    <t>https://community.max.gov/x/0h0kSQ</t>
  </si>
  <si>
    <t>https://community.max.gov/download/attachments/779322061/ATO.Letter_Accellion.Kiteworks_DOI_12.17.15.pdf?api=v2</t>
  </si>
  <si>
    <t>Frank Balonis</t>
  </si>
  <si>
    <t>fbalonis@accellion.com</t>
  </si>
  <si>
    <t>http://www.accellion.com/government</t>
  </si>
  <si>
    <t>No page on MAX as of 6/17/16. Website page created 4/21/16</t>
  </si>
  <si>
    <t>https://marketplace.fedramp.gov/img/logos/CSP_logos/Accellion%20Logo.jpg</t>
  </si>
  <si>
    <t>FY16-018</t>
  </si>
  <si>
    <t>United States Patent and Trademark Office</t>
  </si>
  <si>
    <t>Andrew Hirshfeld &amp; John B. Owens II</t>
  </si>
  <si>
    <t>https://community.max.gov/download/attachments/882934025/ATO.Letter_ProjectHosts_DOC_10.20.15.pdf?api=v2</t>
  </si>
  <si>
    <t>info@projecthosts.com</t>
  </si>
  <si>
    <t>9/30/16: ATO expired, DoC not re-issuing. Made Inactive in FY16</t>
  </si>
  <si>
    <t>FY16-019</t>
  </si>
  <si>
    <t>https://community.max.gov/download/attachments/1130635691/ATO.Letter_Salesforce_DOI_12.03.15.pdf?api=v2</t>
  </si>
  <si>
    <t>FY16-020</t>
  </si>
  <si>
    <t>https://community.max.gov/download/attachments/1155203837/P-ATO_ServiceNow_02.17.16.pdf?api=v2</t>
  </si>
  <si>
    <t>The ServiceNow Service Automation Government Cloud Suite is a suite of natively integrated applications designed to support IT service automation, resource management and shared support services. ServiceNow is built on modern web technologies. The ServiceNow platform includes easy-to-use, point-and-click customization tools to help customers create solutions for unique business requirements. ServiceNow applications cover all Information Technology Infrastructure Library (ITIL) processes and are natively integrated on a single platform providing web intuitiveness and unprecedented process automation.
The ServiceNow Service Automation Government Cloud Suite uses Continental United States (CONUS)-based dedicated infrastructure (facilities, servers, databases, networking devices) to process, store, and transmit government information using a multi-instance architecture. This Government Community Cloud is available for use by United States Federal, State, Local, and Tribal Government with registered .gov or .mil domain addresses, Government Consultants, and Federally Funded Research and Development Centers (FFRDC).</t>
  </si>
  <si>
    <t>FY16-021</t>
  </si>
  <si>
    <t>https://community.max.gov/download/attachments/1256458288/ATO.Letter_ServiceNow_DOC_10.02.15.pdf?api=v2</t>
  </si>
  <si>
    <t>See attached email for CSP authentication</t>
  </si>
  <si>
    <t>FY16-022</t>
  </si>
  <si>
    <t>Skillsoft</t>
  </si>
  <si>
    <t>F1207261443</t>
  </si>
  <si>
    <t>Carol Rushin</t>
  </si>
  <si>
    <t>https://community.max.gov/x/FoUvOw</t>
  </si>
  <si>
    <t>https://community.max.gov/download/attachments/1131250262/ATO.Letter_Skillsoft_EPA_12.17.15.pdf?api=v2</t>
  </si>
  <si>
    <t>Edi Feldman</t>
  </si>
  <si>
    <t>edi.feldman@skillsoft.com</t>
  </si>
  <si>
    <t>www.skillsoft.com</t>
  </si>
  <si>
    <t>Skillsoft is a U.S. based educational technology company that produces learning management system software and content. It is one of the world's largest corporate training providers, with 10,000 customers, 60 million users, and 2,400 employees as of 2014. Skillsoft is an education provider to many U.S. DoD and U.S. Federal organizations.</t>
  </si>
  <si>
    <t>https://marketplace.fedramp.gov/img/logos/CSP_logos/Skillsoft%20Logo.jpg</t>
  </si>
  <si>
    <t>FY16-023</t>
  </si>
  <si>
    <t>FY16-024</t>
  </si>
  <si>
    <t>https://community.max.gov/download/attachments/1256458277/ATO.Letter_VMware.Carpathia_DOI_12.17.15.pdf?api=v2</t>
  </si>
  <si>
    <t>FY16-025</t>
  </si>
  <si>
    <t>Amy Northcutt</t>
  </si>
  <si>
    <t>https://community.max.gov/download/attachments/992346706/ATO.Letter_MS.O365_NSF_3.25.16.pdf?api=v2</t>
  </si>
  <si>
    <t>FY16-026</t>
  </si>
  <si>
    <t>https://community.max.gov/download/attachments/1113425425/ATO.Letter_AWS.GC_NSF_3.25.16.pdf?api=v2</t>
  </si>
  <si>
    <t>FY16-027</t>
  </si>
  <si>
    <t>Universal Service Administrative Company</t>
  </si>
  <si>
    <t>Peter Taylor</t>
  </si>
  <si>
    <t>https://community.max.gov/download/attachments/1115488812/ATO.Letter_Appian_USAC_02.05.16.pdf?api=v2</t>
  </si>
  <si>
    <t>https://marketplace.fedramp.gov/img/logos/Agency_logos/USAC-logo.png</t>
  </si>
  <si>
    <t>FY16-028</t>
  </si>
  <si>
    <t>Acquia Inc.</t>
  </si>
  <si>
    <t>Acquia Cloud</t>
  </si>
  <si>
    <t>F1302201919</t>
  </si>
  <si>
    <t>https://community.max.gov/x/GAugKw</t>
  </si>
  <si>
    <t>https://community.max.gov/download/attachments/936118328/ATO.Letter_Aquia_Treasury_03.17.16.pdf?api=v2</t>
  </si>
  <si>
    <t>Brian Kerr</t>
  </si>
  <si>
    <t>fedramp@acquia.com</t>
  </si>
  <si>
    <t>www.acquia.com</t>
  </si>
  <si>
    <t>Acquia provides the leading cloud platform for building, delivering, and optimizing digital experiences.
Acquia is the enterprise platform behind Drupal, the leading open-source content management system, recognized as a Magic Quadrant Leader by Gartner two years in a row. Our platform enables agencies to foster greater digital engagement with citizens and securely deliver mission essential information and services with greater speed, agility, and resiliency.
The City of LA, State of New York, FEMA, Department of Homeland Security and many other government agencies rely on the Acquia platform to build websites and digital experiences that meet the needs of their citizens, internal users and IT teams while moving their missions forward.
These agencies know that a citizen-centric government requires more than simply taking the existing physical structure and making it digital. Today the term “digital” has taken on a new meaning. In the private sector, consumers can shop, pay bills, and even conduct banking online, and now they’re expecting to conduct government business online in the same way. The most forward-thinking government IT managers are finding ways to meet expectations set by the private sector, and then going above and beyond to serve citizens.
With the Acquia Platform governments and agencies can use limited taxpayer dollars efficiently to build sites and experience that meet the needs of IT, deliver on the mission and give citizens crucial information they need.</t>
  </si>
  <si>
    <t>https://marketplace.fedramp.gov/img/logos/CSP_logos/Acquia%20Logo.jpg</t>
  </si>
  <si>
    <t>FY16-029</t>
  </si>
  <si>
    <t>Granicus</t>
  </si>
  <si>
    <t>GovDelivery Communications Cloud</t>
  </si>
  <si>
    <t>F1311252652</t>
  </si>
  <si>
    <t>https://community.max.gov/x/FgQpLg</t>
  </si>
  <si>
    <t>https://community.max.gov/download/attachments/1155203545/P-ATO_GovDelivery_03.09.16.pdf?api=v2</t>
  </si>
  <si>
    <t>Mike Sangillo</t>
  </si>
  <si>
    <t>fedrampinfo@granicus.com</t>
  </si>
  <si>
    <t>http://www.granicus.com</t>
  </si>
  <si>
    <t>More than 1,000 public sector organizations use Granicus’ highly secure cloud communications solutions every day to enhance the citizen experience for greater than 150 million people. As the only FedRAMP-authorized marketing automation platform, Granicus’ GovDelivery Communications Cloud serves federal, state, and local government customers and is the most secure marketing solution available for any public-sector organization. The Advanced Package for Communications Cloud and the Targeted Messaging Service are feature offerings available with Granicus’ GovDelivery Communications Cloud.</t>
  </si>
  <si>
    <t>1/11/18: Company name change to Granicus from GovDelivery</t>
  </si>
  <si>
    <t>https://marketplace.fedramp.gov/img/logos/CSP_logos/Granicus%20Logo.jpg</t>
  </si>
  <si>
    <t>FY16-030</t>
  </si>
  <si>
    <t>https://community.max.gov/download/attachments/779322127/ATO.Letter_Box_DOD_04.19.16.pdf?api=v2</t>
  </si>
  <si>
    <t>FY16-031</t>
  </si>
  <si>
    <t>GovPoint Cloud Services</t>
  </si>
  <si>
    <t>F1311222650</t>
  </si>
  <si>
    <t>https://community.max.gov/x/ZgK0LQ</t>
  </si>
  <si>
    <t>https://community.max.gov/download/attachments/1155203349/P-ATO_Dell_04.21.16.pdf?api=v2</t>
  </si>
  <si>
    <t>http://www.mis-sciences.com</t>
  </si>
  <si>
    <t>MIS Sciences is a SBA certified Woman Owned Small Business and a VA Certified Veteran Owned Small Business. 
MIS Govpoint Cloud Services (GCS) is a FedRAMP moderate JAB P-ATO (IaaS/PaaS) and FISMA HIGH Government only cloud for your critical computing needs, with full support for containers and serverless computing. 
Our “single pane of glass” allows you to easily order, provision and manage your GovPoint services, request support, manage incident response, and perform DR testing.
The MIS GovPoint environment allows customers to bring their own equipment or provision specialty environments, all within the FedRAMP boundary. This is ideal for DRaaS that requires specialty appliances for continued operation. 
MIS GovPoint is AI Pricing (All Included). Everything is a fixed fee; you know what you will pay and no surprise charges for data transfer, I/O, storage movement, load balancers, VPN, etc. AI pricing is up to 30% less than other FedRAMP clouds.
For further information, contact MIS Sciences as [govpoint@mis-sciences.com](govpoint@mis-sciences.com), visit [www.govpoint.cloud](http://www.mis-sciences.com/), or contact us at 877-262-3923.</t>
  </si>
  <si>
    <t>FY16-032</t>
  </si>
  <si>
    <t>Customer eXperience Platform</t>
  </si>
  <si>
    <t>F1509307433</t>
  </si>
  <si>
    <t>Donna Seymour</t>
  </si>
  <si>
    <t>https://community.max.gov/x/j4PPPg</t>
  </si>
  <si>
    <t>https://community.max.gov/download/attachments/779322071/ATO.Letter_GDIT_OPM_11.03.15.pdf?api=v2</t>
  </si>
  <si>
    <t>Daniel Lee</t>
  </si>
  <si>
    <t>https://marketplace.fedramp.gov/img/logos/Agency_logos/US-OfficeOfPersonnelManagement-Seal.png</t>
  </si>
  <si>
    <t>FY16-033</t>
  </si>
  <si>
    <t>Roger Greenwell</t>
  </si>
  <si>
    <t>https://community.max.gov/download/attachments/1155204092/ATO.Letter_AR_DISA_05.02.16.pdf?api=v2</t>
  </si>
  <si>
    <t>6/27/16: Replaces FY15-26, AO John Hickey</t>
  </si>
  <si>
    <t>FY16-034</t>
  </si>
  <si>
    <t>https://community.max.gov/download/attachments/1116602743/ATO.Letter_ARCWRX_DOD.DISA_03.20.16.pdf?api=v2</t>
  </si>
  <si>
    <t>FY16-035</t>
  </si>
  <si>
    <t>https://community.max.gov/download/attachments/1155203837/ATO.Letter_ServiceNow_SSA_04.01.16.pdf?api=v2</t>
  </si>
  <si>
    <t>FY16-036</t>
  </si>
  <si>
    <t>Renee P Wynn</t>
  </si>
  <si>
    <t>https://community.max.gov/download/attachments/1115488742/ATO%20Letter_AWSEW_NASA_11.25.15.pdf?api=v2</t>
  </si>
  <si>
    <t>FY16-037</t>
  </si>
  <si>
    <t>F1206081366</t>
  </si>
  <si>
    <t>https://community.max.gov/x/7AcQL</t>
  </si>
  <si>
    <t>https://community.max.gov/download/attachments/1155204077/P-ATO_ATT.AGC_05.09.16.pdf?api=v2</t>
  </si>
  <si>
    <t>Deborah Hollingsworth</t>
  </si>
  <si>
    <t>debrahollingsworth@att.com</t>
  </si>
  <si>
    <t>www.att.com</t>
  </si>
  <si>
    <t>The AT&amp;T Government Cloud (AGC) is a multi-tenant Infrastructure-as-a-Service (IaaS) cloud computing platform designed for Federal, State and Local government customers.  The AGC offers pre-defined virtualized compute resource bundles which agencies can access through the AGC web-based portal to meet their demanding compute needs.  The AGC provides the ability to quickly deploy and change virtualized compute, storage and networking resources to support the requirements of a dynamic workload environment.</t>
  </si>
  <si>
    <t>8/26/2016: Changed from Active to Inactive and changed Include in Marketplace to N based on request from Matt G.  Product is being retired by AT&amp;T (JMK)</t>
  </si>
  <si>
    <t>FY16-038</t>
  </si>
  <si>
    <t>Jerry Johnston</t>
  </si>
  <si>
    <t>https://community.max.gov/download/attachments/1293687616/ATO%20Letter_Virtustream_DOI_05.20.16.pdf?api=v2</t>
  </si>
  <si>
    <t>FY16-039</t>
  </si>
  <si>
    <t>https://community.max.gov/download/attachments/1113425425/ATO.Letter_AWSGC_DoI_04.13.16.pdf?api=v2</t>
  </si>
  <si>
    <t>FY16-040</t>
  </si>
  <si>
    <t>Bryan Long</t>
  </si>
  <si>
    <t>https://community.max.gov/download/attachments/1155203837/ATO%20Letter_ServiceNow_DOE_05.19.16.pdf?api=v2</t>
  </si>
  <si>
    <t>FY16-041</t>
  </si>
  <si>
    <t>Jeffrey Page</t>
  </si>
  <si>
    <t>https://community.max.gov/download/attachments/1116602747/ATO%20Letter_CGI_CNCS_05.31.16.pdf?api=v2</t>
  </si>
  <si>
    <t>FY16-042</t>
  </si>
  <si>
    <t>https://community.max.gov/download/attachments/992346693/ATO%20Letter_Huddle_DoE_06.02.16.pdf?api=v2</t>
  </si>
  <si>
    <t>ed.kleiser@huddle.com</t>
  </si>
  <si>
    <t>FY16-043</t>
  </si>
  <si>
    <t>Compusearch Software Systems, Inc.</t>
  </si>
  <si>
    <t>FedConnect</t>
  </si>
  <si>
    <t>F1510017461</t>
  </si>
  <si>
    <t>https://community.max.gov/x/9AQHPQ</t>
  </si>
  <si>
    <t>https://community.max.gov/download/attachments/1023870206/USAID%20FedConnect%20FedRAMP%20Signed%20ATO%20Letter_5-18-2016.pdf?api=v2</t>
  </si>
  <si>
    <t>Timothy Clinton</t>
  </si>
  <si>
    <t>securityteam@compusearch.com</t>
  </si>
  <si>
    <t>www.compusearch.com</t>
  </si>
  <si>
    <t>FedConnect® provides US Government Acquisition leaders and Contract Officers a secure, full-lifecycle, auditable approach to interacting with vendors and complying with Paperless Contracting mandates. FedConnect is a Federal acquisition and grants portal where vendors and grant applicants can find opportunities for federal contracts, grants, and other types of assistance funding. It was developed to bridge the gap between government agencies and their vendor and grant applicant/recipient communities in order to streamline the process of doing business with government. Through the FedConnect portal Federal Government representatives are able to issue opportunity requests and make awards via the internet. Company representatives are able to review opportunities, submit bids or proposals, and receive awards. FedConnect provides an open channel of communication with the government that is both secure and auditable.
There are three types of government opportunities facilitated through FedConnect: traditional eRFX issuance, Reverse Auction events, and Financial Assistance opportunities, e.g. grants. For eRFX and Financial Assistance opportunities, FedConnect is offered by subscription fee to Federal Government agencies that are federally regulated. For Reverse Auction only, there is no subscription fee to Federal Government agencies. The bidding and winning vendor company is responsible for payment upon award.
On the government side, FedConnect is accessed through a system-to-system interface to the Compusearch Acquisition and Grants Management software application, PRISM. Through PRISM, Government procurement and grant representatives become indirect users of FedConnect.
On the Vendor/Applicant side, FedConnect is accessed via the internet with a browser. Anyone can access the FedConnect web site and review public opportunities. However, to receive directed opportunities that are not publicly issued, respond electronically, and receive ongoing communications, a vendor/applicant must be registered.
To learn more about FedConnect and its capabilities, please visit the public portion of the FedConnect site at [https://www.fedconnect.net.](https://www.fedconnect.net)</t>
  </si>
  <si>
    <t>https://marketplace.fedramp.gov/img/logos/CSP_logos/Compusearch%20Logo.jpg</t>
  </si>
  <si>
    <t>FY16-044</t>
  </si>
  <si>
    <t>https://community.max.gov/download/attachments/1155203796/ATO%20Letter_OracleSC_CFPB_12.10.15.PDF?api=v2</t>
  </si>
  <si>
    <t>FY16-045</t>
  </si>
  <si>
    <t>Deloitte</t>
  </si>
  <si>
    <t>Deloitte Federal Technology Center</t>
  </si>
  <si>
    <t>F1210161615</t>
  </si>
  <si>
    <t>https://community.max.gov/x/daF3Jg</t>
  </si>
  <si>
    <t>Andrew Martin</t>
  </si>
  <si>
    <t>usircfederalissm@deloitte.com</t>
  </si>
  <si>
    <t>The Deloitte Federal Technology Center (FTC) provides Software-as-a-Service (SaaS) services utilizing best-of-breed technology software and hardware spread across multiple, geographically dispersed datacenters (Texas, Georgia, and Tennessee) in order to provide a highly available, highly redundant infrastructure capable of withstanding man-made and natural catastrophes. Through the use of virtual machine technology and web services, clients are able to work with various Deloitte business entities to develop software, run proof-of-concept operations, and provide production services utilizing a wide variety of operating systems and application software.</t>
  </si>
  <si>
    <t>No In Process date due to being CSP Supplied.
10/7/16: Made inactive in FY16.</t>
  </si>
  <si>
    <t>FY16-046</t>
  </si>
  <si>
    <t>Knight Point Systems</t>
  </si>
  <si>
    <t>CloudSeed</t>
  </si>
  <si>
    <t>F1502276491</t>
  </si>
  <si>
    <t>https://community.max.gov/x/WwTOMg</t>
  </si>
  <si>
    <t>Ryan Lewis</t>
  </si>
  <si>
    <t>info@knightpoint.com</t>
  </si>
  <si>
    <t>www.knightpoint.com</t>
  </si>
  <si>
    <t>https://marketplace.fedramp.gov/img/logos/CSP_logos/Knightpoint%20Logo.jpg</t>
  </si>
  <si>
    <t>FY16-047</t>
  </si>
  <si>
    <t>Qualys</t>
  </si>
  <si>
    <t>Qualys Cloud Platform</t>
  </si>
  <si>
    <t>F1508207205</t>
  </si>
  <si>
    <t>https://community.max.gov/x/0oCMPQ</t>
  </si>
  <si>
    <t>Bernie Leung</t>
  </si>
  <si>
    <t>fedramp@qualys.com</t>
  </si>
  <si>
    <t>www.qualys.com</t>
  </si>
  <si>
    <t>https://marketplace.fedramp.gov/img/logos/CSP_logos/Qualys%20Logo3.jpg</t>
  </si>
  <si>
    <t>FY16-048</t>
  </si>
  <si>
    <t>Skyhigh</t>
  </si>
  <si>
    <t>Cloud Access Security Broker for Government</t>
  </si>
  <si>
    <t>F1506096710</t>
  </si>
  <si>
    <t>https://community.max.gov/x/YQURNQ</t>
  </si>
  <si>
    <t>Kevin M Jones</t>
  </si>
  <si>
    <t>fedrampinfo@skyhighnetworks.com</t>
  </si>
  <si>
    <t>www.skyhighnetworks.com</t>
  </si>
  <si>
    <t>https://marketplace.fedramp.gov/img/logos/CSP_logos/Skyhigh%20Logo.jpg</t>
  </si>
  <si>
    <t>FY16-049</t>
  </si>
  <si>
    <t>Accenture</t>
  </si>
  <si>
    <t>Accenture Federal Cloud ERP</t>
  </si>
  <si>
    <t>F1404043549</t>
  </si>
  <si>
    <t>Martha A Rubenstein</t>
  </si>
  <si>
    <t>https://community.max.gov/x/9QLJO</t>
  </si>
  <si>
    <t>https://community.max.gov/download/attachments/1115488830/ATO%20Letter_Accenture_NSF_06.20.16.pdf?api=v2</t>
  </si>
  <si>
    <t>Faisal Mian</t>
  </si>
  <si>
    <t>FedRAMP@accenturefederal.com</t>
  </si>
  <si>
    <t>https://www.accenture.com/us-en/afs-industry-index.aspx</t>
  </si>
  <si>
    <t>Federal Cloud ERP is a secure cloud offering delivering virtualized back office ERP solutions to US federal customers.  Accenture leverages industry leading software, virtualized technology and assets created from more than 20 years of implementations to help our federal customers to meet their unique mission requirements.</t>
  </si>
  <si>
    <t>https://marketplace.fedramp.gov/img/logos/CSP_logos/Accenture%20Logo2.jpg</t>
  </si>
  <si>
    <t>FY16-050</t>
  </si>
  <si>
    <t>Leland Gardner</t>
  </si>
  <si>
    <t>https://community.max.gov/download/attachments/992346706/ATO%20Letter_MSO365_STB_06.14.16.PDF?api=v2</t>
  </si>
  <si>
    <t>https://marketplace.fedramp.gov/img/logos/Agency_logos/US-SurfaceTransportationBoard-Seal.png</t>
  </si>
  <si>
    <t>FY16-051</t>
  </si>
  <si>
    <t>https://community.max.gov/download/attachments/1115488742/ATO%20Letter_AWSEW_STB_06.14.16.PDF?api=v2</t>
  </si>
  <si>
    <t>FY16-052</t>
  </si>
  <si>
    <t>Portia Wu</t>
  </si>
  <si>
    <t>https://community.max.gov/download/attachments/1115488812/ATO%20Letter_Appian_DOL_10.30.15.pdf?api=v2</t>
  </si>
  <si>
    <t>FY16-053</t>
  </si>
  <si>
    <t>https://community.max.gov/download/attachments/1113425425/ATO%20Letter_AWSGC_DOD_DISA_06.09.16.pdf?api=v2</t>
  </si>
  <si>
    <t>6/23/16: Replaces FY14-07 Expired ATO letter (This letter was a one month extension until FY16-59 was received)</t>
  </si>
  <si>
    <t>FY16-054</t>
  </si>
  <si>
    <t>https://community.max.gov/download/attachments/1113425425/ATO%20Letter_AWSGC_AWSEW_DOC__05.12.16.pdf?api=v2</t>
  </si>
  <si>
    <t>FY16-055</t>
  </si>
  <si>
    <t>https://community.max.gov/download/attachments/858489309/ATO%20Letter_AWSGC_AWSEW_DOC__05.12.16.pdf?api=v2</t>
  </si>
  <si>
    <t>FY16-056</t>
  </si>
  <si>
    <t>Defense Health Agency</t>
  </si>
  <si>
    <t>Col Albert Bonnema</t>
  </si>
  <si>
    <t>https://community.max.gov/download/attachments/1113425425/ATO%20Letter_AWSGC_DOD_DHA__04.18.16.pdf?api=v2</t>
  </si>
  <si>
    <t>FY16-057</t>
  </si>
  <si>
    <t>Department of the Navy</t>
  </si>
  <si>
    <t>Ronald Velasquez</t>
  </si>
  <si>
    <t>https://community.max.gov/download/attachments/1113425425/ATO%20Letter_AWSGC_DOD_Navy__12.14.15.pdf?api=v2</t>
  </si>
  <si>
    <t>FY16-058</t>
  </si>
  <si>
    <t>Daniel Galik</t>
  </si>
  <si>
    <t>https://community.max.gov/download/attachments/858489309/ATO%20Letter_AWSEW_DVA__11.06.15.pdf?api=v2</t>
  </si>
  <si>
    <t>7/5/16: Contacted VA when asked to remove the letter from the website. Letter is not an ATO letter for AWS EW but for Vets.gov exclusively. John H spoke to VA.</t>
  </si>
  <si>
    <t>FY16-059</t>
  </si>
  <si>
    <t>https://community.max.gov/download/attachments/1113425425/ATO%20Letter_AWSGC_DOD_DISA_06.22.16.pdf?api=v2</t>
  </si>
  <si>
    <t xml:space="preserve">6/27/16: Replaces FY16-53 letter. </t>
  </si>
  <si>
    <t>FY16-060</t>
  </si>
  <si>
    <t>https://community.max.gov/download/attachments/992346706/ATO%20Letter_MSO365_DOI__07.06.16.pdf?api=v2</t>
  </si>
  <si>
    <t>FY16-061</t>
  </si>
  <si>
    <t>https://community.max.gov/download/attachments/1155204218/ATO%20Letter_MSAzure_DOI__07.06.16.pdf?api=v2</t>
  </si>
  <si>
    <t>FY16-062</t>
  </si>
  <si>
    <t>https://community.max.gov/download/attachments/1256458242/P-ATO_MSAzure_05.19.16.pdf?api=v2</t>
  </si>
  <si>
    <t>FY16-063</t>
  </si>
  <si>
    <t>New P-ATO for GFS. Made inactive so old dates appear on dashboard</t>
  </si>
  <si>
    <t>FY16-064</t>
  </si>
  <si>
    <t>James Priovolos</t>
  </si>
  <si>
    <t>https://community.max.gov/download/attachments/1116602815/ATO.Letter_Akamai_DOT_IRS_05.31.16.PDF?api=v2</t>
  </si>
  <si>
    <t>Replaces FY14-002 with no expiration date</t>
  </si>
  <si>
    <t>FY16-065</t>
  </si>
  <si>
    <t>https://community.max.gov/download/attachments/1115488742/ATO.Letter_AWSEW_DOL_06.30.16.pdf?api=v2</t>
  </si>
  <si>
    <t>FY16-066</t>
  </si>
  <si>
    <t>https://community.max.gov/download/attachments/1155204092/P-ATO_CSRA_ARC-P_05.19.16.pdf?api=v2</t>
  </si>
  <si>
    <t>High Baseline P-ATO. 
8/11/16: Active letter. Made inactive so older dates show up on the dashboard for ARC-P.</t>
  </si>
  <si>
    <t>FY16-067</t>
  </si>
  <si>
    <t>https://community.max.gov/x/vgVqQQ</t>
  </si>
  <si>
    <t>https://community.max.gov/download/attachments/1097467326/P-ATO_AWS_GC_05.19.16.pdf?api=v2</t>
  </si>
  <si>
    <t>AWS GovCloud (US) is an AWS Region designed to allow US government agencies and customers supporting the US government to move more sensitive workloads into the cloud. In addition to complying with FedRAMP requirements, the AWS GovCloud (US) framework adheres to U.S. International Traffic in Arms Regulations (ITAR) regulations. Additional information is available at [http://aws.amazon.com/govcloud-us/](http://aws.amazon.com/govcloud-us/).
The following AWS services are FedRAMP Authorized and approved by the JAB: S3, EC2, EBS, VPC, IAM, RDS(Oracle, MySQL, PostgreSQL), CloudWatch Logs, CloudTrail, Cloud Formation, Amazon Glacier, Amazon Web Services Key Management Service, Amazon Simple Workflow Service, Amazon Simple Queue Service, Amazon Simple Notification Service, Amazon DynamoDB, Amazon Elastice MapReduce, Amazon Redshift, Amazon Kinesis Streams, Database Migration Service (DMS), Elasticache.</t>
  </si>
  <si>
    <t>High Baseline P-ATO</t>
  </si>
  <si>
    <t>FY16-068</t>
  </si>
  <si>
    <t>https://community.max.gov/download/attachments/952697705/ATO.Letter_ProjectHosts_DOD_DISA_04.03.16.pdf?api=v2</t>
  </si>
  <si>
    <t>FY16-069</t>
  </si>
  <si>
    <t>Global Foundation Services for Government Offering (GSGO)</t>
  </si>
  <si>
    <t>F1603087868</t>
  </si>
  <si>
    <t>https://community.max.gov/download/attachments/1155204180/P-ATO_MSGFS_GSGO_06.21.16.pdf?api=v2</t>
  </si>
  <si>
    <t>GFS provides dedicated and isolated physical and logical infrastructure for Microsoft’s cloud and hosted applications through the GFS Services For Government Offering (GSGO) offering. The GSGO network is an environment built to provide and host cloud computing services to Microsoft online services supporting customers in the US Federal, State, and Local government (civilian and military) and select private entities which must meet higher accreditation and compliance requirements.</t>
  </si>
  <si>
    <t>FY16-070</t>
  </si>
  <si>
    <t>Azure Government</t>
  </si>
  <si>
    <t>F1603087869</t>
  </si>
  <si>
    <t>https://community.max.gov/download/attachments/1256458242/P-ATO_MSAzure_AG_06.21.16.pdf?api=v2</t>
  </si>
  <si>
    <t>FY16-071</t>
  </si>
  <si>
    <t>Collab9</t>
  </si>
  <si>
    <t>Secure UC</t>
  </si>
  <si>
    <t>F1404163859</t>
  </si>
  <si>
    <t>David Bray</t>
  </si>
  <si>
    <t>https://community.max.gov/x/_4DyMw</t>
  </si>
  <si>
    <t>https://community.max.gov/download/attachments/1141312492/ATO.Letter_Collab9_FCC_07.19.16.pdf?api=v2</t>
  </si>
  <si>
    <t>Mustafa Baig</t>
  </si>
  <si>
    <t>sales@collab9.com</t>
  </si>
  <si>
    <t>www.collab9.com</t>
  </si>
  <si>
    <t>Collab9 is a cloud service provider offering Best-of-Breed Secure Unified Communications. Collab9 Secure UC delivers a comprehensive suite of unified communications and collaboration services, including:
- Voice and Call Control including Avaya Aura Communication Manager and Cisco Unified Communications Manager
- Voicemail and Unified Messaging (voicemail delivery to the user’s email), including integration with multiple legacy VoIP and UC solutions including Avaya ESNA and Cisco Unity Connection
- Interactive Voice Response, Voicemail, Unified Messaging and simultaneous integration with multiple call control platforms including Microsoft Skype for Business, Microsoft Lync, as well as legacy Digital PBX, Centrex, VOIP and UC through Applied Voice and Speech Technologies (AVST)
- Integration with Microsoft Exchange, Office 365, and Gmail (for the Unified Messaging) 
- Presence and Instant Messaging including Avaya Equinox and Cisco Jabber 
- Mobility Services, or the ability to use multiple types of devices to access phone services; includes laptop soft clients (Equinox and Jabber), Apple iOS and Android native dialers, all through Avaya Extension to Cellular (EC 500) and Cisco Single Number Reach 
- Meet-Me and Ad Hoc Voice and Video Conferencing including Avaya Equinox 
- Contact Center (call queuing and distribution for customer support services) including Avaya Contact Center Elite and Cisco Unified Contact Center Express
- E911 call routing with device and phone tracking
In simple terms, Collab9 Secure UC replaces an organization's on-premises phone system (PBX) with a feature-rich collaboration system in the cloud, providing extended features and capabilities.
Collab9 Best-of-Breed Secure UC is a turnkey cloud solution delivering:
- A dedicated environment for each agency, built in the cloud using voice collaboration appliances and voice applications as required 
-  Voice applications designed, deployed and fully managed by Collab9, including all adds/moves/changes 
- Service customizations based on agency requirements and implemented by Collab9 
- Agency administration functionality for managing user adds/moves/changes (if desired) or 24x7 Collab9 Network Operations Center (NOC) support
- Fully Integrated Multi-Vendor deployments
Collab9 Best-of-Breed Secure UC addresses these key business needs: 
- Substantial cost savings over traditional build and operate solutions 
- Rapid deployment with continual upgrading of the solution and infrastructure 
- Reduced capital expenditures for critical phone infrastructure and its maintenance/upgrades 
- Migration away from obsolete or aging communications systems
- Delivery of feature-rich, cloud-based voice services managed outside the organization 
- Reduced staffing costs for specialized administrators to run on-premises systems 
- Reduced cost of compliance through FedRAMP mandated continuous monitoring
- Leverage investments in existing handsets (phones) gateways, video end points and software licensing
- Accelerates Migration to the cloud through the availability of Call Control Independent Unified Messaging and Conferencing
The Collab9 Best-of-Breed Secure UC service is offered by more than forty federal contractors, Value Added Resellers (VARs), and telecommunications service providers. The service is available through multiple local and national federal contract vehicles.
Please visit [https://www.collab9.com/partners/channel-partners](https://www.collab9.com/partners/channel-partners) for an up-to-date list of these partners.</t>
  </si>
  <si>
    <t>https://marketplace.fedramp.gov/img/logos/CSP_logos/Collab9%20Logo%202.jpg</t>
  </si>
  <si>
    <t>FY16-072</t>
  </si>
  <si>
    <t>Steven Fine</t>
  </si>
  <si>
    <t>https://community.max.gov/download/attachments/1155204218/ATO.Letter_MSAzure_EPA_04.11.16.pdf?api=v2</t>
  </si>
  <si>
    <t>FY16-073</t>
  </si>
  <si>
    <t>https://community.max.gov/download/attachments/1155203596/ATO.Letter_IBMMaaS360_DOC_NIST_12.23.15.pdf?api=v2</t>
  </si>
  <si>
    <t>FY16-074</t>
  </si>
  <si>
    <t>Howard Osborne</t>
  </si>
  <si>
    <t>https://community.max.gov/download/attachments/1155204218/ATO.Letter_MSAzure_EPA_12.22.15.pdf?api=v2</t>
  </si>
  <si>
    <t>FY16-075</t>
  </si>
  <si>
    <t>Peter Le</t>
  </si>
  <si>
    <t>https://community.max.gov/download/attachments/1115488742/ATO.Letter_AWSEW_DOL_07.21.16.pdf?api=v2</t>
  </si>
  <si>
    <t>FY16-076</t>
  </si>
  <si>
    <t>https://community.max.gov/download/attachments/1115488742/ATO.Letter_AWSEW_NSF_03.25.16.pdf?api=v2</t>
  </si>
  <si>
    <t>FY16-077</t>
  </si>
  <si>
    <t>Marion Royal</t>
  </si>
  <si>
    <t>https://community.max.gov/download/attachments/1155204167/ATO.Letter_Connect.gov_GSA_07.12.16.pdf?api=v2</t>
  </si>
  <si>
    <t>SecureKey’s briidge.net™ Exchange is a cloud-based, privacy-assured identity and authentication service that allows users to conveniently access online services (or Relying Parties – RPs) through a network of pre-approved Identity Providers (IDPs).  It provides a single connection point between RPs and IDPs, alleviating the need for RPs to connect to multiple IDPs, and vice versa, while at the same time, abstracting specific RP End User credentials being used for strong authentication.
Connect.Gov is a SaaS implementation of SecureKey’s briidge.net Exchange for the United States Postal Service that allows users to log into a wide range of US Federal Agency online services using existing credentials already established with an approved IDP for all NIST defined and Connect.Gov required Levels of Assurance (LOA).  It includes a Federal Public Key Infrastructure Certificate Validation Service (FPKI CVS) solution that allows FPKI credentials within the service.
Connect.Gov was established to support The National Strategy for Trusted Identities in Cyberspace (NSTIC), which seeks to help address the issues of enabling online accessibility of Federal applications while reducing a burden on an individual to manage multiple credentials.</t>
  </si>
  <si>
    <t>FY16-078</t>
  </si>
  <si>
    <t>Calvin Johnson</t>
  </si>
  <si>
    <t>https://community.max.gov/download/attachments/992346679/ATO.Letter_Esri_HUD_07.22.16.pdf?api=v2</t>
  </si>
  <si>
    <t>FY16-079</t>
  </si>
  <si>
    <t>https://community.max.gov/download/attachments/1531087271/ATO.Letter_Google_USAID_04.27.16.pdf?api=v2</t>
  </si>
  <si>
    <t>FY16-080</t>
  </si>
  <si>
    <t>https://community.max.gov/download/attachments/992346725/ATO.Letter_Salesforce_HHS_FDA_07.18.16.pdf?api=v2</t>
  </si>
  <si>
    <t>FY16-081</t>
  </si>
  <si>
    <t>Katherine Bissell</t>
  </si>
  <si>
    <t>https://community.max.gov/download/attachments/1130103141/ATO.Letter_Deloitte_DOL_12.16.15.pdf?api=v2</t>
  </si>
  <si>
    <t>andmartin@deloitte.com</t>
  </si>
  <si>
    <t>Internal ATO. Included in log under instruction by Ashley M. 
10/7/16: Changed path to Agency and made this record the sponsoring agency.
1/18/17: Made inactive. Replaced by FY17-030 letter</t>
  </si>
  <si>
    <t>FY16-082</t>
  </si>
  <si>
    <t>https://community.max.gov/download/attachments/992346725/ATO.Letter_Salesforce_USAID_02.17.16.pdf?api=v2</t>
  </si>
  <si>
    <t>FY16-083</t>
  </si>
  <si>
    <t>https://community.max.gov/download/attachments/1130635691/ATO.Letter_Salesforce_USAID_01.12.16.pdf?api=v2</t>
  </si>
  <si>
    <t>FY16-084</t>
  </si>
  <si>
    <t>https://community.max.gov/download/attachments/1113425425/ATO.Letter_AWSGC_DOC_ESA_04.27.16.pdf?api=v2</t>
  </si>
  <si>
    <t>FY16-085</t>
  </si>
  <si>
    <t>https://community.max.gov/x/vg_4Jg</t>
  </si>
  <si>
    <t>https://community.max.gov/download/attachments/1155204011/P-ATO_Softlayer_SFC_08.04.16.pdf?api=v2</t>
  </si>
  <si>
    <t>Valarie Stinson</t>
  </si>
  <si>
    <t>The SoftLayer Federal Cloud (SFC) is a high performance, high security, Infrastructure-as-a-Service Cloud provided by SoftLayer Technologies, Inc. SFC makes use of a unique managed and automated cloud service provider architecture layer (a multi-faceted Infrastructure-as-a-Service (IaaS) Cloud) that provides a variety of cloud-based services. Under SoftLayer’s unique managed/automated service provider architecture, its offerings include public, private, and hybrid cloud offerings. Services include orchestrated bare metal servers (dedicated and shared) and virtual servers (dedicated and shared) to support a variety of operational and security requirements of federal agencies.</t>
  </si>
  <si>
    <t>FY16-086</t>
  </si>
  <si>
    <t>https://community.max.gov/download/attachments/992346706/ATO.Letter_MSO365_CNCS_08.4.16.pdf?api=v2</t>
  </si>
  <si>
    <t>FY16-087</t>
  </si>
  <si>
    <t>https://community.max.gov/download/attachments/1256457901/ATO.Letter_Akamai_DoI_04.13.16.pdf?api=v2</t>
  </si>
  <si>
    <t>FY16-088</t>
  </si>
  <si>
    <t>https://community.max.gov/download/attachments/1115488742/ATO.Letter_AWSEW_DoI_04.13.16.pdf?api=v2</t>
  </si>
  <si>
    <t>FY16-089</t>
  </si>
  <si>
    <t>https://community.max.gov/download/attachments/1155203654/ATO.Letter_IBMSCG_DoI_05.20.16.pdf?api=v2</t>
  </si>
  <si>
    <t>FY16-090</t>
  </si>
  <si>
    <t>https://community.max.gov/download/attachments/1130635691/ATO.Letter_Salesforce_DoI_06.10.16.pdf?api=v2</t>
  </si>
  <si>
    <t>2/9/17: Made inactive from being expired.</t>
  </si>
  <si>
    <t>FY16-091</t>
  </si>
  <si>
    <t>https://community.max.gov/download/attachments/779322061/ATO.Letter_Accellion_DoI_07.15.16.pdf?api=v2</t>
  </si>
  <si>
    <t>FY16-092</t>
  </si>
  <si>
    <t>https://community.max.gov/download/attachments/1256458317/ATO.Letter_Softlayer_DoI_06.10.16.pdf?api=v2</t>
  </si>
  <si>
    <t>FY16-093</t>
  </si>
  <si>
    <t>Bureau of Safety and Enivronmental Enforcement</t>
  </si>
  <si>
    <t>Scott Mabry</t>
  </si>
  <si>
    <t>https://community.max.gov/download/attachments/1256458288/ATO.Letter_ServiceNow_DoI_BSEE_08.10.16.pdf?api=v2</t>
  </si>
  <si>
    <t>FY16-094</t>
  </si>
  <si>
    <t>https://community.max.gov/download/attachments/936118328/ATO.Letter_Acquia_SSA_08.11.16.pdf?api=v2</t>
  </si>
  <si>
    <t>FY16-095</t>
  </si>
  <si>
    <t>Keith Sinner</t>
  </si>
  <si>
    <t>https://community.max.gov/download/attachments/779322013/ATO%20from%20NTIS.pdf?api=v2</t>
  </si>
  <si>
    <t>Letter in MAX but not in Auth Log. Added to Auth Log 8/18/2016</t>
  </si>
  <si>
    <t>FY16-096</t>
  </si>
  <si>
    <t>Vincent Groh</t>
  </si>
  <si>
    <t>https://community.max.gov/download/attachments/1113425425/ATO.Letter_AWSGC_MCC_08.23.16.pdf?api=v2</t>
  </si>
  <si>
    <t>Replaces FY13-007 letter</t>
  </si>
  <si>
    <t>FY16-097</t>
  </si>
  <si>
    <t>https://community.max.gov/download/attachments/1155204218/ATO.Letter_MSAzure_DOD_DISA_06.22.16.pdf?api=v2</t>
  </si>
  <si>
    <t>FY16-098</t>
  </si>
  <si>
    <t>https://community.max.gov/download/attachments/1115488742/ATO.Letter_AWSEW_DOD_DISA_08.28.16.pdf?api=v2</t>
  </si>
  <si>
    <t>8/30/16 - New letter received from DISA, replaces FY14-030 &amp; FY15-017 (MB)</t>
  </si>
  <si>
    <t>FY16-099</t>
  </si>
  <si>
    <t>Steve Grewal</t>
  </si>
  <si>
    <t>https://community.max.gov/download/attachments/1097467326/ATO.Letter_AWSGC_GSA_08.30.16.pdf?api=v2</t>
  </si>
  <si>
    <t>FY16-100</t>
  </si>
  <si>
    <t>https://community.max.gov/download/attachments/1155203545/ATO.Letter_GovDelivery_GSA_08.30.16.pdf?api=v2</t>
  </si>
  <si>
    <t>FY16-101</t>
  </si>
  <si>
    <t>https://community.max.gov/download/attachments/1155203596/ATO.Letter_IBMMaaS360_GSA_08.30.16.pdf?api=v2</t>
  </si>
  <si>
    <t>FY16-102</t>
  </si>
  <si>
    <t>https://community.max.gov/download/attachments/992346701/ATO.Letter_MicroPact_GSA_08.30.16.pdf?api=v2</t>
  </si>
  <si>
    <t>FY16-103</t>
  </si>
  <si>
    <t>VASCO</t>
  </si>
  <si>
    <t>eSignLive, E-Signature and Digital Signature Service by Project Hosts</t>
  </si>
  <si>
    <t>FR1828848692</t>
  </si>
  <si>
    <t>https://community.max.gov/download/attachments/952697705/ATO.Letter_ProjectHosts_GSA_08.30.16.pdf?api=v2</t>
  </si>
  <si>
    <t>VASCO’s eSignLive has been helping government organizations move to paperless signing since 1997, making it the longest standing electronic signature solution in the U.S. Federal Government. As the first e-signature and digital transaction management solution granted ATO under FedRAMP, eSignLive helps digitize and automate manual, paper-based processes in support of the government’s digital transformation efforts.
eSignLive features include templates, workflow automation, mobile and offline signing, transaction management and comprehensive audit trails. eSignLive also meets the government’s stringent authentication requirements with out-of-the-box support for signing with government-issued Common Access Cards (CAC), PIV smart cards and derived credentials.
Our proven FedRAMP authorized solution in used by the U.S. Census Bureau, U.S. Small Business Administration (SBA), USDA Natural Resources Conservation Service (NRCS), GSA and many others. The FedRAMP Program Management Office (PMO) itself also uses our platform to sign off on internal authorizations.
eSignLive partners with Cloud Services Provider, Project Hosts, to deliver its e-signature solution in a FedRAMP compliant cloud hosted on Microsoft’s world-class Azure cloud infrastructure.
More information about eSignLive can be found here: [https://www.esignlive.com/fedramp/](https://www.esignlive.com/fedramp/)</t>
  </si>
  <si>
    <t>9/30/16: Made this the sponsoring letter for the dashboard info as FY16-018 expired but Project Hosts is continuing with other agencies</t>
  </si>
  <si>
    <t>https://marketplace.fedramp.gov/img/logos/CSP_logos/eSignLiveVasco%20Logo.jpg</t>
  </si>
  <si>
    <t>FY16-104</t>
  </si>
  <si>
    <t>https://community.max.gov/download/attachments/1155203837/ATO.Letter_ServiceNow_GSA_08.30.16.pdf?api=v2</t>
  </si>
  <si>
    <t>FY16-105</t>
  </si>
  <si>
    <t>Cloud Managed Services for Government - DoD</t>
  </si>
  <si>
    <t>F1206081363A</t>
  </si>
  <si>
    <t>https://community.max.gov/x/IQLQLQ</t>
  </si>
  <si>
    <t>https://community.max.gov/download/attachments/774439992/ATO.Letter_IBMCMSG_DOD_DISA_08.23.16.pdf?api=v2</t>
  </si>
  <si>
    <t>Beth Stefanchik</t>
  </si>
  <si>
    <t>dodcloud@us.ibm.com</t>
  </si>
  <si>
    <t>www.ibm.com</t>
  </si>
  <si>
    <t>**IBM Cloud Managed Services for Government can onlyhost Federal Government workloads that are acquired/sponosored by DoD agencies due to its IL5 DoD classification.**
The IBM Cloud Managed Services for Government is a Public Sector focused infrastructure as a service (IaaS) community cloud that is designed to meet the unique security and compliance needs of IBM Public Sector customers. The cloud provides server and storage infrastructure services in the form of fully managed and/or customer-managed Windows and Linux virtual machines, as well as managed magnetic disk and sequential media storage. The IBM Cloud Managed Services for Government is a multi-tenant environment that currently supports production and development workloads for US Public Sector customers.</t>
  </si>
  <si>
    <t>FY16-106</t>
  </si>
  <si>
    <t>https://community.max.gov/download/attachments/1155203837/ATO.Letter_ServiceNow_HHS_FDA_08.22.16.pdf?api=v2</t>
  </si>
  <si>
    <t>FY16-107</t>
  </si>
  <si>
    <t>Michael Williams</t>
  </si>
  <si>
    <t>https://community.max.gov/download/attachments/1116602747/ATO.Letter_CGI_DHS_08.30.16.pdf?api=v2</t>
  </si>
  <si>
    <t>FY16-108</t>
  </si>
  <si>
    <t>https://community.max.gov/download/attachments/1153174344/ATO.Letter_DGS_DOJ_OJP_09.01.16.pdf?api=v2</t>
  </si>
  <si>
    <t>FY16-109</t>
  </si>
  <si>
    <t>National Renewable Energy Laboratory</t>
  </si>
  <si>
    <t>https://community.max.gov/download/attachments/1155204092/ATO.Letter_ARCP_DOE_NREL_08.05.16.pdf?api=v2</t>
  </si>
  <si>
    <t>FY16-110</t>
  </si>
  <si>
    <t>https://community.max.gov/download/attachments/1113425425/ATO.Letter_AWSGC_DOE_NREL_08.05.16.pdf?api=v2</t>
  </si>
  <si>
    <t>FY16-111</t>
  </si>
  <si>
    <t>Karl Mathias</t>
  </si>
  <si>
    <t>https://community.max.gov/download/attachments/1130635691/ATO.Letter_Salesforce_DOJ_USMS_09.06.16.pdf?api=v2</t>
  </si>
  <si>
    <t>FY16-112</t>
  </si>
  <si>
    <t>https://community.max.gov/download/attachments/1155203796/ATO.Letter_OracleSC_NASA_09.09.16.pdf?api=v2</t>
  </si>
  <si>
    <t>FY16-113</t>
  </si>
  <si>
    <t>Zachary Goldstein</t>
  </si>
  <si>
    <t>https://community.max.gov/download/attachments/1113425425/ATO.Letter_AWSGC_DOC_NOAA_03.17.16.pdf?api=v2</t>
  </si>
  <si>
    <t>Password for ATO: ATOmemo4U&amp;&amp;</t>
  </si>
  <si>
    <t>FY16-114</t>
  </si>
  <si>
    <t>https://community.max.gov/download/attachments/1115488742/ATO.Letter_AWSEW_DOC_NOAA_03.17.16.pdf?api=v2</t>
  </si>
  <si>
    <t>FY16-115</t>
  </si>
  <si>
    <t>https://community.max.gov/download/attachments/1531087274/ATO.Letter_Google_DOC_NOAA_03.17.16.pdf?api=v2</t>
  </si>
  <si>
    <t>FY16-116</t>
  </si>
  <si>
    <t>https://community.max.gov/download/attachments/1256458199/ATO.Letter_IBMMaaS360_DOC_NOAA_03.17.16.pdf?api=v2</t>
  </si>
  <si>
    <t>FY16-117</t>
  </si>
  <si>
    <t>https://community.max.gov/download/attachments/1256458242/ATO.Letter_MSAzure_DOC_NOAA_03.17.16.pdf?api=v2</t>
  </si>
  <si>
    <t>FY16-118</t>
  </si>
  <si>
    <t>https://community.max.gov/download/attachments/1155203762/ATO.Letter_OracleFMCS_HHS_12.16.15.pdf?api=v2</t>
  </si>
  <si>
    <t>FY16-119</t>
  </si>
  <si>
    <t>https://community.max.gov/download/attachments/1113425425/ATO.Letter_AWSGC_DOE_NNSA_LLNL_09.16.16.PDF?api=v2</t>
  </si>
  <si>
    <t>FY16-120</t>
  </si>
  <si>
    <t>https://community.max.gov/download/attachments/1116602747/ATO.Letter_CGI_DHS_ICE_09.13.16.pdf?api=v2</t>
  </si>
  <si>
    <t>FY16-121</t>
  </si>
  <si>
    <t>https://community.max.gov/download/attachments/779322127/ATO.Letter_Box_DoT_09.27.16.pdf?api=v2</t>
  </si>
  <si>
    <t>FY16-122</t>
  </si>
  <si>
    <t>Daivd Shive, Kurt Garbars</t>
  </si>
  <si>
    <t>https://community.max.gov/download/attachments/1531087274/ATO.Letter_Google_GSA_09.26.16.pdf?api=v2</t>
  </si>
  <si>
    <t>9/29/16: Extension for original sponsoring letter. Replaces FY16-009.
10/31/16: Made inactive in FY17. Replaced by FY17-007</t>
  </si>
  <si>
    <t>FY16-123</t>
  </si>
  <si>
    <t>William Morgan</t>
  </si>
  <si>
    <t>https://community.max.gov/download/attachments/1115488742/ATO.Letter_AWSEW_USAID_07.14.16.pdf?api=v2</t>
  </si>
  <si>
    <t>FY16-124</t>
  </si>
  <si>
    <t>Federal Energy Regulatory Commission</t>
  </si>
  <si>
    <t>Christina Handley</t>
  </si>
  <si>
    <t>https://community.max.gov/download/attachments/1155203837/ATO.Letter_ServiceNow_DOE_FERC_09.26.16.pdf?api=v2</t>
  </si>
  <si>
    <t>FY16-125</t>
  </si>
  <si>
    <t>https://community.max.gov/download/attachments/1115488742/ATO.Letter_AWSEW_DOE_FERC_09.26.16.pdf?api=v2</t>
  </si>
  <si>
    <t>FY16-126</t>
  </si>
  <si>
    <t>https://community.max.gov/download/attachments/992346706/ATO.Letter_MSO365_DOE_FERC_09.26.16.pdf?api=v2</t>
  </si>
  <si>
    <t>FY16-127</t>
  </si>
  <si>
    <t>PRISM SaaS</t>
  </si>
  <si>
    <t>F1506046707</t>
  </si>
  <si>
    <t>Alastair Thomson</t>
  </si>
  <si>
    <t>https://community.max.gov/x/8QHENw</t>
  </si>
  <si>
    <t>https://community.max.gov/download/attachments/935592437/CAMS_ATO_02242016_Signed.pdf?api=v2</t>
  </si>
  <si>
    <t xml:space="preserve">PRISM SaaS is Compusearch's flagship government acquisition COTS product, PRISM, now offered as a fully hosted Software as a Service (SaaS) solution within the Amazon Web Services (AWS) East/West Infrastructure.  PRISM provides federal and defense acquisition communities with the tools needed to effectively support the complete acquisition management lifecycle, from initial planning and requisitioning through source selection, award, post award management, and closeout. PRISM brings together key stakeholders – the program office staff, contracting professionals, and financial managers – and links them as a community for greater efficiency, productivity, and operational transparency.  Because PRISM was designed from the ground up to serve the Federal acquisition community, it comes with all necessary interfaces to the rest of the Federal integrated acquisition environment, maintains FARS and DFARS clauses, and incorporates Federal regulatory changes into general maintenance. 
PRISM directly supports collaboration by providing the ability to set up collaborative team spaces where you can define the people who participate on the acquisition team and the roles that they will play. Collaborative team spaces help increase communication between the program office and the contracting teams to improve process efficiency and eliminate the delays often associated with incomplete or inaccurate packages, duplicate data entry, and lack of visibility throughout the process. 
PRISM’s web interface streamlines processes and organizes content and functions so that they are logical and intuitive. PRISM’s user-centric approach increases productivity and efficiency and reduces user adoption time. Integrated guidance and field level help can be configured by your organization to support a wide range of users with varying levels of capabilities.  </t>
  </si>
  <si>
    <t>FY16-128</t>
  </si>
  <si>
    <t>https://community.max.gov/download/attachments/992346648/ATO.Letter_Avue_HHS_FDA_07.05.16.pdf?api=v2</t>
  </si>
  <si>
    <t>FY16-129</t>
  </si>
  <si>
    <t>Economic Systems</t>
  </si>
  <si>
    <t>David Hill</t>
  </si>
  <si>
    <t>https://community.max.gov/download/attachments/1155203360/ATO.Letter_EconSys_DHS_9.16.16.pdf?api=v2</t>
  </si>
  <si>
    <t>FY16-130</t>
  </si>
  <si>
    <t>George Hoffman</t>
  </si>
  <si>
    <t>https://community.max.gov/download/attachments/1155204092/ATO.Letter_ARC-P_HHS_CMS_9.26.16.pdf?api=v2</t>
  </si>
  <si>
    <t>FY16-131</t>
  </si>
  <si>
    <t>Kevin Winkler</t>
  </si>
  <si>
    <t>https://community.max.gov/download/attachments/1155203762/ATO.Letter_OracleFMCS_FHFA_9.27.16.pdf?api=v2</t>
  </si>
  <si>
    <t>https://marketplace.fedramp.gov/img/logos/Agency_logos/FHFA%20Logo.jpg</t>
  </si>
  <si>
    <t>FY16-132</t>
  </si>
  <si>
    <t>FHFA Office of the Inspector General</t>
  </si>
  <si>
    <t>Deborah Mason</t>
  </si>
  <si>
    <t>https://community.max.gov/download/attachments/1155203762/ATO.Letter_OracleFMCS_FHFA_OIG_5.31.16.pdf?api=v2</t>
  </si>
  <si>
    <t>FY16-133</t>
  </si>
  <si>
    <t>https://community.max.gov/download/attachments/1155203837/ATO.Letter_ServiceNow_DOC_NIST_9.23.16.pdf?api=v2</t>
  </si>
  <si>
    <t>FY16-134</t>
  </si>
  <si>
    <t>Harinder Singh</t>
  </si>
  <si>
    <t>https://community.max.gov/download/attachments/1155203762/ATO.Letter_OracleFMCS_DoT_BEP_12.14.15.pdf?api=v2</t>
  </si>
  <si>
    <t>FY16-135</t>
  </si>
  <si>
    <t>https://community.max.gov/download/attachments/1155203762/ATO.Letter_OracleFMCS_DoT_BEP_10.30.15.pdf?api=v2</t>
  </si>
  <si>
    <t>FY16-136</t>
  </si>
  <si>
    <t>Stephen Manning</t>
  </si>
  <si>
    <t>https://community.max.gov/download/attachments/1155203762/ATO.Letter_OracleFMCS_DoT_BFS_05.05.16.pdf?api=v2</t>
  </si>
  <si>
    <t>FY16-137</t>
  </si>
  <si>
    <t>State Office of the Inspector General</t>
  </si>
  <si>
    <t>Greg Cottone</t>
  </si>
  <si>
    <t>https://community.max.gov/download/attachments/1116602815/ATO.Letter_Akamai_DoS_OIG_07.26.16.pdf?api=v2</t>
  </si>
  <si>
    <t>https://marketplace.fedramp.gov/img/logos/Agency_logos/DoS%20Logo.png</t>
  </si>
  <si>
    <t>FY16-138</t>
  </si>
  <si>
    <t>https://community.max.gov/download/attachments/1155204218/ATO.Letter_MSAzure_DoS_OIG_07.26.16.pdf?api=v2</t>
  </si>
  <si>
    <t>FY16-139</t>
  </si>
  <si>
    <t>https://community.max.gov/download/attachments/992346706/ATO.Letter_MSO365_DoS_OIG_07.26.16.pdf?api=v2</t>
  </si>
  <si>
    <t>FY16-140</t>
  </si>
  <si>
    <t>Daniel Drew Jr.</t>
  </si>
  <si>
    <t>https://community.max.gov/download/attachments/780173411/ATO.Letter_MSO365_DOC_NTIA_08.30.16.pdf?api=v2</t>
  </si>
  <si>
    <t>FY16-141</t>
  </si>
  <si>
    <t>https://community.max.gov/download/attachments/1256458199/ATO.Letter_MaaS360_DOC_NTIA_08.30.16.pdf?api=v2</t>
  </si>
  <si>
    <t>FY16-142</t>
  </si>
  <si>
    <t>AirWatch</t>
  </si>
  <si>
    <t>Airwatch by VMware Government Services (AGS)</t>
  </si>
  <si>
    <t>F1408135194</t>
  </si>
  <si>
    <t>Allen Hill</t>
  </si>
  <si>
    <t>https://community.max.gov/x/bwBCMg</t>
  </si>
  <si>
    <t>https://community.max.gov/download/attachments/976290520/ATO.Letter_Airwatch_DoE_07.13.16.pdf?api=v2</t>
  </si>
  <si>
    <t>Anthony Campbell</t>
  </si>
  <si>
    <t>infosec2@vmware.com</t>
  </si>
  <si>
    <t>www.air-watch.com</t>
  </si>
  <si>
    <t>https://marketplace.fedramp.gov/img/logos/CSP_logos/Airwatch%20Logo.jpg</t>
  </si>
  <si>
    <t>FY16-143</t>
  </si>
  <si>
    <t>Lisa Ramirez</t>
  </si>
  <si>
    <t>https://community.max.gov/download/attachments/1113425425/ATO.Letter_AWSGC_DoE_03.30.16.pdf?api=v2</t>
  </si>
  <si>
    <t>FY16-144</t>
  </si>
  <si>
    <t>John Haigh</t>
  </si>
  <si>
    <t>https://community.max.gov/download/attachments/1113425425/ATO.Letter_AWSGC_DoE_08.10.16.pdf?api=v2</t>
  </si>
  <si>
    <t>FY16-145</t>
  </si>
  <si>
    <t>Tina Hunter</t>
  </si>
  <si>
    <t>https://community.max.gov/download/attachments/1116602747/ATO.Letter_CGI_DoE_06.08.16.pdf?api=v2</t>
  </si>
  <si>
    <t>FY16-146</t>
  </si>
  <si>
    <t>https://community.max.gov/download/attachments/1155203438/ATO.Letter_GDIT_DoE_FSA_04.06.16.pdf?api=v2</t>
  </si>
  <si>
    <t>FY16-147</t>
  </si>
  <si>
    <t>https://community.max.gov/download/attachments/1179582858/ATO.Letter_MSCRMOL_DoE_FSA_04.06.16.pdf?api=v2</t>
  </si>
  <si>
    <t>FY16-148</t>
  </si>
  <si>
    <t>https://community.max.gov/download/attachments/992346706/ATO.Letter_MSO365_DoE_07.13.16.pdf?api=v2</t>
  </si>
  <si>
    <t>FY16-149</t>
  </si>
  <si>
    <t>https://community.max.gov/download/attachments/1129612893/ATO.Letter_Accellion_DoE_06.14.16.pdf?api=v2</t>
  </si>
  <si>
    <t>FY16-150</t>
  </si>
  <si>
    <t>John Owens II</t>
  </si>
  <si>
    <t>https://community.max.gov/download/attachments/1257046585/ATO.Letter_GovDelivery_DoC_USPTO_05.02.16.pdf?api=v2</t>
  </si>
  <si>
    <t>FY16-151</t>
  </si>
  <si>
    <t>Arrie Etheridge</t>
  </si>
  <si>
    <t>https://community.max.gov/download/attachments/1256458014/ATO.Letter_EconSys_PBGC_03.29.16.pdf?api=v2</t>
  </si>
  <si>
    <t>Replaced by FY17-031</t>
  </si>
  <si>
    <t>FY16-152</t>
  </si>
  <si>
    <t>https://community.max.gov/download/attachments/779322013/ATO.Letter_Cornerstone_DoC_NTIS_05.12.16.pdf?api=v2</t>
  </si>
  <si>
    <t>Replaces FY16-095 letter</t>
  </si>
  <si>
    <t>FY16-153</t>
  </si>
  <si>
    <t>Kenneth Venuto</t>
  </si>
  <si>
    <t>https://community.max.gov/download/attachments/1155203360/ATO.Letter_EconSys_DoE_06.03.16.pdf?api=v2</t>
  </si>
  <si>
    <t>FY16-154</t>
  </si>
  <si>
    <t>Lawrence Gross</t>
  </si>
  <si>
    <t>https://community.max.gov/download/attachments/1155203596/ATO.Letter_IBMMaaS360_FDIC_08.25.16.pdf?api=v2</t>
  </si>
  <si>
    <t>https://marketplace.fedramp.gov/img/logos/Agency_logos/FDIC%20Logo.jpg</t>
  </si>
  <si>
    <t>FY16-155</t>
  </si>
  <si>
    <t>Jack Albright</t>
  </si>
  <si>
    <t>https://community.max.gov/download/attachments/992346706/ATO.Letter_MSO365_DoT_06.29.16.pdf?api=v2</t>
  </si>
  <si>
    <t>FY16-156</t>
  </si>
  <si>
    <t>Jon Grant</t>
  </si>
  <si>
    <t>https://community.max.gov/download/attachments/992346725/ATO.Letter_Salesforce_HUD_02.15.16.pdf?api=v2</t>
  </si>
  <si>
    <t>FY16-157</t>
  </si>
  <si>
    <t>https://community.max.gov/download/attachments/1116602815/ATO.Letter_Akamai_HUD_02.15.16.pdf?api=v2</t>
  </si>
  <si>
    <t>FY16-158</t>
  </si>
  <si>
    <t>Defense Healthcare Management Systems</t>
  </si>
  <si>
    <t>Thom Flanders</t>
  </si>
  <si>
    <t>https://community.max.gov/download/attachments/1256458204/ATO.Letter_DoD_DHMS_07.09.16.pdf?api=v2</t>
  </si>
  <si>
    <t>FY16-159</t>
  </si>
  <si>
    <t>https://community.max.gov/download/attachments/1155203796/ATO.Letter_OracleSC_DHS_CBP_09.21.16.pdf?api=v2</t>
  </si>
  <si>
    <t>FY16-160</t>
  </si>
  <si>
    <t>Socrata</t>
  </si>
  <si>
    <t>Socrata Data Platform</t>
  </si>
  <si>
    <t>SOCRATA</t>
  </si>
  <si>
    <t>https://community.max.gov/x/XQUyQ</t>
  </si>
  <si>
    <t>https://community.max.gov/download/attachments/1077020007/ATO.Letter_Socrata_DoT_09.14.16.pdf?api=v2</t>
  </si>
  <si>
    <t>Jeffrey Newball</t>
  </si>
  <si>
    <t>fedramp-l@socrata.com</t>
  </si>
  <si>
    <t>www.socrata.com</t>
  </si>
  <si>
    <t>https://marketplace.fedramp.gov/img/logos/CSP_logos/Socrata%20Logo%201.jpg</t>
  </si>
  <si>
    <t>FY16-161</t>
  </si>
  <si>
    <t>https://community.max.gov/download/attachments/992346725/ATO.Letter_Salesforce_SEC_09.23.16.pdf?api=v2</t>
  </si>
  <si>
    <t>FY16-162</t>
  </si>
  <si>
    <t>United States Forest Service</t>
  </si>
  <si>
    <t>Lenise Lago</t>
  </si>
  <si>
    <t>https://community.max.gov/download/attachments/939819831/ATO.Letter_BMCFed-SaaS_DoA_FS_10.14.15.pdf?api=v2</t>
  </si>
  <si>
    <t>FY16-163</t>
  </si>
  <si>
    <t>https://community.max.gov/download/attachments/1155203715/ATO%20Letter_IT-CNP_HHS_CMS_01.29.16.pdf?api=v2</t>
  </si>
  <si>
    <t>FY16-164</t>
  </si>
  <si>
    <t>https://community.max.gov/download/attachments/992346725/ATO.Letter_Salesforce_CNCS_10.13.15.pdf?api=v2</t>
  </si>
  <si>
    <t>FY16-165</t>
  </si>
  <si>
    <t>https://community.max.gov/download/attachments/1116602815/ATO.Letter_Akamai_DoED_07.13.16.pdf?api=v2</t>
  </si>
  <si>
    <t>FY16-166</t>
  </si>
  <si>
    <t>AWS US East/West</t>
  </si>
  <si>
    <t>Peggy Carr</t>
  </si>
  <si>
    <t>https://community.max.gov/download/attachments/1115488742/ATO.Letter_AWSEW_DoED_07.26.16.pdf?api=v2</t>
  </si>
  <si>
    <t>FY16-167</t>
  </si>
  <si>
    <t>Sylvia Lyles</t>
  </si>
  <si>
    <t>https://community.max.gov/download/attachments/1113425425/ATO.Letter_AWSGC_DoED_06.09.16.pdf?api=v2</t>
  </si>
  <si>
    <t>FY16-168</t>
  </si>
  <si>
    <t>https://community.max.gov/download/attachments/1155204218/ATO.Letter_MSAzure_DoED_07.13.16.pdf?api=v2</t>
  </si>
  <si>
    <t>FY16-169</t>
  </si>
  <si>
    <t>https://community.max.gov/download/attachments/1155203438/ATO.Letter_GDIT_DoED_FSA_06.23.16.pdf?api=v2</t>
  </si>
  <si>
    <t>FY16-170</t>
  </si>
  <si>
    <t>https://community.max.gov/download/attachments/1162775171/ATO.Letter_Qualys_DoED_FSA_04.06.16.pdf?api=v2</t>
  </si>
  <si>
    <t>FY16-171</t>
  </si>
  <si>
    <t>https://community.max.gov/download/attachments/1155204011/ATO.Letter_Softlayer_DoED_08.10.16.pdf?api=v2</t>
  </si>
  <si>
    <t>FY16-172</t>
  </si>
  <si>
    <t>Joe Paiva</t>
  </si>
  <si>
    <t>https://community.max.gov/download/attachments/992346725/ATO.Letter_Salesforce_DoC_ITA_6.28.16.pdf?api=v2</t>
  </si>
  <si>
    <t>FY16-173</t>
  </si>
  <si>
    <t>Nancy Reeves-Flores</t>
  </si>
  <si>
    <t>https://community.max.gov/download/attachments/1115488742/ATO.Letter_AWSEW_USDA_12.31.15.pdf?api=v2</t>
  </si>
  <si>
    <t>FY16-174</t>
  </si>
  <si>
    <t>https://community.max.gov/download/attachments/992346706/ATO.Letter_MSO365_DoE_9.29.16.pdf?api=v2</t>
  </si>
  <si>
    <t>FY16-175</t>
  </si>
  <si>
    <t>https://community.max.gov/download/attachments/1155203438/ATO.Letter_GDIT_HHS_CMS_1.28.16.pdf?api=v2</t>
  </si>
  <si>
    <t>FY17-001</t>
  </si>
  <si>
    <t>https://community.max.gov/download/attachments/976290520/ATO.Letter_Airwatch_DOC_Census_10.11.16.pdf?api=v2</t>
  </si>
  <si>
    <t>AirWatch simplifies mobility for organizations, while empowering end users. With AirWatch, organizations can easily deploy, configure, secure, manage and support smartphones, tablets, laptops and other devices across multiple mobile applications and operating systems. AirWatch includes industry-leading mobile device, email, application, content and browser management solutions. Whether enabling a Bring Your Own Device (BYOD) program or corporate-owned and line-of-business devices, organizations can implement these solutions standalone, in a dual persona containerized solution or as a comprehensive solution based on device type, use case and user role in the organization. This integrated solution helps companies reduce costs and increase efficiency, while mitigating security risks and preventing data loss.</t>
  </si>
  <si>
    <t>FY17-002</t>
  </si>
  <si>
    <t>https://community.max.gov/download/attachments/1116602815/ATO.Letter_Akamai_DOD_DISA_10.02.16.pdf?api=v2</t>
  </si>
  <si>
    <t>FY17-003</t>
  </si>
  <si>
    <t>https://community.max.gov/download/attachments/1116602812/ATO.Letter_ATTSTaaS_DOD_DISA_10.02.16.pdf?api=v2</t>
  </si>
  <si>
    <t>FY17-004</t>
  </si>
  <si>
    <t>https://community.max.gov/download/attachments/1155203731/ATO.Letter_Leidos_DOD_DISA_10.07.16.pdf?api=v2</t>
  </si>
  <si>
    <t>FY17-005</t>
  </si>
  <si>
    <t>https://community.max.gov/download/attachments/992346739/ATO.Letter_USDANITC_DOD_DISA_10.01.16.pdf?api=v2</t>
  </si>
  <si>
    <t>FY17-006</t>
  </si>
  <si>
    <t>https://community.max.gov/download/attachments/1155204218/ATO.Letter_MSAzure_DOE_FERC_10.25.16.pdf?api=v2</t>
  </si>
  <si>
    <t>FY17-007</t>
  </si>
  <si>
    <t>https://community.max.gov/download/attachments/1531087274/ATO.Letter_Google_GSA_10.26.16.pdf?api=v2</t>
  </si>
  <si>
    <t xml:space="preserve">10/31/16: Replaces FY16-122 &amp; FY16-009 as new sponsoring letter. 
11/16/16: Annoucement date changed to 1/22/2016 to reflect original sponsor letter. </t>
  </si>
  <si>
    <t>FY17-008</t>
  </si>
  <si>
    <t>Office of the Comptroller of the Currency</t>
  </si>
  <si>
    <t>Stephen Warren</t>
  </si>
  <si>
    <t>https://community.max.gov/download/attachments/1256458288/ATO.Letter_ServiceNow_DoT_OCC_10.21.16.pdf?api=v2</t>
  </si>
  <si>
    <t>FY17-009</t>
  </si>
  <si>
    <t>https://community.max.gov/download/attachments/992346739/ATO.Letter_USDANITC_HHS_FDA_10.28.16.pdf?api=v2</t>
  </si>
  <si>
    <t>FY17-010</t>
  </si>
  <si>
    <t>Leo Scanlon</t>
  </si>
  <si>
    <t>https://community.max.gov/download/attachments/1162775171/ATO.Letter_Qualys_HHS_11.01.16.pdf?api=v2</t>
  </si>
  <si>
    <t xml:space="preserve">The Qualys Cloud Platform (QCP) is a multi-tenant shared cloud service environment. Its unique computing power is capable of continuously analyzing and correlating information, to assist IT management with identifying and homing-in on threats and eliminating vulnerabilities.
With its Qualys sensors, a core service of the Qualys Cloud Platform, make it easy to extend your security throughout your global enterprise. These sensors, which can be in the form of appliances or lightweight agents, are remotely deployable, centrally managed and self-updating. They collect data automatically and seamlessly sending it to the Qualys Cloud Platform.
Subscribers simply use the Qualys software without the burden of licensing, maintenance and costs for owning the software itself.   </t>
  </si>
  <si>
    <t>FY17-011</t>
  </si>
  <si>
    <t>https://community.max.gov/download/attachments/1115488742/ATO.Letter_AWSEW_HHS_FDA_10.31.16.pdf?api=v2</t>
  </si>
  <si>
    <t>FY17-012</t>
  </si>
  <si>
    <t>https://community.max.gov/download/attachments/1155203360/ATO.Letter_EconSys_DHS_10.12.16.pdf?api=v2</t>
  </si>
  <si>
    <t>FY17-013</t>
  </si>
  <si>
    <t>Mark Jones</t>
  </si>
  <si>
    <t>https://community.max.gov/download/attachments/992346706/ATO.Letter_MSO365_CIGIE_11.22.16.pdf?api=v2</t>
  </si>
  <si>
    <t>11/22/2016: Need to enter CIGIE logo when able</t>
  </si>
  <si>
    <t>https://marketplace.fedramp.gov/img/logos/Agency_logos/CIGIE%20Logo.jpg</t>
  </si>
  <si>
    <t>FY17-014</t>
  </si>
  <si>
    <t>https://community.max.gov/download/attachments/1155203545/ATO.Letter_GovDelivery_DOD_DISA_10.02.16.pdf?api=v2</t>
  </si>
  <si>
    <t>FY17-015</t>
  </si>
  <si>
    <t>United States Government Publishing Office</t>
  </si>
  <si>
    <t>John Hannan</t>
  </si>
  <si>
    <t>https://community.max.gov/download/attachments/1155203762/ATO.Letter_OracleFMCS_GPO_10.28.16.pdf?api=v2</t>
  </si>
  <si>
    <t>https://marketplace.fedramp.gov/img/logos/Agency_logos/USGPO%20Logo.jpg</t>
  </si>
  <si>
    <t>FY17-016</t>
  </si>
  <si>
    <t>https://community.max.gov/download/attachments/1155204011/ATO.Letter_Softlayer_DHS_USCIS_10.21.16.pdf?api=v2</t>
  </si>
  <si>
    <t>FY17-017</t>
  </si>
  <si>
    <t>https://community.max.gov/download/attachments/1442481347/P-ATO_MSCRMOL_10.04.16.pdf?api=v2</t>
  </si>
  <si>
    <t>FY17-018</t>
  </si>
  <si>
    <t>Jeffrey Toven</t>
  </si>
  <si>
    <t>https://community.max.gov/download/attachments/1155203545/ATO.Letter_GovDelivery_HHS_AHRQ_10.04.16.pdf?api=v2</t>
  </si>
  <si>
    <t>FY17-019</t>
  </si>
  <si>
    <t>MobileIron</t>
  </si>
  <si>
    <t>MobileIron Government Cloud</t>
  </si>
  <si>
    <t>F1507226930</t>
  </si>
  <si>
    <t>Gregory Crabb</t>
  </si>
  <si>
    <t>https://community.max.gov/x/mIIEO</t>
  </si>
  <si>
    <t>https://community.max.gov/download/attachments/939819844/USPS%20MobileIron%20FedRamp%20ATO.pdf?api=v2</t>
  </si>
  <si>
    <t>Anthony Ungerman</t>
  </si>
  <si>
    <t>fedramp@mobileiron.com</t>
  </si>
  <si>
    <t>www.mobileiron.com</t>
  </si>
  <si>
    <t>MobileIron Government Cloud provides Government agencies with a secure foundation to transform their mission-critical operations into Mobile First organizations. With MobileIron, Government agencies can secure and manage data on any device across multiple operating systems such as iOS, Android and Windows.
MobileIron technology automatically provisions enterprise settings such as Wi-Fi and VPN, secures corporate email and email attachments, applications and content delivery for both GSE and BYOD programs. With MobileIron, IT departments can deliver the right resources to authorized personnel while protecting sensitive government data, preserving the privacy of end-user data, and maintaining the native device experience.
MobileIron Government Cloud has been purpose built to provide a cloud-based, scalable architecture that enables rapid deployment and scales up to millions of users. The MobileIron Enterprise Mobility Management (EMM) platform incorporates identity, context, and privacy enforcement to set the appropriate level of access to data and services while allowing IT departments to securely manage their global mobile workforce from a single pane of glass.</t>
  </si>
  <si>
    <t>https://marketplace.fedramp.gov/img/logos/CSP_logos/Mobile%20Iron%20Logo.jpg</t>
  </si>
  <si>
    <t>FY17-020</t>
  </si>
  <si>
    <t>Amy Rogers</t>
  </si>
  <si>
    <t>https://community.max.gov/download/attachments/1155203545/ATO.Letter_GovDelivery_DoT_11.18.16.pdf?api=v2</t>
  </si>
  <si>
    <t>FY17-021</t>
  </si>
  <si>
    <t>Susan McHugh-Polley</t>
  </si>
  <si>
    <t>https://community.max.gov/download/attachments/992346725/ATO.Letter_Salesforce_DVA_10.07.16.pdf?api=v2</t>
  </si>
  <si>
    <t>FY17-022</t>
  </si>
  <si>
    <t>https://community.max.gov/download/attachments/992346706/ATO.Letter_MSO365_DoE_NNSA_LLNL_12.21.16.PDF?api=v2</t>
  </si>
  <si>
    <t>FY17-023</t>
  </si>
  <si>
    <t>Cord Chase</t>
  </si>
  <si>
    <t>https://community.max.gov/download/attachments/1155203438/ATO.Letter_GDIT_OPM_10.12.16.pdf?api=v2</t>
  </si>
  <si>
    <t>FY17-024</t>
  </si>
  <si>
    <t>Frontis Wiggins</t>
  </si>
  <si>
    <t>https://community.max.gov/download/attachments/1155203837/ATO.Letter_ServiceNow_DoS_01.03.17.PDF?api=v2</t>
  </si>
  <si>
    <t>FY17-025</t>
  </si>
  <si>
    <t>https://community.max.gov/download/attachments/1155203654/ATO.Letter_IBMSCG_DoD_DISA_10.07.16.pdf?api=v2</t>
  </si>
  <si>
    <t>FY17-026</t>
  </si>
  <si>
    <t>Preston Gilmore</t>
  </si>
  <si>
    <t>https://community.max.gov/download/attachments/1155203545/ATO.Letter_GovDelivery_DoA_NIFA_01.10.17.pdf?api=v2</t>
  </si>
  <si>
    <t>FY17-027</t>
  </si>
  <si>
    <t>Doug Foster</t>
  </si>
  <si>
    <t>https://community.max.gov/download/attachments/1153174344/ATO.Letter_Datapipe_DoE_FERC_01.12.17.pdf?api=v2</t>
  </si>
  <si>
    <t>FY17-028</t>
  </si>
  <si>
    <t>https://community.max.gov/download/attachments/992346672/ATO.Letter_EdgeHosting_DoE_FERC_01.12.17.pdf?api=v2</t>
  </si>
  <si>
    <t>FY17-029</t>
  </si>
  <si>
    <t>https://community.max.gov/download/attachments/1115488830/ATO.Letter_Accenture_DoE_FERC_01.12.17.pdf?api=v2</t>
  </si>
  <si>
    <t>FY17-030</t>
  </si>
  <si>
    <t>https://community.max.gov/download/attachments/981566003/ATO.Letter_Deloitte_DoL_12.14.16.pdf?api=v2</t>
  </si>
  <si>
    <t>1/18/17:Replaces FY16-081 Letter. Changed date to match old letter for the Marketplace. 12/14/16 is the correct date for this letter.</t>
  </si>
  <si>
    <t>FY17-031</t>
  </si>
  <si>
    <t>https://community.max.gov/download/attachments/1256458014/ATO.Letter_EconSys_PBGC_12.01.16.pdf?api=v2</t>
  </si>
  <si>
    <t>Replaces FY16-151 letter</t>
  </si>
  <si>
    <t>FY17-032</t>
  </si>
  <si>
    <t>18F</t>
  </si>
  <si>
    <t>18F Cloud.gov</t>
  </si>
  <si>
    <t>F1607067912</t>
  </si>
  <si>
    <t>https://community.max.gov/x/GwCsPQ</t>
  </si>
  <si>
    <t>https://community.max.gov/download/attachments/1197709114/P-ATO_18F.Cloud.gov_01.18.17.pdf?api=v2</t>
  </si>
  <si>
    <t>cloud-gov-inquiries@gsa.gov</t>
  </si>
  <si>
    <t>www.cloud.gov</t>
  </si>
  <si>
    <t>[Cloud.gov](http://cloud.gov/) is designed and operated by US government workers, for US government work. [Cloud.gov](http://cloud.gov/) reduces the barriers to rapid, incremental, compliant, secure, and scalable delivery of government services by all government agencies, leveraging best-of-breed modern practices. [Cloud.gov](http://cloud.gov/) provides a Platform-as-a-Service (PaaS) based on Cloud Foundry, enabling instant provisioning of services and environments, easy deployment of applications, and rapid scaling to match demand. cloud.gov includes tools to quickly incorporate 800-53 NIST control documentation into easily-prepared and comprehensive System Security Plans (SSPs) for evaluation by local agency information security organizations or FedRAMP, reducing the time it takes for teams to gain Authority To Operate (ATO).</t>
  </si>
  <si>
    <t>https://marketplace.fedramp.gov/img/logos/CSP_logos/Cloud.gov%20Logo.jpg</t>
  </si>
  <si>
    <t>FY17-033</t>
  </si>
  <si>
    <t>Noah Kunin</t>
  </si>
  <si>
    <t>https://community.max.gov/download/attachments/1197709114/ATO.Letter_Cloud.gov_GSA_01.23.17.pdf?api=v2</t>
  </si>
  <si>
    <t>FY17-034</t>
  </si>
  <si>
    <t xml:space="preserve">Oracle </t>
  </si>
  <si>
    <t>2/3/17: New P-ATO for Oracle SC. Made inactive so that the old dates still appear on the Marketplace.</t>
  </si>
  <si>
    <t>FY17-035</t>
  </si>
  <si>
    <t>https://community.max.gov/download/attachments/1155203837/ATO.Letter_ServiceNow_NASA_10.28.16.pdf?api=v2</t>
  </si>
  <si>
    <t>FY17-036</t>
  </si>
  <si>
    <t>Frederick Lindstrom</t>
  </si>
  <si>
    <t>https://community.max.gov/download/attachments/1116602747/ATO.Letter_CGI_CFA_02.06.17.pdf?api=v2</t>
  </si>
  <si>
    <t>FY17-037</t>
  </si>
  <si>
    <t>Linda Gilpin</t>
  </si>
  <si>
    <t>https://community.max.gov/download/attachments/1115488742/ATO.Letter_AWSEW_DoT_IRS_02.06.17.pdf?api=v2</t>
  </si>
  <si>
    <t>FY17-038</t>
  </si>
  <si>
    <t>Jerald Golley</t>
  </si>
  <si>
    <t>https://community.max.gov/download/attachments/1155203545/ATO.Letter_GovDelivery_FCA_02.09.17.pdf?api=v2</t>
  </si>
  <si>
    <t>https://marketplace.fedramp.gov/img/logos/Agency_logos/FCA%20Logo.jpg</t>
  </si>
  <si>
    <t>FY17-039</t>
  </si>
  <si>
    <t>https://community.max.gov/download/attachments/1155203545/ATO.Letter_GovDelivery_FHFA_02.13.17.pdf?api=v2</t>
  </si>
  <si>
    <t>FY17-040</t>
  </si>
  <si>
    <t>https://community.max.gov/download/attachments/1115488812/ATO.Letter_Appian_HHS_FDA_02.09.17.pdf?api=v2</t>
  </si>
  <si>
    <t>FY17-041</t>
  </si>
  <si>
    <t>https://community.max.gov/download/attachments/882934025/Sites.USA.gov%20Limited%20Authority%20to%20Operate%20%28LATO%29%20Memo%2020170214.pdf?api=v2</t>
  </si>
  <si>
    <t>FY17-042</t>
  </si>
  <si>
    <t>Cisco Hosted Collaboration Solution for Government (HCS-G)</t>
  </si>
  <si>
    <t>F1604017885</t>
  </si>
  <si>
    <t>Christopher Wlaschin</t>
  </si>
  <si>
    <t>https://community.max.gov/x/ZAVyRg</t>
  </si>
  <si>
    <t>https://community.max.gov/download/attachments/1181877635/ATO.Letter_CiscoHCSG_HHS_02.01.17.pdf?api=v2</t>
  </si>
  <si>
    <t>Cisco Collaboration FedRAMP Team</t>
  </si>
  <si>
    <t>www.cisco.com</t>
  </si>
  <si>
    <t>Cisco Hosted Collaboration Solution for Government (HCS-G) is a complete unified communications service from the Cisco cloud. It is built to provide government-level security so that organizations can collaborate with anyone, anywhere, on any device. The service is hosted by Cisco, sold by Cisco Powered partners. Cisco HCS-G provides these core services:
**Voice and Video Calling**  
Simplify with industry-leading voice and video as a service. Cisco HCS-G provides voice and video call control and supports Cisco’s newest voice and video endpoints ranging from desktop phones to immersive video rooms to mobile and desktop clients.
**Voicemail and Integrated Messaging**  
Access messages the way you prefer from your desk phone, mobile phone, or desktop client.
**Instant Messaging and Presence**  
Cisco Jabber lets you find the right people, see if and how they are available, and collaborate using your preferred method. Use Cisco Jabber for presence, instant messaging (IM), voice and video calling, voice messaging, desktop sharing, and conferencing.
**Conferencing**  
Use Cisco conferencing solutions to meet and manage meetings and projects in real time, to present, share, or collaborate from anywhere, anytime, on any device.
**Mobility**  
Cisco HCS-G gives your teams the freedom to be productive from anywhere, on any device. Give users one number to dial, redirect incoming calls to designated phones, move calls between a Cisco desktop and mobile phones, create personalized access lists, and give access to all your corporate collaboration features from mobile phones using Cisco Jabber.</t>
  </si>
  <si>
    <t>FY17-043</t>
  </si>
  <si>
    <t>Kevin Smith</t>
  </si>
  <si>
    <t>https://community.max.gov/download/attachments/1113425425/ATO.Letter_AWSGC_DoC_Census_02.14.17.pdf?api=v2</t>
  </si>
  <si>
    <t>FY17-044</t>
  </si>
  <si>
    <t>Kristen Baldwin</t>
  </si>
  <si>
    <t>https://community.max.gov/download/attachments/936118328/ATO.Letter_Acquia_DoT_02.16.17.pdf?api=v2</t>
  </si>
  <si>
    <t>FY17-045</t>
  </si>
  <si>
    <t>https://community.max.gov/download/attachments/1155204218/ATO.Letter_MSAzure_DoT_10.28.16.pdf?api=v2</t>
  </si>
  <si>
    <t>FY17-046</t>
  </si>
  <si>
    <t>Merton Miller</t>
  </si>
  <si>
    <t>https://community.max.gov/download/attachments/1155204092/ATO.Letter_ARC-P_OPM_01.18.17.pdf?api=v2</t>
  </si>
  <si>
    <t>FY17-047</t>
  </si>
  <si>
    <t>https://community.max.gov/download/attachments/992346706/ATO.Letter_MSO365_VA_10.07.16.pdf?api=v2</t>
  </si>
  <si>
    <t>FY17-048</t>
  </si>
  <si>
    <t>https://community.max.gov/download/attachments/1115488742/ATO.Letter_AWSEW_VA_10.07.16.pdf?api=v2</t>
  </si>
  <si>
    <t>FY17-049</t>
  </si>
  <si>
    <t>Kenneth Zawodny</t>
  </si>
  <si>
    <t>https://community.max.gov/download/attachments/1053787027/20170216_GDIT%20CXP%20ATO%20Memo.pdf?api=v2</t>
  </si>
  <si>
    <t>The General Dynamics IT Customer eXperience Platform (CXP) is designed for government agencies and organizations that require scalable and tailorable contact center operations.
A FedRAMP-certified cloud-based solution, the CXP provides a full range of technology capabilities to customize and operate contact centers of any size, supporting organizations’ security and privacy requirements. The CXP leverages Genesys technology to deliver the functionality required by contact centers of varying needs for an enhanced customer experience. The CXP enables quick and easy modernization of contact centers with options for cloud and on-premise deployment. Most importantly, the solution ensures customers can receive the information they need at the time they want it and in a way they want to access it.
The CXP has the following key features:
* Standardized Multi-site “virtual” call/contact centers on an open network and enterprise solution
* Multi-channel contact points with a single solution
  * Voice and Web Service
  * Email management
  * Web Chat live help service
* Position Environment for multi-media Virtual Contact Center
* Intelligent multi-channel load-balancing across sites
* Integrated CRM “Soft-phone” and “Screen-pop” for customer service and productivity
* Web service management and tracking for third-party system integration
* Contact center reporting and workforce management tools</t>
  </si>
  <si>
    <t>FY17-050</t>
  </si>
  <si>
    <t>3/2/17:New ATO letter replaces FY13-004. Made announcement date 2013 to keep date the same on Marketplace.</t>
  </si>
  <si>
    <t>FY17-051</t>
  </si>
  <si>
    <t>Jay Ahuja</t>
  </si>
  <si>
    <t>https://community.max.gov/download/attachments/1256458288/ATO.Letter_ServiceNow_FRTIB_02.10.17.pdf?api=v2</t>
  </si>
  <si>
    <t>FY17-052</t>
  </si>
  <si>
    <t>Vijay Desai</t>
  </si>
  <si>
    <t>https://community.max.gov/download/attachments/992346725/ATO.Letter_Salesforce_CFPB_12.16.16.pdf?api=v2</t>
  </si>
  <si>
    <t>FY17-053</t>
  </si>
  <si>
    <t>Joseph Seger</t>
  </si>
  <si>
    <t>https://community.max.gov/download/attachments/1130635691/ATO.Letter_Salesforce_DoI_03.02.17.pdf?api=v2</t>
  </si>
  <si>
    <t>FY17-054</t>
  </si>
  <si>
    <t>Amy Goudey</t>
  </si>
  <si>
    <t>https://community.max.gov/download/attachments/1155204218/ATO.Letter_MSAG_DoT_IRS_03.06.17.pdf?api=v2</t>
  </si>
  <si>
    <t>FY17-055</t>
  </si>
  <si>
    <t>BlackBerry</t>
  </si>
  <si>
    <t>Angela Stubblefield</t>
  </si>
  <si>
    <t>https://community.max.gov/download/attachments/992346635/AtHoc%20Services%20for%20the%20Government%20%28ACSforGov%29%20ATO%20Letter.pdf?api=v2</t>
  </si>
  <si>
    <t>BlackBerry’s AtHoc is a networked crisis communication platform enabling corporations and government agencies to communicate and collaborate securely with their personnel and with other organizations through multiple devices during times of crises. BlackBerry’s AtHoc platform addresses critical communications needs including:
Account: AtHoc Account enables real-time visibility into location and status for effective personnel accountability and crisis handling before, during, and after emergencies. This integrated approach to personnel accountability enables inputs from managers about their team, call center operators, data streams from HR and travel systems, as well as self-reporting by individuals.
Alert: AtHoc Alert provides a comprehensive crisis communication solution that unifies all channels and devices, empowering organizations, people, and communities to collaborate during critical events. AtHoc’s flexible deployment options safeguards important personal information and enables enterprise-level command and control.
Connect: AtHoc Connect empowers organizations to create their own permission-based network to establish interoperable communication and information sharing with organizations in their community.
Collect: AtHoc Collect empowers your personnel in the field to be the "eyes and ears" of the operations center. AtHoc Collect enables on-scene personnel to report events, work progress, along with rich geo-tagged media that are worth a thousand words.</t>
  </si>
  <si>
    <t>FY17-056</t>
  </si>
  <si>
    <t>https://community.max.gov/download/attachments/1155204218/ATO.Letter_MSAG_VA_03.09.17.pdf?api=v2</t>
  </si>
  <si>
    <t>FY17-057</t>
  </si>
  <si>
    <t>https://community.max.gov/download/attachments/1097467326/ATO.Letter_AWSGC_VA_03.06.17.pdf?api=v2</t>
  </si>
  <si>
    <t>FY17-058</t>
  </si>
  <si>
    <t xml:space="preserve">Microsoft </t>
  </si>
  <si>
    <t>https://community.max.gov/download/attachments/992346706/ATO.Letter_MSO365_FDIC_03.31.17.pdf?api=v2</t>
  </si>
  <si>
    <t>FY17-059</t>
  </si>
  <si>
    <t>https://community.max.gov/download/attachments/1179582858/ATO.Letter_MSCRMOL_VA_03.06.17.pdf?api=v2</t>
  </si>
  <si>
    <t>FY17-060</t>
  </si>
  <si>
    <t>https://community.max.gov/download/attachments/1197709114/ATO.Letter_18F_FDIC_03.01.17.pdf?api=v2</t>
  </si>
  <si>
    <t>FY17-061</t>
  </si>
  <si>
    <t>https://community.max.gov/download/attachments/992346622/ATO.Letter_AINS_HUD_01.18.17.pdf?api=v2</t>
  </si>
  <si>
    <t>Re-issuance of FY14-001 letter, Letter date listed as 2/21/14 to reflect proper date on Marketplace. Letter date is actually1/18/17</t>
  </si>
  <si>
    <t>FY17-062</t>
  </si>
  <si>
    <t>https://community.max.gov/download/attachments/936118328/ATO.Letter_Acquia_DoC_NIST_02.22.17.pdf?api=v2</t>
  </si>
  <si>
    <t>FY17-063</t>
  </si>
  <si>
    <t>Andrea Schneider</t>
  </si>
  <si>
    <t>https://community.max.gov/download/attachments/1113425425/ATO.Letter_AWSGC_DoT_IRS_03.28.17.pdf?api=v2</t>
  </si>
  <si>
    <t>FY17-064</t>
  </si>
  <si>
    <t>https://community.max.gov/download/attachments/1153174344/ATO.Letter_Datapipe_DoT_IRS_03.29.17.pdf?api=v2</t>
  </si>
  <si>
    <t>FY17-065</t>
  </si>
  <si>
    <t>Martha Rubenstein</t>
  </si>
  <si>
    <t>https://community.max.gov/download/attachments/1153174344/ATO.Letter_Datapipe_NSF_03.30.17.pdf?api=v2</t>
  </si>
  <si>
    <t>FY17-066</t>
  </si>
  <si>
    <t>United States Equal Employment Opportunity Commission</t>
  </si>
  <si>
    <t>https://community.max.gov/download/attachments/992346706/ATO.Letter_MSO365_EEOC_03.30.17.pdf?api=v2</t>
  </si>
  <si>
    <t>https://marketplace.fedramp.gov/img/logos/Agency_logos/EEOC%20Logo.jpg</t>
  </si>
  <si>
    <t>FY17-067</t>
  </si>
  <si>
    <t>https://community.max.gov/download/attachments/1155204218/ATO.Letter_MSAzure_NSF_03.31.17.pdf?api=v2</t>
  </si>
  <si>
    <t>FY17-068</t>
  </si>
  <si>
    <t>https://community.max.gov/download/attachments/1155204180/ATO.Letter_MSGFS_NSF_03.31.17.pdf?api=v2</t>
  </si>
  <si>
    <t>FY17-069</t>
  </si>
  <si>
    <t>https://community.max.gov/download/attachments/1531087271/ATO.Letter_Google_VA_03.27.17.pdf?api=v2</t>
  </si>
  <si>
    <t>FY17-070</t>
  </si>
  <si>
    <t>https://community.max.gov/download/attachments/779322061/ATO.Letter_Accellion_DoI_03.02.17.pdf?api=v2</t>
  </si>
  <si>
    <t>FY17-071</t>
  </si>
  <si>
    <t>Douglas Perry</t>
  </si>
  <si>
    <t>https://community.max.gov/download/attachments/1113425425/ATO.Letter_AWSGC_DoC_NOAA_03.22.17.pdf?api=v2</t>
  </si>
  <si>
    <t>FY17-072</t>
  </si>
  <si>
    <t>https://community.max.gov/download/attachments/1115488742/ATO.Letter_AWSEW_DoC_NOAA_03.22.17.pdf?api=v2</t>
  </si>
  <si>
    <t>FY17-073</t>
  </si>
  <si>
    <t>https://community.max.gov/download/attachments/1531087274/ATO.Letter_Google_DoC_NOAA_03.22.17.pdf?api=v2</t>
  </si>
  <si>
    <t>FY17-074</t>
  </si>
  <si>
    <t>https://community.max.gov/download/attachments/1256458199/ATO.Letter_IBMMaaS360_DoC_NOAA_03.22.17.pdf?api=v2</t>
  </si>
  <si>
    <t>FY17-075</t>
  </si>
  <si>
    <t>https://community.max.gov/download/attachments/1256458242/ATO.Letter_MSAzure_DoC_NOAA_03.22.17.pdf?api=v2</t>
  </si>
  <si>
    <t>FY17-076</t>
  </si>
  <si>
    <t>Bureau of Indian Affairs</t>
  </si>
  <si>
    <t>Bruce Loudermilk</t>
  </si>
  <si>
    <t>https://community.max.gov/download/attachments/1179582858/ATO.Letter_MSCRMOL_DoI_BIA_12.12.16.pdf?api=v2</t>
  </si>
  <si>
    <t>FY17-077</t>
  </si>
  <si>
    <t>Dereck Orr</t>
  </si>
  <si>
    <t>https://community.max.gov/download/attachments/992346693/ATO.Letter_Huddle_DoC_NIST_03.03.17.pdf?api=v2</t>
  </si>
  <si>
    <t>FY17-078</t>
  </si>
  <si>
    <t>George Hoffmann</t>
  </si>
  <si>
    <t>https://community.max.gov/download/attachments/992346725/ATO.Letter_Salesforce_HHS_CMS_12.19.16.pdf?api=v2</t>
  </si>
  <si>
    <t>FY17-079</t>
  </si>
  <si>
    <t>Okta</t>
  </si>
  <si>
    <t>Identity as a Service (IDaaS)</t>
  </si>
  <si>
    <t>F1512167750</t>
  </si>
  <si>
    <t>https://community.max.gov/x/-oSIOg</t>
  </si>
  <si>
    <t>https://community.max.gov/download/attachments/1506345586/ATO.Letter_Okta_DoJ_04.21.17.pdf?api=v2</t>
  </si>
  <si>
    <t>Chris Niggel</t>
  </si>
  <si>
    <t>fedramp@okta.com</t>
  </si>
  <si>
    <t>www.okta.com</t>
  </si>
  <si>
    <t>https://marketplace.fedramp.gov/img/logos/CSP_logos/Okta%20Logo.jpg</t>
  </si>
  <si>
    <t>FY17-080</t>
  </si>
  <si>
    <t>PowerTrain Inc.</t>
  </si>
  <si>
    <t>Web Development and Hosting</t>
  </si>
  <si>
    <t>F1405214357</t>
  </si>
  <si>
    <t>Joseph Kennedy</t>
  </si>
  <si>
    <t>https://community.max.gov/x/tYNBQg</t>
  </si>
  <si>
    <t>https://community.max.gov/download/attachments/1111589860/TKP%20ATO%20Memo%20-2016.pdf?api=v2</t>
  </si>
  <si>
    <t>Courtney Cox</t>
  </si>
  <si>
    <t>ccox@powertrain.com</t>
  </si>
  <si>
    <t>www.powertrain.com</t>
  </si>
  <si>
    <t>PowerTrain is an on-line application development, implementation, and hosting provider for a range of federal government agencies through an Office of Personnel Management contract. PowerTrain currently runs systems under an assessment and authorization to operate through the Office of Personnel Management security team.</t>
  </si>
  <si>
    <t>https://marketplace.fedramp.gov/img/logos/CSP_logos/PowerTrain%20Logo.jpg</t>
  </si>
  <si>
    <t>FY17-081</t>
  </si>
  <si>
    <t>https://community.max.gov/download/attachments/1257046585/ATO.Letter_GovDelivery_USPTO_04.28.17.pdf?api=v2</t>
  </si>
  <si>
    <t>FY17-082</t>
  </si>
  <si>
    <t>https://community.max.gov/download/attachments/1155203796/ATO.Letter_OracleSC_VA_01.04.17.pdf?api=v2</t>
  </si>
  <si>
    <t>FY17-083</t>
  </si>
  <si>
    <t>https://community.max.gov/download/attachments/1197709114/ATO.Letter_18F_DoD_DISA_05.02.17.pdf?api=v2</t>
  </si>
  <si>
    <t>FY17-084</t>
  </si>
  <si>
    <t>https://community.max.gov/download/attachments/1155203438/ATO.Letter_GDIT_DoC_Census_03.16.17.pdf?api=v2</t>
  </si>
  <si>
    <t>FY17-085</t>
  </si>
  <si>
    <t>https://community.max.gov/download/attachments/992346622/ATO.Letter_AINS_DoD_DISA_05.02.17.PDF?api=v2</t>
  </si>
  <si>
    <t>FY17-086</t>
  </si>
  <si>
    <t>https://community.max.gov/download/attachments/1113425425/ATO.Letter_AWSGC_DoD_DISA_04.08.17.pdf?api=v2</t>
  </si>
  <si>
    <t>5/8/17 - New letter received from DISA, replaces FY16-059 letter</t>
  </si>
  <si>
    <t>FY17-087</t>
  </si>
  <si>
    <t>Michael Smith</t>
  </si>
  <si>
    <t>https://community.max.gov/download/attachments/882934025/ATO.Letter_ProjectHosts_FHFA_05.08.17.pdf?api=v2</t>
  </si>
  <si>
    <t>FY17-088</t>
  </si>
  <si>
    <t>https://community.max.gov/download/attachments/780173411/ATO.Letter_MSO365_DoT_OCC_01.12.17.pdf?api=v2</t>
  </si>
  <si>
    <t>FY17-089</t>
  </si>
  <si>
    <t>Sandra Bruce</t>
  </si>
  <si>
    <t>https://community.max.gov/download/attachments/992346622/ATO.Letter_AINS_DoEd_OIG_05.11.17.pdf?api=v2</t>
  </si>
  <si>
    <t>FY17-090</t>
  </si>
  <si>
    <t>https://community.max.gov/download/attachments/1489803634/ATO.Letter_Socrata_FCC_12.29.16.pdf?api=v2</t>
  </si>
  <si>
    <t>FY17-091</t>
  </si>
  <si>
    <t>Robert McKinney</t>
  </si>
  <si>
    <t>https://community.max.gov/download/attachments/992970011/ATO.Letter_Skillsoft_EPA_02.28.17.pdf?api=v2</t>
  </si>
  <si>
    <t>FY17-092</t>
  </si>
  <si>
    <t>Bruce Downs</t>
  </si>
  <si>
    <t>https://community.max.gov/download/attachments/1116602815/ATO.Letter_Akamai_DoI_05.12.17.pdf?api=v2</t>
  </si>
  <si>
    <t>FY17-093</t>
  </si>
  <si>
    <t>https://community.max.gov/download/attachments/1115488742/ATO.Letter_AWSEW_DoI_05.12.17.pdf?api=v2</t>
  </si>
  <si>
    <t>FY17-094</t>
  </si>
  <si>
    <t>https://community.max.gov/download/attachments/1113425425/ATO.Letter_AWSGC_DoI_05.12.17.pdf?api=v2</t>
  </si>
  <si>
    <t>FY17-095</t>
  </si>
  <si>
    <t>Edgar Bennett</t>
  </si>
  <si>
    <t>https://community.max.gov/download/attachments/777093308/ATO.Letter_MicroPact_PBGC_03.06.17.pdf?api=v2</t>
  </si>
  <si>
    <t>FY17-096</t>
  </si>
  <si>
    <t>Susannah Schiller</t>
  </si>
  <si>
    <t>https://community.max.gov/download/attachments/779322013/ATO.Letter_Cornerstone_DoC_NTIS_05.10.17.pdf?api=v2</t>
  </si>
  <si>
    <t>Replaces FY16-152 letter</t>
  </si>
  <si>
    <t>FY17-097</t>
  </si>
  <si>
    <t>https://community.max.gov/download/attachments/992346679/ATO.Letter_Esri_USDA_11.04.16.pdf?api=v2</t>
  </si>
  <si>
    <t>FY17-098</t>
  </si>
  <si>
    <t>Holly Allen</t>
  </si>
  <si>
    <t>https://community.max.gov/download/attachments/882934025/ATO.Letter_ProjectHosts_GSAIT_05.11.17.pdf?api=v2</t>
  </si>
  <si>
    <t>Replaces FY17-041 Letter</t>
  </si>
  <si>
    <t>FY17-099</t>
  </si>
  <si>
    <t>Dorothy Aronson</t>
  </si>
  <si>
    <t>https://community.max.gov/download/attachments/1116602815/ATO.Letter_Akamai_NSF_05.30.17.pdf?api=v2</t>
  </si>
  <si>
    <t>FY17-100</t>
  </si>
  <si>
    <t>FirstNet</t>
  </si>
  <si>
    <t>Jim Gwinn</t>
  </si>
  <si>
    <t>https://community.max.gov/download/attachments/780173411/ATO.Letter_MSO365_DoC_FirstNet_03.15.17.pdf?api=v2</t>
  </si>
  <si>
    <t>FY17-101</t>
  </si>
  <si>
    <t>https://community.max.gov/download/attachments/1256458199/ATO.Letter_MaaS360_DoC_FirstNet_03.15.17.pdf?api=v2</t>
  </si>
  <si>
    <t>FY17-102</t>
  </si>
  <si>
    <t>https://community.max.gov/download/attachments/1115488742/ATO.Letter_AWSEW_DoJ_BoP_05.19.17.pdf?api=v2</t>
  </si>
  <si>
    <t>FY17-103</t>
  </si>
  <si>
    <t>https://community.max.gov/download/attachments/930415021/ATO%20LEAP%20Cornerstone%20SEC%20May%202017.pdf?api=v2</t>
  </si>
  <si>
    <t>FY17-104</t>
  </si>
  <si>
    <t>https://community.max.gov/download/attachments/780173411/ATO.Letter_MSO365_DoT_OCC_06.01.17.pdf?api=v2</t>
  </si>
  <si>
    <t>FY17-105</t>
  </si>
  <si>
    <t>https://community.max.gov/download/attachments/780173411/ATO.Letter_MSO365_DoC_NTIS_06.11.17.pdf?api=v2</t>
  </si>
  <si>
    <t>FY17-106</t>
  </si>
  <si>
    <t>SAP National Security Services Inc. (SAP NS2)</t>
  </si>
  <si>
    <t>SAP NS2 Secure Node with SuccessFactors Suite - DoD</t>
  </si>
  <si>
    <t>F1602257856</t>
  </si>
  <si>
    <t>https://community.max.gov/x/cARBT</t>
  </si>
  <si>
    <t>https://community.max.gov/download/attachments/1497466391/SAP%20NS2%20PA%20IL4_Final.pdf?api=v2</t>
  </si>
  <si>
    <t>Winson Cumberland</t>
  </si>
  <si>
    <t>info@sapns2.com</t>
  </si>
  <si>
    <t>https://www.sapns2.com/cloud/</t>
  </si>
  <si>
    <t>https://marketplace.fedramp.gov/img/logos/CSP_logos/SAP%20NS2%20Logo1.jpg</t>
  </si>
  <si>
    <t>FY17-107</t>
  </si>
  <si>
    <t>Jerry Horton</t>
  </si>
  <si>
    <t>https://community.max.gov/download/attachments/1053787027/ATO.Letter_GDITCXP_CFPB_06.12.17.pdf?api=v2</t>
  </si>
  <si>
    <t>FY17-108</t>
  </si>
  <si>
    <t>https://community.max.gov/download/attachments/1155203438/ATO.Letter_GDIT_CFPB_06.12.17.pdf?api=v2</t>
  </si>
  <si>
    <t>FY17-109</t>
  </si>
  <si>
    <t>https://community.max.gov/download/attachments/992970011/ATO.Letter_Skillsoft_DoD_DISA_06.18.17.pdf?api=v2</t>
  </si>
  <si>
    <t>FY17-110</t>
  </si>
  <si>
    <t>https://community.max.gov/download/attachments/1155203545/ATO.Letter_GovDelivery_DoC_NIST_04.24.17.pdf?api=v2</t>
  </si>
  <si>
    <t>FY17-111</t>
  </si>
  <si>
    <t>Edward Hugler</t>
  </si>
  <si>
    <t>https://community.max.gov/download/attachments/992346725/ATO.Letter_Salesforce_DoL_06.18.17.pdf?api=v2</t>
  </si>
  <si>
    <t>FY17-112</t>
  </si>
  <si>
    <t>https://community.max.gov/download/attachments/992346706/ATO.Letter_MSO365_DoT_IRS_06.21.17.pdf?api=v2</t>
  </si>
  <si>
    <t>FY17-113</t>
  </si>
  <si>
    <t>https://community.max.gov/download/attachments/1155204218/ATO.Letter_MSAzure_DoT_IRS_06.21.17.pdf?api=v2</t>
  </si>
  <si>
    <t>FY17-114</t>
  </si>
  <si>
    <t>https://community.max.gov/download/attachments/1155204180/ATO.Letter_MSGFS_DoT_IRS_06.21.17.pdf?api=v2</t>
  </si>
  <si>
    <t>FY17-115</t>
  </si>
  <si>
    <t>Cylance, Inc.</t>
  </si>
  <si>
    <t>CylancePROTECT</t>
  </si>
  <si>
    <t>F1602167854</t>
  </si>
  <si>
    <t>David DeVries</t>
  </si>
  <si>
    <t>https://community.max.gov/x/eoePRw</t>
  </si>
  <si>
    <t>https://community.max.gov/download/attachments/1200588697/ATO%20Memo%20-%20Cylance.pdf?api=v2</t>
  </si>
  <si>
    <t>Malcolm Harkins</t>
  </si>
  <si>
    <t>compliance@cylance.com</t>
  </si>
  <si>
    <t>www.cylance.com</t>
  </si>
  <si>
    <t xml:space="preserve">CylancePROTECT redefines what antivirus (AV) can and should do for your organization by leveraging artificial intelligence to detect AND prevent malware from executing on your endpoints in real time. By taking a mathematical approach to malware identification utilizing patent-pending, machine learning techniques instead of reactive signatures and sandboxes, CylancePROTECT renders new malware, viruses, bots and unknown future variants useless. Cylance has developed the most accurate, efficient and effective solution for preventing advanced persistent threats and malware from executing on your organization’s endpoints. At the core of Cylance’s unprecedented malware identification capability is a revolutionary machine learning research platform that harnesses the power of algorithmic science and artificial intelligence. It analyzes and classifies hundreds of thousands of characteristics per file, breaking them down to an atomic level to discern whether an object is “good” or “bad” in real time.
CylanceOPTICS, part of the prevention-first Cylance Security Platform, is an artificial intelligence (AI) driven endpoint detection and response (EDR) solution designed to extend the prevention delivered by CylancePROTECT through root cause analysis, scalable threat hunting, and automated threat detection and response without increasing costs or security team workloads.
CylancePROTECT and CylanceOPTICS are managed through a single web interface within the FedRAMP boundary, and both capabilities are included in the CylancePROTECT cloud service offering. </t>
  </si>
  <si>
    <t>https://marketplace.fedramp.gov/img/logos/CSP_logos/Cylance%20Logo.jpg</t>
  </si>
  <si>
    <t>FY17-116</t>
  </si>
  <si>
    <t>https://community.max.gov/download/attachments/1035338333/ATO.Letter_Box_DoD_DISA_06.25.17.pdf?api=v2</t>
  </si>
  <si>
    <t>The Box Enterprise Cloud Content Collaboration Platform provides a secure way to share content and improve collaboration on any device. Box offers organizations of all sizes a platform for file synchronization and sharing and modern content management that makes collaboration effective across devices, teams and organizations. Our unique approach combines intuitive, elegant interfaces with the security, scalability and administrative controls required by IT.  What it means is that with Box, people can get work done anywhere, from any device.
Beyond secure file sharing, Box provides a rich enterprise content management and collaboration platform that can power simple and sophisticated processes across your business. From mobile field enablement to case management to digital asset management, the Box platform can provide the collaboration, intuitive workflow and content governance processes that power your organization.</t>
  </si>
  <si>
    <t>Announcement date set to match FY16-030 for initial auth date.</t>
  </si>
  <si>
    <t>FY17-117</t>
  </si>
  <si>
    <t>https://community.max.gov/download/attachments/1130635691/ATO.Letter_Salesforce_DoD_DISA_06.25.17.pdf?api=v2</t>
  </si>
  <si>
    <t>FY17-118</t>
  </si>
  <si>
    <t>FireEye</t>
  </si>
  <si>
    <t>FireEye Email Threat Prevention (ETP) Service</t>
  </si>
  <si>
    <t>F1512017637</t>
  </si>
  <si>
    <t>Lawrence Ruffin</t>
  </si>
  <si>
    <t>https://community.max.gov/x/QoXGSg</t>
  </si>
  <si>
    <t>https://community.max.gov/download/attachments/1113818351/ATO.Letter_FireEye_DoI_04.26.17.pdf?api=v2</t>
  </si>
  <si>
    <t>Stacey Zeigler</t>
  </si>
  <si>
    <t>stacey.zeigler@FireEye.com</t>
  </si>
  <si>
    <t>www.FireEye.com</t>
  </si>
  <si>
    <t>The FireEye® Email Threat Prevention Cloud is a SaaS offering that not only combats against today’s advanced email attacks but also provides anti-spam and anti-virus protection. As organizations have embraced the cloud for email needs, the Email Threat Prevention Cloud provides complete email security for cloud mailboxes.
Organizations face an ever-increasing number of threats from email based spam, viruses, and advanced threats. Email-based attacks, in particular spear phishing, remain one of the primary methods used to initiate an advanced persistent threat (APT) attack because of the complexity involved in detecting them. To protect against malicious emails, organizations simply route messages to the Email Threat Prevention Cloud. The cloud analyzes the emails for spam and known viruses first. It then uses the signature-less FireEye Multi-vector Virtual Execution™ (MVX) engine to analyze attachments and URLs to detect threats and stop APT attacks in real time.
**Easy deployment and cross-enterprise protection**
Without hardware or software to install, the Email Threat Prevention Cloud is a particularly good fit for organizations seeking to move their infrastructure into the cloud. This eliminates the complexity of procuring, installing, and managing a physical infrastructure.
Email Threat Prevention Cloud integrates with the entire FireEye portfolio for real-time threat intelligence sharing. This rich correlation of threat intelligence provides organizations several unique capabilities, such as:
 - Identifying previous targets of spear-phishing emails 
 - Locating copies of the malicious email in target inboxes 
 - Finding out if the message is being forwarded to new targets
 - Highlighting URLs that become malicious after message delivery
For added accessibility and ease-of-use, the dashboard shows region- and industry-based malware trends, and audit logging.</t>
  </si>
  <si>
    <t>https://marketplace.fedramp.gov/img/logos/CSP_logos/FireEye%20Logo.jpg</t>
  </si>
  <si>
    <t>FY17-119</t>
  </si>
  <si>
    <t>Victoria Turley</t>
  </si>
  <si>
    <t>https://community.max.gov/download/attachments/1130635691/ATO.Letter_Salesforce_USDA_07.03.17.pdf?api=v2</t>
  </si>
  <si>
    <t>FY17-120</t>
  </si>
  <si>
    <t>Robert Velasco</t>
  </si>
  <si>
    <t>https://community.max.gov/download/attachments/1155204011/ATO.Letter_Softlayer_USDA_USFS_07.05.17.pdf?api=v2</t>
  </si>
  <si>
    <t>FY17-121</t>
  </si>
  <si>
    <t>https://community.max.gov/download/attachments/930415021/ATO.Letter_Cornerstone_DoC_Census_06.14.17.pdf?api=v2</t>
  </si>
  <si>
    <t>FY17-122</t>
  </si>
  <si>
    <t>https://community.max.gov/download/attachments/1155204011/ATO.Letter_Softlayer_DoI_07.14.17.pdf?api=v2</t>
  </si>
  <si>
    <t>Replaces FY16-092 ATO Letter</t>
  </si>
  <si>
    <t>FY17-123</t>
  </si>
  <si>
    <t>Virtustream</t>
  </si>
  <si>
    <t>https://community.max.gov/download/attachments/1155204052/ATO.Letter_Virtustream_DoI_07.14.17.pdf?api=v2</t>
  </si>
  <si>
    <t>FY17-124</t>
  </si>
  <si>
    <t>https://community.max.gov/download/attachments/920093566/ATO.Letter_MAXGSS_DoD_DISA_07.17.17.PDF?api=v2</t>
  </si>
  <si>
    <t>FY17-125</t>
  </si>
  <si>
    <t>https://community.max.gov/download/attachments/920093586/ATO.Letter_MAXSS_DoD_DISA_07.17.17.PDF?api=v2</t>
  </si>
  <si>
    <t>FY17-126</t>
  </si>
  <si>
    <t>https://community.max.gov/download/attachments/1155203654/ATO.Letter_IBMSCG_DoD_DHMS_06.28.17.pdf?api=v2</t>
  </si>
  <si>
    <t>FY17-127</t>
  </si>
  <si>
    <t>Robert Klopp</t>
  </si>
  <si>
    <t>https://community.max.gov/download/attachments/992346725/ATO.Letter_Salesforce_SSA_02.07.17.pdf?api=v2</t>
  </si>
  <si>
    <t>FY17-128</t>
  </si>
  <si>
    <t>Herb Strauss</t>
  </si>
  <si>
    <t>https://community.max.gov/download/attachments/1179582858/ATO.Letter_MSCRMOL_SSA_02.07.17.pdf?api=v2</t>
  </si>
  <si>
    <t>FY17-129</t>
  </si>
  <si>
    <t>Bill James</t>
  </si>
  <si>
    <t>https://community.max.gov/download/attachments/936118328/ATO.Letter_Acquia_VA_06.14.17.pdf?api=v2</t>
  </si>
  <si>
    <t>FY17-130</t>
  </si>
  <si>
    <t>https://community.max.gov/download/attachments/992346701/ATO.Letter_MicroPact_DoD_DISA_07.21.17.pdf?api=v2</t>
  </si>
  <si>
    <t>FY17-131</t>
  </si>
  <si>
    <t>https://community.max.gov/download/attachments/982025475/ATO.Letter_Okta_STB_07.24.17.PDF?api=v2</t>
  </si>
  <si>
    <t>FY17-132</t>
  </si>
  <si>
    <t>https://community.max.gov/download/attachments/936118328/ATO.Letter_Acquia_DoT_IRS_07.24.17.pdf?api=v2</t>
  </si>
  <si>
    <t>FY17-133</t>
  </si>
  <si>
    <t>https://community.max.gov/download/attachments/1115488742/ATO.Letter_AWSEW_DoT_IRS_07.24.17.pdf?api=v2</t>
  </si>
  <si>
    <t>FY17-134</t>
  </si>
  <si>
    <t>Chad Sheridan</t>
  </si>
  <si>
    <t>https://community.max.gov/download/attachments/1115488812/ATO.Letter_Appian_DoA_05.09.17.pdf?api=v2</t>
  </si>
  <si>
    <t>FY17-135</t>
  </si>
  <si>
    <t>https://community.max.gov/download/attachments/1116602747/ATO.Letter_CGI_VA_07.05.17.pdf?api=v2</t>
  </si>
  <si>
    <t>FY17-136</t>
  </si>
  <si>
    <t>https://community.max.gov/download/attachments/1155203715/ATO.Letter_IT-CNP_VA_07.05.17.pdf?api=v2</t>
  </si>
  <si>
    <t>FY17-137</t>
  </si>
  <si>
    <t>https://community.max.gov/download/attachments/1116602815/ATO.Letter_Akamai_VA_03.09.17.pdf?api=v2</t>
  </si>
  <si>
    <t>FY17-138</t>
  </si>
  <si>
    <t>Andrew Bailey</t>
  </si>
  <si>
    <t>https://community.max.gov/download/attachments/1155203545/ATO.Letter_GovDelivery_DoL_07.24.17.pdf?api=v2</t>
  </si>
  <si>
    <t>FY17-139</t>
  </si>
  <si>
    <t>https://community.max.gov/download/attachments/992346725/ATO.Letter_Salesforce_DoL_07.24.17.pdf?api=v2</t>
  </si>
  <si>
    <t>FY17-140</t>
  </si>
  <si>
    <t>https://community.max.gov/download/attachments/1116602815/ATO.Letter_Akamai_DoL_07.24.17.pdf?api=v2</t>
  </si>
  <si>
    <t>FY17-141</t>
  </si>
  <si>
    <t>https://community.max.gov/download/attachments/1155203438/ATO.Letter_GDIT_DoL_06.20.17.pdf?api=v2</t>
  </si>
  <si>
    <t>8/2/17: Replaces FY14-038 ATO letter.</t>
  </si>
  <si>
    <t>FY17-142</t>
  </si>
  <si>
    <t>https://community.max.gov/download/attachments/1350765119/ATO.Letter_Skyhigh_VA_07.18.17.pdf?api=v2</t>
  </si>
  <si>
    <t>FY17-143</t>
  </si>
  <si>
    <t>Valerie Gunter</t>
  </si>
  <si>
    <t>https://community.max.gov/download/attachments/1197709114/ATO.Letter_18F_DoT_IRS_07.31.17.pdf?api=v2</t>
  </si>
  <si>
    <t>FY17-144</t>
  </si>
  <si>
    <t>United States Africa Command</t>
  </si>
  <si>
    <t>Christopher Eubank</t>
  </si>
  <si>
    <t>https://community.max.gov/download/attachments/1155204218/ATO.Letter_MSAzure_DoD_USAC_08.08.17.pdf?api=v2</t>
  </si>
  <si>
    <t>FY17-145</t>
  </si>
  <si>
    <t>Robert Choi</t>
  </si>
  <si>
    <t>https://community.max.gov/download/attachments/1115488742/ATO.Letter_AWSEW_DoT_IRS_08.08.17.pdf?api=v2</t>
  </si>
  <si>
    <t>FY17-146</t>
  </si>
  <si>
    <t>DocuSign</t>
  </si>
  <si>
    <t>DocuSign Federal</t>
  </si>
  <si>
    <t>F1609267945</t>
  </si>
  <si>
    <t>https://community.max.gov/x/bYq0SQ</t>
  </si>
  <si>
    <t>https://community.max.gov/download/attachments/1116603947/ATO.Letter_DocuSign_FCC_06.28.17.pdf?api=v2</t>
  </si>
  <si>
    <t>Michael Yatsko</t>
  </si>
  <si>
    <t>michael.yatsko@docusign.com</t>
  </si>
  <si>
    <t>www.docusign.com/federal</t>
  </si>
  <si>
    <t>DocuSign is a San Francisco- and Seattle-based company that provides electronic signature technology and Digital Transaction Management services to facilitate electronic exchanges of contracts and signed documents. DocuSign’s features include authentication services, user identity management and workflow automation. Signatures processed by DocuSign are comparable to traditional signatures based on the product's compliance with the ESIGN Act as well as the European Union’s Directive 1999/93/EC on electronic signatures.
DocuSign Federal is a SaaS application oriented towards federal government entities. Operated and managed as a government community cloud, DocuSign Federal provides government customers with an enterprise signing service to facilitate paperless workflow management. More information about DocuSign Federal can be found here: [https://www.docusign.com/federal](https://www.docusign.com/solutions/industries/government/federal)</t>
  </si>
  <si>
    <t>https://marketplace.fedramp.gov/img/logos/CSP_logos/DocuSign%20Logo.jpg</t>
  </si>
  <si>
    <t>AGENCYAMAZONEW, F1209051525, F1206061353, F1212191840</t>
  </si>
  <si>
    <t>FY17-147</t>
  </si>
  <si>
    <t>Government Cloud - Common Controls</t>
  </si>
  <si>
    <t>https://community.max.gov/x/xYGeNw</t>
  </si>
  <si>
    <t>https://community.max.gov/download/attachments/1442481749/PATO.Letter_OracleGC_10.04.16.pdf?api=v2</t>
  </si>
  <si>
    <t>The OGC-CC is a collection of common Oracle cloud information resources within the public sector cloud (Oracle Public Cloud) that support the Oracle applications, platforms, and services provided to U.S. Government/public sector customers (SaaS, PaaS, and IaaS). These include current service offerings (SaaS) such as Oracle Service Cloud, planned services offerings such as Fusion, PBCS, and Taleo, and any other service Oracle may implement in the future (SaaS, PaaS, and IaaS). The environment serves as a community cloud that supports current and future Oracle Cloud FedRAMP-compliant systems. The authorization boundary of the system includes the common hardware, software, information, data, applications, communications, facilities, and people that provide support for a variety of users and applications and will be leveraged by future Oracle Cloud authorization packages. The OGC-CC boundary starts at the premise router and ends with the physical cable that connects to each Oracle Cloud Service’s firewall. The dependent system boundaries start at each service’s firewall, and each service is responsible for all assets (hardware/software), policies, procedures, and any other item thereafter.</t>
  </si>
  <si>
    <t>FY17-148</t>
  </si>
  <si>
    <t>Elizabeth DelNegro</t>
  </si>
  <si>
    <t>https://community.max.gov/download/attachments/923206794/ATO.Letter_DecisionLens_GSA_03.31.17.pdf?api=v2</t>
  </si>
  <si>
    <t>FY17-149</t>
  </si>
  <si>
    <t>Taleo Cloud - U.S. Government Cloud</t>
  </si>
  <si>
    <t>F1603227880</t>
  </si>
  <si>
    <t>https://community.max.gov/x/goXpPg</t>
  </si>
  <si>
    <t>https://community.max.gov/download/attachments/1216714412/ATO.Letter_OracleTaleo_DoJ_BoP_06.13.17.pdf?api=v2</t>
  </si>
  <si>
    <t>Oracle Taleo Cloud services are Oracle’s Software as a Service (SaaS) solution, providing a comprehensive talent management and learning service. Taleo Enterprise Edition offers a comprehensive talent management suite that spans the entire employee lifecycle and helps companies hire, manage, reward, and develop their employees with a full talent management solution for recruiting and on boarding, performance management, employee development and succession planning. Since Taleo Enterprise Edition is built on a single unified platform and delivered on demand, you can implement a single module or the full solution based on your needs. Oracle’s Taleo Learn Cloud offers an employee development and training software solution that supports the learning challenges of large complex enterprises. Taleo Learn links human resources management to learning with Talent Intelligence. The Taleo Learn Cloud Service is a solution for delivering, tracking, managing, and reporting on formal and informal learning. Users have access to learning through a single platform for online, classroom, virtual, and on-the-job training, as well as assessments, blended learning, social learning, and self-reported training. Organizations can design a tailored user experience with complete control of the user interface.</t>
  </si>
  <si>
    <t>FY17-150</t>
  </si>
  <si>
    <t>SpringCM</t>
  </si>
  <si>
    <t>F1605027893</t>
  </si>
  <si>
    <t>Gary Washington</t>
  </si>
  <si>
    <t>https://community.max.gov/x/xpFORQ</t>
  </si>
  <si>
    <t>https://community.max.gov/download/attachments/1162777036/SpringCM%20FedRAMP%20ATO%20Letter%20v3.pdf?api=v2</t>
  </si>
  <si>
    <t>Chris King</t>
  </si>
  <si>
    <t>cking@springcm.com</t>
  </si>
  <si>
    <t>https://www.springcm.com/</t>
  </si>
  <si>
    <t>SpringCM is a secure cloud platform that manages contracts and all types of documents across desktop, mobile, and partner applications like Salesforce. SpringCM goes beyond standard contract and document management with advanced workflows that automate manual tasks and complex processes to speed time-to-revenue. Businesses use SpringCM to optimize collaboration and processes across internal departments, as well as with prospects and customers.</t>
  </si>
  <si>
    <t>https://marketplace.fedramp.gov/img/logos/CSP_logos/SpringCM%20Logo.jpg</t>
  </si>
  <si>
    <t>FY17-151</t>
  </si>
  <si>
    <t>https://community.max.gov/download/attachments/1256458288/ATO%20Letter_ServiceNow_DoJ_USMS_08.23.17.pdf?api=v2</t>
  </si>
  <si>
    <t>FY17-152</t>
  </si>
  <si>
    <t>https://community.max.gov/download/attachments/1115488742/ATO%20Letter_AWSEW_DoE_NREL_08.18.17.PDF?api=v2</t>
  </si>
  <si>
    <t>FY17-153</t>
  </si>
  <si>
    <t>Cisco WebEx</t>
  </si>
  <si>
    <t>https://community.max.gov/download/attachments/982024658/ATO%20Letter_WebEx_HHS_FDA_08.25.17.pdf?api=v2</t>
  </si>
  <si>
    <t>FY17-154</t>
  </si>
  <si>
    <t>Office 365 Multi-Tenant &amp; Supporting Services</t>
  </si>
  <si>
    <t>https://community.max.gov/download/attachments/992346706/ATO%20Letter_MSO365_HHS_FDA_08.25.17.pdf?api=v2</t>
  </si>
  <si>
    <t>FY17-155</t>
  </si>
  <si>
    <t>William Putman</t>
  </si>
  <si>
    <t>https://community.max.gov/download/attachments/1155203837/ATO%20Letter_ServiceNow_DoE_NNSA_LLNL_08.28.17.PDF?api=v2</t>
  </si>
  <si>
    <t>FY17-156</t>
  </si>
  <si>
    <t>Workplace.gov Community Cloud (WC2)</t>
  </si>
  <si>
    <t>Nicolaos Totten</t>
  </si>
  <si>
    <t>https://community.max.gov/download/attachments/992346731/6.%20Workplace.gov%20Community%20Cloud%20%28WC2%29%20Authorization%20to%20Operate%20%28ATO%29%20Letter%20signed.pdf?api=v2</t>
  </si>
  <si>
    <t>FY17-157</t>
  </si>
  <si>
    <t>Richard Klemmer</t>
  </si>
  <si>
    <t>https://community.max.gov/download/attachments/1155203596/ATO%20Letter_MaaS360_DoC_NTIA_08.30.17.pdf?api=v2</t>
  </si>
  <si>
    <t>FY17-158</t>
  </si>
  <si>
    <t>https://community.max.gov/download/attachments/992346706/ATO%20Letter_MSO365_DoC_NTIA_08.30.17.pdf?api=v2</t>
  </si>
  <si>
    <t>FY17-159</t>
  </si>
  <si>
    <t>Martha Threatt</t>
  </si>
  <si>
    <t>https://community.max.gov/download/attachments/1456869572/ATO%20Letter_Acquia_PBGC_03.24.17.pdf?api=v2</t>
  </si>
  <si>
    <t>FY17-160</t>
  </si>
  <si>
    <t>https://community.max.gov/download/attachments/1155203596/ATO%20Letter_MaaS360_DoC_07.14.17.pdf?api=v2</t>
  </si>
  <si>
    <t>FY17-161</t>
  </si>
  <si>
    <t>https://community.max.gov/download/attachments/992346706/ATO%20Letter_MSO365_DoC_07.14.17.pdf?api=v2</t>
  </si>
  <si>
    <t>FY17-162</t>
  </si>
  <si>
    <t>https://community.max.gov/download/attachments/992346701/ATO%20Letter_MicroPact_DoC_06.12.17.pdf?api=v2</t>
  </si>
  <si>
    <t>FY17-163</t>
  </si>
  <si>
    <t>mLINQS</t>
  </si>
  <si>
    <t>mLINQS Hosting Service</t>
  </si>
  <si>
    <t>F1610037949</t>
  </si>
  <si>
    <t>William Maglin</t>
  </si>
  <si>
    <t>https://community.max.gov/x/XofzRQ</t>
  </si>
  <si>
    <t>https://community.max.gov/download/attachments/1094157332/ATO.Letter_mLINQS_DoT_IRS_08.11.17.pdf?api=v2</t>
  </si>
  <si>
    <t>Greg McIntyre</t>
  </si>
  <si>
    <t>greg.mcintyre@mlinqs.net</t>
  </si>
  <si>
    <t>http://mlinqs.net</t>
  </si>
  <si>
    <t>Since 2004, more than 30 federal agencies have trusted moveLINQ to process thousands of employee moves annually. As the first comprehensive, fully functional system designed expressly for government agencies to manage employee relocation, that trust is well founded. Agencies can be confident that every relocation processed using moveLINQ will be in full compliance. The software automates FTR, JTR, DSSR, and 6FAM CONUS/OCONUS relocation policy, and adheres to E-Gov Travel, GSA/OMB reporting, and Section 508 standards.
Now mLINQS offers its leading relocation management on a hosted platform. As with other hosted solutions, this Software as a Service (SaaS) model provides agencies higher availability at a lower cost. Federal managers are able to focus their budgets on business objectives rather than infrastructure and the need to predict and meet future capacity. By leveraging efficiencies attained by hosting multiple federal agencies, mLINQS Hosting Services provides increased scalability and flexibility while increasing support services to customers.</t>
  </si>
  <si>
    <t>https://marketplace.fedramp.gov/img/logos/CSP_logos/mLINQS%20Logo.jpg</t>
  </si>
  <si>
    <t>FY17-164</t>
  </si>
  <si>
    <t>Sarah Shores</t>
  </si>
  <si>
    <t>https://community.max.gov/download/attachments/1115488742/ATO%20Letter_AWSEW_DoT_FHA_02.27.17.pdf?api=v2</t>
  </si>
  <si>
    <t>FY17-165</t>
  </si>
  <si>
    <t>https://community.max.gov/download/attachments/992346725/ATO%20Letter_Salesforce_DoT_FHA_11.30.16.pdf?api=v2</t>
  </si>
  <si>
    <t>FY17-166</t>
  </si>
  <si>
    <t>Los Alamos National Laboratory</t>
  </si>
  <si>
    <t>Dale Leschnitzer</t>
  </si>
  <si>
    <t>https://community.max.gov/download/attachments/1531087274/ATO%20Letter_Google_DoE_LANL_01.27.17.PDF?api=v2</t>
  </si>
  <si>
    <t>FY17-167</t>
  </si>
  <si>
    <t>James Gwinn &amp; Richard Klemmer</t>
  </si>
  <si>
    <t>https://community.max.gov/download/attachments/992346706/ATO%20Letter_MSO365_DoC_FirstNet_09.14.17.pdf?api=v2</t>
  </si>
  <si>
    <t>FY17-168</t>
  </si>
  <si>
    <t>https://community.max.gov/download/attachments/1155203596/ATO%20Letter_MaaS360_DoC_FirstNet_09.14.17.pdf?api=v2</t>
  </si>
  <si>
    <t>FY17-169</t>
  </si>
  <si>
    <t>https://community.max.gov/download/attachments/992346725/ATO%20Letter_Salesforce_DoJ_USMS_08.30.17.pdf?api=v2</t>
  </si>
  <si>
    <t>FY17-170</t>
  </si>
  <si>
    <t>https://community.max.gov/download/attachments/1155203762/ATO%20Letter_OracleFMCS_HUD_09.18.17.PDF?api=v2</t>
  </si>
  <si>
    <t>FY17-171</t>
  </si>
  <si>
    <t>https://community.max.gov/download/attachments/1293687616/ATO%20Letter_Virtustream_DoT_OCC_03.31.17.pdf?api=v2</t>
  </si>
  <si>
    <t>FY17-172</t>
  </si>
  <si>
    <t>Accenture Insights Platform (AIP) For Government</t>
  </si>
  <si>
    <t>FR1704369518</t>
  </si>
  <si>
    <t>https://community.max.gov/x/K5H-Rw</t>
  </si>
  <si>
    <t>https://community.max.gov/download/attachments/1331561074/P-ATO_Accenture_AIP_09.22.17.pdf?api=v2</t>
  </si>
  <si>
    <t>Dorothy Swanson</t>
  </si>
  <si>
    <t>https://www.accenture.com/us-en/insight-accenture-insights-platform</t>
  </si>
  <si>
    <t>The Accenture Insight Platform (AIP), addresses the unique Advanced Analytics needs of U.S. federal agencies, helping them transform Big Data into actionable insight and mission impact faster.  This Analytics-as-a-Service brings together best-of-breed software and pre-built accelerators to speed the development and deployment of agency, mission and function specific solutions. AIP meets at the intersection of technology and business-helping Government Agencies become insights-driven organizations. The Accenture Insights Platform is fast, flexible and scalable-ready to transform Agency’s performance in weeks, not years.</t>
  </si>
  <si>
    <t>FY17-173</t>
  </si>
  <si>
    <t>John Owens</t>
  </si>
  <si>
    <t>https://community.max.gov/download/attachments/1115488742/ATO%20Letter_AWSEW_DoC_USPTO_01.19.17.pdf?api=v2</t>
  </si>
  <si>
    <t>FY17-174</t>
  </si>
  <si>
    <t>Justice Management Division</t>
  </si>
  <si>
    <t>Daniel McCrae</t>
  </si>
  <si>
    <t>https://community.max.gov/download/attachments/992346635/ATO%20Letter_Blackberry_DoJ_JMD_09.27.17.pdf?api=v2</t>
  </si>
  <si>
    <t>FY17-175</t>
  </si>
  <si>
    <t>https://community.max.gov/download/attachments/1155204218/P-ATO_MSAzureCommerical_09.25.17.pdf?api=v2</t>
  </si>
  <si>
    <t>Microsoft Azure Commercial Cloud is an open and flexible cloud platform that enables customers to quickly build, test, deploy, and manage their applications, services, and product development across a network of Microsoft-managed datacenters within the United States. The Microsoft Azure platform exports savings to the customer by delivering the software, platform, and IT infrastructure resources where and when it is needed via the Internet.  Microsoft Azure provides a multi-tenant public cloud services platform that offers functionality to support capacities such as Platform as a Service (PaaS), and Infrastructure as a Service (IaaS) cloud service models.  Azure maintains a P-ATO at the Moderate Impact Level.  Azure was the first public cloud with IaaS and PaaS services to receive a JAB P-ATO.
For additional information, visit the (Azure Trust Center)[https://www.microsoft.com/en-us/TrustCenter/Compliance/default.aspx] or refer to Azure FedRAMP Package ID# F1209051525.
The following Microsoft services are FedRAMP Authorized and approved by the JAB at the Moderate Impact Level: Azure Active Directory, Application Gateway, Cloud Services, Intune, Key Vault, Multi-Factor Authentication, Load Balancer, SQL Database, Storage, Traffic Manager, Virtual Machines, Virtual Network, and VPN Gateway.</t>
  </si>
  <si>
    <t>FY17-176</t>
  </si>
  <si>
    <t>https://community.max.gov/download/attachments/1155204218/P-ATO_MSAzureGov_09.25.17.pdf?api=v2</t>
  </si>
  <si>
    <t>Microsoft Azure Government is a government-community cloud that offers hyper-scale compute, storage, networking, and identity management services, with world-class security. A physically and network-isolated instance of Microsoft Azure, operated by screened U.S. citizens, Azure Government provides standards-compliant IaaS and PaaS that has now received a FedRAMP JAB P-ATO. All services are available immediately for supporting secure US government workloads, including CJIS, IRS 1075 FTI, HIPAA, DoD, and federal agency data.
The following Microsoft services are FedRAMP Authorized and approved by the JAB at the High Impact Level: API Management, App Service: API Apps, Mobile Apps, and Web Apps, App Service Linux: Web Apps Linux and Web Apps for Containers , Application Gateway, Automation, Azure Active Directory (Free and Basic), Azure Analysis Services, Azure Cosmos DB, Azure DevTest Labs, Azure DNS, Azure Information Protection, Azure Monitor, Azure Resource Manager, Backup, Batch, Cloud Services, Cosmos DB, Event Hubs, ExpressRoute, Express v2, Functions, HDInsight, Import/Export, Intune, IoT Hub, Key Vault, Load Balancer, Log Analytics, Logic Apps, Marketplace, Media Services, Microsoft Azure Portal, Multi-Factor Authentication, Network Infrastructure, Network Performance Monitor, Network Watcher, Notification Hubs, Power BI, Redis Cache, Scheduler, Service Bus, Service Fabric, Site Recovery, SQL Data Warehouse, SQL Database, SQL Server Stretch Database, Storage (Blobs, Disks, Files, Queues, Tables) including Cool and Premium Storage, StorSimple, Traffic Manager, Virtual Machines, Virtual Machine Scale Sets, Virtual Network, VPN Gateway, Workflow, and supporting infrastructure and platform services</t>
  </si>
  <si>
    <t>FY17-177</t>
  </si>
  <si>
    <t>https://community.max.gov/download/attachments/1035338333/ATO%20Letter_Box_HHS_FDA_09.29.17.pdf?api=v2</t>
  </si>
  <si>
    <t>FY17-178</t>
  </si>
  <si>
    <t>https://community.max.gov/download/attachments/882934025/Challenge.gov%201%20Year%20LATO%2020170926.pdf?api=v2</t>
  </si>
  <si>
    <t>FY17-179</t>
  </si>
  <si>
    <t>United States Access Board</t>
  </si>
  <si>
    <t>Charles Washington</t>
  </si>
  <si>
    <t>https://community.max.gov/download/attachments/1557595208/ATO.Letter_1901_USAB_08.29.17.pdf?api=v2</t>
  </si>
  <si>
    <t>https://marketplace.fedramp.gov/img/logos/Agency_logos/USAB%20Logo.jpg</t>
  </si>
  <si>
    <t>FY17-180</t>
  </si>
  <si>
    <t>https://community.max.gov/download/attachments/1155203715/ATO%20Letter_IT-CNP_USAID_11.09.16.pdf?api=v2</t>
  </si>
  <si>
    <t>FY17-181</t>
  </si>
  <si>
    <t>https://community.max.gov/download/attachments/992346725/ATO%20Letter_Salesforce_DoC_NIST_12.07.16.pdf?api=v2</t>
  </si>
  <si>
    <t>FY17-182</t>
  </si>
  <si>
    <t>https://community.max.gov/download/attachments/1155204218/ATO%20Letter_MSAG_DoJ_JMD_08.24.17.PDF?api=v2</t>
  </si>
  <si>
    <t>FY17-183</t>
  </si>
  <si>
    <t>https://community.max.gov/download/attachments/1531087274/ATO.Letter_Google_DoC_USPTO_11.27.16.pdf?api=v2</t>
  </si>
  <si>
    <t>FY17-184</t>
  </si>
  <si>
    <t>https://community.max.gov/download/attachments/1256458242/ATO.Letter_MSAzure_DoC_USPTO_08.02.17.pdf?api=v2</t>
  </si>
  <si>
    <t>FY17-185</t>
  </si>
  <si>
    <t>https://community.max.gov/download/attachments/780173411/ATO.Letter_MSO365_DoC_USPTO_08.02.17.pdf?api=v2</t>
  </si>
  <si>
    <t>FY17-186</t>
  </si>
  <si>
    <t>https://community.max.gov/download/attachments/777093308/ATO.Letter_MicroPact_DoC_USPTO_07.31.17.pdf?api=v2</t>
  </si>
  <si>
    <t>FY17-187</t>
  </si>
  <si>
    <t>https://community.max.gov/download/attachments/777093308/ATO.Letter_MicroPact_DoC_USPTO_05.31.17.pdf?api=v2</t>
  </si>
  <si>
    <t>FY17-188</t>
  </si>
  <si>
    <t>Rajive Mathur</t>
  </si>
  <si>
    <t>https://community.max.gov/download/attachments/1115488742/ATO.Letter_AWSEW_SSA_07.06.17.pdf?api=v2</t>
  </si>
  <si>
    <t>FY17-189</t>
  </si>
  <si>
    <t>Davene Barton</t>
  </si>
  <si>
    <t>https://community.max.gov/download/attachments/1155203837/ATO.Letter_ServiceNow_HHS_ACF_11.24.16.pdf?api=v2</t>
  </si>
  <si>
    <t>FY17-190</t>
  </si>
  <si>
    <t>https://community.max.gov/download/attachments/921272705/ATO.Letter_AEMMSGC_DoED_12.15.16.pdf?api=v2</t>
  </si>
  <si>
    <t>FY17-191</t>
  </si>
  <si>
    <t>https://community.max.gov/download/attachments/1155204218/ATO.Letter_MSAzure_DoED_08.03.17.pdf?api=v2</t>
  </si>
  <si>
    <t>FY17-192</t>
  </si>
  <si>
    <t>https://community.max.gov/download/attachments/952697705/PH%20eSignLive%20accreditation%20decision.pdf?api=v2</t>
  </si>
  <si>
    <t>FY17-193</t>
  </si>
  <si>
    <t>https://community.max.gov/download/attachments/1531087271/ATO.Letter_Google_DoC_NIST_02.17.17.pdf?api=v2</t>
  </si>
  <si>
    <t>FY17-194</t>
  </si>
  <si>
    <t>https://community.max.gov/download/attachments/1035338333/ATO.Letter_Box_DoC_NIST_02.17.17.pdf?api=v2</t>
  </si>
  <si>
    <t>FY17-195</t>
  </si>
  <si>
    <t>https://community.max.gov/download/attachments/992346706/ATO.Letter_MSO365_PBGC_09.22.17.pdf?api=v2</t>
  </si>
  <si>
    <t>FY17-196</t>
  </si>
  <si>
    <t>Joseph Gioeli</t>
  </si>
  <si>
    <t>https://community.max.gov/download/attachments/992346701/ATO.Letter_MicroPact_DoT_USMint_09.27.17.pdf?api=v2</t>
  </si>
  <si>
    <t>FY17-197</t>
  </si>
  <si>
    <t>https://community.max.gov/download/attachments/1155203837/ATO.Letter_ServiceNow_DoS_01.26.17.pdf?api=v2</t>
  </si>
  <si>
    <t>FY17-198</t>
  </si>
  <si>
    <t>https://community.max.gov/download/attachments/1113425425/ATO.Letter_AWSGC_DoT_FAA_09.13.17.pdf?api=v2</t>
  </si>
  <si>
    <t>FY17-199</t>
  </si>
  <si>
    <t>Federal Law Enforcement Training Centers</t>
  </si>
  <si>
    <t>James Gregorius</t>
  </si>
  <si>
    <t>https://community.max.gov/download/attachments/1155203654/ATO.Letter_IBMSCG_DHS_FLETC_08.21.17.PDF?api=v2</t>
  </si>
  <si>
    <t>FY17-200</t>
  </si>
  <si>
    <t>https://community.max.gov/download/attachments/1155204011/ATO.Letter_Softlayer_DHS_FLETC_08.21.17.PDF?api=v2</t>
  </si>
  <si>
    <t>FY17-201</t>
  </si>
  <si>
    <t>Melanie Boteler</t>
  </si>
  <si>
    <t>https://community.max.gov/download/attachments/992346693/ATO.Letter_DoT_FAA_Huddle_9.29.17.pdf?api=v2</t>
  </si>
  <si>
    <t>FY17-202</t>
  </si>
  <si>
    <t>https://community.max.gov/download/attachments/952697705/CEN26%20ADSD%20eSignLive.pdf?api=v2</t>
  </si>
  <si>
    <t>FY17-203</t>
  </si>
  <si>
    <t>Renee Macklin</t>
  </si>
  <si>
    <t>https://community.max.gov/download/attachments/1155203837/ATO.Letter_DoC_ServiceNow_12.12.16.pdf?api=v2</t>
  </si>
  <si>
    <t>FY17-204</t>
  </si>
  <si>
    <t>SAP NS2 Cloud - SuccessFactors HCM Suite for Government</t>
  </si>
  <si>
    <t>FR1719841002</t>
  </si>
  <si>
    <t>https://community.max.gov/x/XYIVPQ</t>
  </si>
  <si>
    <t>https://community.max.gov/download/attachments/1356301811/ATO.Letter_SAPNS2_DOJ_JMD_8.2.17.pdf?api=v2</t>
  </si>
  <si>
    <t>FY17-205</t>
  </si>
  <si>
    <t>Defense Logistics Agency</t>
  </si>
  <si>
    <t>https://community.max.gov/download/attachments/1279329441/ATO.Letter_SAPNS2DoD_DOD_DLA_6.22.17.pdf?api=v2</t>
  </si>
  <si>
    <t>FY17-206</t>
  </si>
  <si>
    <t>https://community.max.gov/download/attachments/1116602815/ATO.Letter_Akamai_DoT_8.1.17.pdf?api=v2</t>
  </si>
  <si>
    <t>FY17-207</t>
  </si>
  <si>
    <t>https://community.max.gov/download/attachments/1115488742/ATO.Letter_AWSEW_DoT_8.1.17.pdf?api=v2</t>
  </si>
  <si>
    <t>FY17-208</t>
  </si>
  <si>
    <t>https://community.max.gov/download/attachments/1113425425/ATO.Letter_AWSGC_DoT_8.1.17.pdf?api=v2</t>
  </si>
  <si>
    <t>FY17-209</t>
  </si>
  <si>
    <t>Complete Discovery Source</t>
  </si>
  <si>
    <t>Federal Cloud Discovery Services (FCDS)</t>
  </si>
  <si>
    <t>F1506246782</t>
  </si>
  <si>
    <t>Judith Starr</t>
  </si>
  <si>
    <t>https://community.max.gov/x/pgC6NQ</t>
  </si>
  <si>
    <t>https://community.max.gov/download/attachments/992346661/ATO.Letter_CDS_PBGC_7.19.17.pdf?api=v2</t>
  </si>
  <si>
    <t>Matthew Milone</t>
  </si>
  <si>
    <t>government@cdslegal.com</t>
  </si>
  <si>
    <t>www.cdslegal.com</t>
  </si>
  <si>
    <t>Complete Discovery Source (CDS) is a pioneer in the eDiscovery industry, providing litigation technology and hosting, advisory services, and managed services to support complex discovery matters. With a team of seasoned legal experts and technicians, we provide leading-edge technology, advanced analytics, and a secure, scalable infrastructure to support the data initiatives of State and Federal agencies and departments. CDS is the first choice of the Am Law 100 and Fortune 500 and is recognized as Best in End-to-End eDiscovery by the National Law Journal and New York Law Journal. CDS supports more than 25 eDiscovery technologies including Relativity and Clearwell. CDS is headquartered in New York with regional offices in Washington DC, Chicago, and Houston. The company maintains highly secure ISO 27001 certified hosting and SSAE 16 Type 2 audited data centers in the US and EU.</t>
  </si>
  <si>
    <t>ATO is from FY17 but was FedRAMP Authorized in FY18</t>
  </si>
  <si>
    <t>https://marketplace.fedramp.gov/img/logos/CSP_logos/CDS%20Logo.jpg</t>
  </si>
  <si>
    <t>FY17-210</t>
  </si>
  <si>
    <t>Jon Holladay</t>
  </si>
  <si>
    <t>https://community.max.gov/download/attachments/1155204052/ATO.Letter_Virtustream_USDA_11.10.16.pdf?api=v2</t>
  </si>
  <si>
    <t>FY17-211</t>
  </si>
  <si>
    <t>https://community.max.gov/download/attachments/1155204052/ATO.Letter_Virtustream2_USDA_11.10.16.pdf?api=v2</t>
  </si>
  <si>
    <t>FY17-212</t>
  </si>
  <si>
    <t>Northrop Grumman</t>
  </si>
  <si>
    <t>Northrop Grumman Cloud Platform</t>
  </si>
  <si>
    <t>FR1716961549</t>
  </si>
  <si>
    <t>Andre Mendes</t>
  </si>
  <si>
    <t>https://community.max.gov/x/TAQeSQ</t>
  </si>
  <si>
    <t>https://community.max.gov/download/attachments/1226703953/ATO.Letter_NG_BBG_04.03.17.pdf?api=v2</t>
  </si>
  <si>
    <t>Tim Braun</t>
  </si>
  <si>
    <t>NGCPaaS@ngc.com</t>
  </si>
  <si>
    <t>www.northropgrumman.com</t>
  </si>
  <si>
    <t>The Northrop Grumman Cloud Platform (NGCP) is as a FedRAMP compliant Platform-as-a-Service (PaaS) where it deploys multiple Software-as-a-Service (SaaS) solutions to federal, state and commercial customers. Initially, this includes three Application Modules: Employee Performance Management (ePerformance), Environmental Program Information Management System (EPIMS) / Enterprise Environmental Safety &amp; Occupational Health (EESOH) system, and e.POWER for Business Process Management. Northrop Grumman is deploying multiple NG SaaS products on the same re-usable framework.</t>
  </si>
  <si>
    <t>https://marketplace.fedramp.gov/img/logos/CSP_logos/Northrop%20Grumman%20Logo.jpg</t>
  </si>
  <si>
    <t>https://marketplace.fedramp.gov/img/logos/Agency_logos/BBG%20Logo.jpg</t>
  </si>
  <si>
    <t>FY17-213</t>
  </si>
  <si>
    <t>Sagar Samant</t>
  </si>
  <si>
    <t>https://community.max.gov/download/attachments/1155203715/ATO.Letter_IT-CNP_GSA_9.28.17.pdf?api=v2</t>
  </si>
  <si>
    <t>FY17-214</t>
  </si>
  <si>
    <t>https://community.max.gov/download/attachments/992346706/ATO.Letter_MSO365_DoC_NIST_2.14.17.pdf?api=v2</t>
  </si>
  <si>
    <t>FY17-215</t>
  </si>
  <si>
    <t>NICE inContact</t>
  </si>
  <si>
    <t>NICE inContact CXone Customer Experience Platform</t>
  </si>
  <si>
    <t>FR1704655535</t>
  </si>
  <si>
    <t>Ronald Stephens</t>
  </si>
  <si>
    <t>https://community.max.gov/x/Kg1nTQ</t>
  </si>
  <si>
    <t>https://community.max.gov/download/attachments/717688549/ATO.Letter_inContact_DoD_Army_8.22.17.pdf?api=v2</t>
  </si>
  <si>
    <t>Chris Romeo</t>
  </si>
  <si>
    <t>chris.romeo@niceincontact.com</t>
  </si>
  <si>
    <t xml:space="preserve"> www.niceincontact.com/FedRAMP-compliant-contact-center</t>
  </si>
  <si>
    <t>NICE inContact is the cloud contact center software leader, with the most complete, easiest and most reliable solution to help organizations achieve their customer experience goals. Recognized as a market leader by Gartner, IDC, Frost &amp; Sullivan, Ovum and DMG, NICE inContact continuously innovates in the cloud and is the only provider to offer a complete solution that includes NICE inContact CXone cloud, an expert service model and the broadest partner ecosystem. NICE inContact CXone combines best-in-class Omnichannel Routing, Workforce Optimization, Analytics, Automation and Artificial Intelligence—all on an Open Cloud Foundation. [www.niceincontact.com](www.niceincontact.com)</t>
  </si>
  <si>
    <t>https://marketplace.fedramp.gov/img/logos/CSP_logos/NICE%20inContact%20Logo.jpg</t>
  </si>
  <si>
    <t>FY17-216</t>
  </si>
  <si>
    <t>https://community.max.gov/download/attachments/1155203837/ATO.Letter_ServiceNow_DoC_ITA_10.12.16.pdf?api=v2</t>
  </si>
  <si>
    <t>FY17-217</t>
  </si>
  <si>
    <t>https://community.max.gov/download/attachments/1115488742/ATO.Letter_AWSEW_DoC_ITA_11.7.16.pdf?api=v2</t>
  </si>
  <si>
    <t>FY17-218</t>
  </si>
  <si>
    <t>https://community.max.gov/download/attachments/992346706/ATO.Letter_MSO365_DoC_ITA_3.31.17.pdf?api=v2</t>
  </si>
  <si>
    <t>FY17-219</t>
  </si>
  <si>
    <t>Renee Wynn</t>
  </si>
  <si>
    <t>https://community.max.gov/download/attachments/948798674/ATO.Letter_iSite_NASA_09.29.17.pdf?api=v2</t>
  </si>
  <si>
    <t>marketing@isitellc.com</t>
  </si>
  <si>
    <t>www.isitellc.com</t>
  </si>
  <si>
    <t>FY17-220</t>
  </si>
  <si>
    <t>Russell Roberts</t>
  </si>
  <si>
    <t>https://community.max.gov/download/attachments/992346665/ATO.Letter_CoSo_DHS_TSA_8.26.17.pdf?api=v2</t>
  </si>
  <si>
    <t>FY17-221</t>
  </si>
  <si>
    <t>https://community.max.gov/download/attachments/1035338333/ATO.Letter_Box_USDA_USFS_4.13.17.pdf?api=v2</t>
  </si>
  <si>
    <t>FY17-222</t>
  </si>
  <si>
    <t>https://community.max.gov/download/attachments/1113425425/ATO.Letter_AWSGC_USDA_8.30.17.pdf?api=v2</t>
  </si>
  <si>
    <t>FY17-223</t>
  </si>
  <si>
    <t>Lynn Moaney</t>
  </si>
  <si>
    <t>https://community.max.gov/download/attachments/1116602747/ATO.Letter_CGI_USDA_3.13.17.pdf?api=v2</t>
  </si>
  <si>
    <t>FY17-224</t>
  </si>
  <si>
    <t>Francisco Salguero</t>
  </si>
  <si>
    <t>https://community.max.gov/download/attachments/974717633/ATO.Letter_Proofpoint_USDA_10.11.17.pdf?api=v2</t>
  </si>
  <si>
    <t>FY17-225</t>
  </si>
  <si>
    <t>https://community.max.gov/download/attachments/1116602815/ATO.Letter_Akamai_USDA_9.13.17.pdf?api=v2</t>
  </si>
  <si>
    <t>FY17-226</t>
  </si>
  <si>
    <t>https://community.max.gov/download/attachments/992346725/ATO.Letter_Salesforce_HHS_1.25.18.pdf?api=v2</t>
  </si>
  <si>
    <t>ATO letter is dated 7/6/17. Letter linked here is a revised version requested by Salesforce and dated 1/25/18.</t>
  </si>
  <si>
    <t>FY17-227</t>
  </si>
  <si>
    <t>https://community.max.gov/download/attachments/1162777036/ATO.Letter_SpringCM_USDA_7.13.17.pdf?api=v2</t>
  </si>
  <si>
    <t>FY17-228</t>
  </si>
  <si>
    <t>Jerry Golley</t>
  </si>
  <si>
    <t>https://community.max.gov/download/attachments/992346672/ATO.Letter_EdgeHosting_FCA_FCSIC_09.29.17.PDF?api=v2</t>
  </si>
  <si>
    <t>Edge’s CloudPlus transforms traditional enterprise applications delivering secure FedRAMP complaint 100% uptime cloud hosting solutions.  Focused on public, dedicated private, and hybrid Cloud computing platforms designed to meet a wide range regulatory requirements including FISMA, FedRAMP, HIPAA and PCI.
SaaS providers, federal agencies and System Integrators who require FedRAMP can significantly lower operating costs, eliminate capital expenditures and drastically improve service delivery at a predictable monthly cost. By combining the latest scalable Cloud technology Edge can you reduce the time it takes to adopt new cloud IT capabilities. CloudPlus delivers highly availability and secured cloud hosting, which includes monitoring, backups and recovery and 24x7x365 technical support.
CloudPlus includes all of the hardware infrastructure, software licenses, bandwidth, load balancers, clustering infrastructure, storage, security software and tools along with the experts responsible for installing, configuring and maintaining global scale application platforms with support for the majority of Windows and Linux application stacks and database platforms.
Partnered with a number of purchasing vehicles to make cloud procurement easy.</t>
  </si>
  <si>
    <t>FY17-229</t>
  </si>
  <si>
    <t>Vu Nguyen</t>
  </si>
  <si>
    <t>https://community.max.gov/download/attachments/1155203837/ATO.Letter_ServiceNow_DHS_USCIS_9.29.17.pdf?api=v2</t>
  </si>
  <si>
    <t>FY17-230</t>
  </si>
  <si>
    <t>Michael Fijalka</t>
  </si>
  <si>
    <t>https://community.max.gov/download/attachments/1153174344/ATO.Letter_Rackspace_DHS_USCG_12.22.16.pdf?api=v2</t>
  </si>
  <si>
    <t>FY18-001</t>
  </si>
  <si>
    <t xml:space="preserve">Druva, Inc. </t>
  </si>
  <si>
    <t>Druva inSync</t>
  </si>
  <si>
    <t>F1507136931</t>
  </si>
  <si>
    <t>National Cancer Institute</t>
  </si>
  <si>
    <t>Jeff Shilling</t>
  </si>
  <si>
    <t>https://community.max.gov/x/BgL0Pg</t>
  </si>
  <si>
    <t>https://community.max.gov/download/attachments/1056178707/ATO.Letter_Druva_HHS_NCI_10.16.17.pdf?api=v2</t>
  </si>
  <si>
    <t>Druva FedRAMP Team</t>
  </si>
  <si>
    <t>fedramp@druva.com</t>
  </si>
  <si>
    <t>www.druva.com</t>
  </si>
  <si>
    <t>Druva is the leader in cloud backup, data protection, and information management, leveraging the AWS GovCloud to offer a single pane of glass to protect, preserve and discover information - dramatically increasing the availability and visibility of business critical information, while reducing the risk, cost and complexity of managing and protecting it.  Druva’s award-winning solutions intelligently collect data, and unify backup, disaster recovery, archival and governance capabilities onto a single, optimized data set.   As the industry's fastest growing data protection provider, Druva is trusted by over 4,000 global organizations and protects over 25 PB of data.</t>
  </si>
  <si>
    <t>https://marketplace.fedramp.gov/img/logos/CSP_logos/Druva%20Logo.jpg</t>
  </si>
  <si>
    <t>FY18-002</t>
  </si>
  <si>
    <t>IdeaScale</t>
  </si>
  <si>
    <t>IdeaScale Gov</t>
  </si>
  <si>
    <t>F1512017638</t>
  </si>
  <si>
    <t>https://community.max.gov/x/eIbiS</t>
  </si>
  <si>
    <t>https://community.max.gov/download/attachments/700221105/ATO.Letter_IdeaScale_GSA_10.13.17.pdf?api=v2</t>
  </si>
  <si>
    <t>IdeaScale Security Team</t>
  </si>
  <si>
    <t>fedramp@ideascale.com</t>
  </si>
  <si>
    <t>www.ideascale.com</t>
  </si>
  <si>
    <t>IdeaScale is an innovation management SaaS provider that uses crowdsourcing to help organizations find and develop the next big thing, whether it's new policies and services or new cost-savings and employee engagement measures, IdeaScale allows organizations to solicit input from personnel and other stakeholders and collaboratively transform that input into actionable project plans.
The IdeaScale Gov offering provides these innovation management and crowdsourcing capabilities in a secure environment for federal agency use and benefit, allowing agencies to make the most of the collective knowledge of their numbers.</t>
  </si>
  <si>
    <t>https://marketplace.fedramp.gov/img/logos/CSP_logos/Ideascale%20Logo.jpg</t>
  </si>
  <si>
    <t>FY18-003</t>
  </si>
  <si>
    <t>Howard Whyte</t>
  </si>
  <si>
    <t>https://community.max.gov/download/attachments/992346725/ATO.Letter_Salesforce_FDIC_10.25.17.pdf?api=v2</t>
  </si>
  <si>
    <t>FY18-004</t>
  </si>
  <si>
    <t>https://community.max.gov/download/attachments/992346731/ATO.Letter_TreasuryWC2_DoD_DISA_10.29.17.PDF?api=v2</t>
  </si>
  <si>
    <t>FY18-005</t>
  </si>
  <si>
    <t>https://community.max.gov/download/attachments/1097467326/ATO.Letter_AWSGC_CIGIE_10.31.17.pdf?api=v2</t>
  </si>
  <si>
    <t>FY18-006</t>
  </si>
  <si>
    <t>https://community.max.gov/download/attachments/882934025/Sites.usa.gov%201%20Year%20LATO%20SAA%20Memo%2020171031.pdf?api=v2</t>
  </si>
  <si>
    <t>FY18-007</t>
  </si>
  <si>
    <t>https://community.max.gov/download/attachments/1181253908/ATO.Letter_Skyhigh_DoC_NIST_10.26.17.pdf?api=v2</t>
  </si>
  <si>
    <t>Skyhigh Cloud Access Security Broker for Government provides a Software as a Service (SaaS) offering which helps agencies gain visibility into their cloud usage and risks, meet compliance requirements, enforce security policies, and detect and respond to potential threats.
Using Skyhigh, agencies can:
* Discover all shadow cloud services employees use in place of agency-approved services and their risk
* Coach users on appropriate use of cloud services in real time and enforce risk-based access policies
* Detect and respond to data exfiltration, insider threats, and compromised accounts in cloud environments
* Perform forensic investigations with a complete audit trail of all user activity in the cloud
* Identify sensitive or regulated data in motion or at rest and enforce data loss prevention (DLP) policies
* Encrypt structured and unstructured data in the cloud using agency-controlled encryption keys</t>
  </si>
  <si>
    <t>FY18-008</t>
  </si>
  <si>
    <t>https://community.max.gov/download/attachments/1181253908/ATO.Letter_Skyhigh_NASA_10.26.17.pdf?api=v2</t>
  </si>
  <si>
    <t>FY18-009</t>
  </si>
  <si>
    <t>https://community.max.gov/download/attachments/1155203837/ATO.Letter_ServiceNow_DoT_OCC_10.30.17.pdf?api=v2</t>
  </si>
  <si>
    <t>FY18-010</t>
  </si>
  <si>
    <t>https://community.max.gov/download/attachments/1155204052/ATO.Letter_Virtustream_DoT_OCC_11.03.17.pdf?api=v2</t>
  </si>
  <si>
    <t>FY18-011</t>
  </si>
  <si>
    <t>https://community.max.gov/download/attachments/1115488742/ATO.Letter_AWSEW_DoJ_BOP_11.02.17.pdf?api=v2</t>
  </si>
  <si>
    <t>FY18-012</t>
  </si>
  <si>
    <t>Christopher Todd</t>
  </si>
  <si>
    <t>https://community.max.gov/download/attachments/1115488742/ATO.Letter_AWSEW_HHS_NIH_11.03.17.pdf?api=v2</t>
  </si>
  <si>
    <t>FY18-013</t>
  </si>
  <si>
    <t>https://community.max.gov/download/attachments/1097467326/ATO.Letter_AWSGCHigh_HHS_NIH_11.03.17.pdf?api=v2</t>
  </si>
  <si>
    <t>FY18-014</t>
  </si>
  <si>
    <t>https://community.max.gov/download/attachments/936118328/ATO.Letter_Acquia_HHS_NIH_11.03.17.pdf?api=v2</t>
  </si>
  <si>
    <t>FY18-015</t>
  </si>
  <si>
    <t>https://community.max.gov/download/attachments/1356301811/P-ATO_SAPNS2_11.13.17.pdf?api=v2</t>
  </si>
  <si>
    <t>The system provides Human Capital Management (HCM) capabilities using the commercial SAP SuccessFactors HCM Suite SaaS provided by SAP National Security Services (NS2) on FedRAMP authorized IaaS to meet U.S. Government requirements. (SAP NS2 HCM SaaS)</t>
  </si>
  <si>
    <t>FY18-016</t>
  </si>
  <si>
    <t>https://community.max.gov/download/attachments/1115488742/P-ATO_AWS_EW_11.13.17.pdf?api=v2</t>
  </si>
  <si>
    <t>Amazon US East/West is a multi-tenant public cloud for Federal, State and Local Government customers, as well as commercial customers, designed to meet a wide range of regulatory requirements, to include government compliance and security requirements. AWS leverages the Infrastructure-as-a-Service (IaaS) cloud computing model, which enables convenient, on-demand Internet access to a shared pool of configurable computing resources such as servers, storage, network infrastructure, and various other web services. Customers can rapidly provision or release computing resources on demand.
The following AWS services are FedRAMP Authorized and approved by the JAB: AWS CloudFormation, AWS CloudTrail, Amazon CloudWatch Logs, Amazon DynamoDB, Amazon Elastic Book Storage, Amazon Elastic Compute Cloud (EC2), Amazon Elastic MapReduce (EMR), Amazon Glacier, AWS Identity and Access Management (IAM), Amazon Kinesis Streams, Amazon KMS, Amazon RDS (Aurora, PostgresSQL, MySQL, Oracle), Amazon Redshift, Amazon Simple Storage Service (S3), Amazon SNS, Amazon SQS, Amazon SWF, Amazon Virtual Private Cloud (VPC), API Gateway, Cloud Directory/Directory Services, Cognito, Config, Database Migration Service (DMS), Elasticache, Inspector, Lambda, Macie, QuickSight, Route 53, Shield Advance, Web Application Firewall (WAF)</t>
  </si>
  <si>
    <t>11/13/17: Made announcement date 2013 to keep date the same on Marketplace.</t>
  </si>
  <si>
    <t>FY18-017</t>
  </si>
  <si>
    <t>PTC</t>
  </si>
  <si>
    <t>PTC Cloud Services</t>
  </si>
  <si>
    <t>F1608097919</t>
  </si>
  <si>
    <t>Kevin Window</t>
  </si>
  <si>
    <t>https://community.max.gov/x/mIbtR</t>
  </si>
  <si>
    <t>https://community.max.gov/download/attachments/1420429605/PTC%20CS%20A1%20ISPP%2001%20NASA%20ATO%20v3.0.pdf?api=v2</t>
  </si>
  <si>
    <t>Tom Wollard</t>
  </si>
  <si>
    <t>twollard@ptc.com</t>
  </si>
  <si>
    <t>www.ptc.com/services/cloud</t>
  </si>
  <si>
    <t>https://marketplace.fedramp.gov/img/logos/CSP_logos/PTC%20Logo.jpg</t>
  </si>
  <si>
    <t>FY18-018</t>
  </si>
  <si>
    <t>https://community.max.gov/download/attachments/992346706/ATO.Letter_MSO365_DoD_DISA_12.03.17.pdf?api=v2</t>
  </si>
  <si>
    <t>FY18-019</t>
  </si>
  <si>
    <t>Cisco Cloudlock for Government</t>
  </si>
  <si>
    <t>F1605107897</t>
  </si>
  <si>
    <t>https://community.max.gov/x/MYTuTg</t>
  </si>
  <si>
    <t>https://community.max.gov/download/attachments/1324254280/ATO.Letter_Cloudlock_GSA_11.14.17.pdf?api=v2</t>
  </si>
  <si>
    <t>Ian Riopel</t>
  </si>
  <si>
    <t>cisco.cloudlock-fedramp@cisco.com</t>
  </si>
  <si>
    <t>www.cloudlock.com</t>
  </si>
  <si>
    <t>Cisco Cloudlock is the cloud-native Cloud Access Security Broker (CASB) that helps accelerate use of the cloud. Cisco Cloudlock secures your cloud users, data, and apps, combating account compromises, data breaches, and cloud app ecosystem risks, while facilitating compliance through a simple, open, and automated API-driven approach.
Cisco Cloudlock is a simple, open, and automated solution that combats cloud account compromises, malicious insiders, data breaches, compliance violations, and cloud app ecosystem risks. With crowd-sourced security analytics across billions of data points, advanced machine learning, and the data scientist-led CyberLab, Cisco Cloudlock provides actionable cybersecurity intelligence that provides visibility and control over the most critical cloud security risks.
**Cloud User Security:** Cross-platform User and Entity Behavior Analytics (UEBA) for SaaS, IaaS, PaaS, and IDaaS environments leverages advanced machine learning algorithms to detect anomalies. Cloudlock can also detect activities outside of whitelisted countries and actions across distances at impossible speeds. 
**Cloud Data Security:** Cloud Data Loss Prevention (DLP) continuously monitors cloud environments to detect and secure sensitive information through countless out-of-the-box policies as well as highly-tunable custom policies. Automated response actions can remediate risk in the event of a policy violation, including end-user notifications, encryption, transfer of ownership, quarantine, and more. 
**Cloud App Security:** The Cisco Cloudlock Apps Firewall discovers cloud apps connected via OAuth to your corporate environment, and provides a crowd-sourced Community Trust Rating for individual apps, as well as the ability to ban or whitelist them based on risk profile and access scope, increase employee awareness with email alerts, and revoke apps in bulk across the entire user base.</t>
  </si>
  <si>
    <t>https://marketplace.fedramp.gov/img/logos/CSP_logos/CloudLock%20Logo.jpg</t>
  </si>
  <si>
    <t>AGENCYAMAZONEW, F1508207205, F1206081364, FR1805751477</t>
  </si>
  <si>
    <t>FY18-020</t>
  </si>
  <si>
    <t>https://community.max.gov/download/attachments/930415021/USPS%20-%20IHRS%20Certification%20and%20Accreditation%20Letter%20signed.pdf?api=v2</t>
  </si>
  <si>
    <t>FY18-021</t>
  </si>
  <si>
    <t>Susan Simon</t>
  </si>
  <si>
    <t>https://community.max.gov/download/attachments/1155203837/ATO.Letter_ServiceNow_DoT_IRS_12.08.17.pdf?api=v2</t>
  </si>
  <si>
    <t>FY18-022</t>
  </si>
  <si>
    <t>Bureau of Public Affairs</t>
  </si>
  <si>
    <t>Carol Carter</t>
  </si>
  <si>
    <t>https://community.max.gov/download/attachments/1155203545/ATO.Letter_GovDelivery_DoS_BPA_12.14.17.pdf?api=v2</t>
  </si>
  <si>
    <t>FY18-023</t>
  </si>
  <si>
    <t>https://community.max.gov/download/attachments/774439992/ATO.Letter_IBMCMSG_DoD_USAFRICOM_12.14.17.pdf?api=v2</t>
  </si>
  <si>
    <t>FY18-024</t>
  </si>
  <si>
    <t>https://community.max.gov/download/attachments/780173411/ATO.Letter_DoT_OCC_MSO365_12.21.17.pdf?api=v2</t>
  </si>
  <si>
    <t>FY18-025</t>
  </si>
  <si>
    <t>Ann Kim</t>
  </si>
  <si>
    <t>https://community.max.gov/download/attachments/1115488742/ATO.Letter_DoED_AWSEW_12.18.17.pdf?api=v2</t>
  </si>
  <si>
    <t>FY18-026</t>
  </si>
  <si>
    <t>https://community.max.gov/download/attachments/1097467326/ATO.Letter_DoED_AWSGCHigh_12.18.17.pdf?api=v2</t>
  </si>
  <si>
    <t>FY18-027</t>
  </si>
  <si>
    <t>https://community.max.gov/download/attachments/1115488742/ATO.Letter_DoT_FAA_AWSEW_11.9.17.pdf?api=v2</t>
  </si>
  <si>
    <t>FY18-028</t>
  </si>
  <si>
    <t>https://community.max.gov/download/attachments/992346635/ATO.Letter_DoE_Blackberry_11.30.17.pdf?api=v2</t>
  </si>
  <si>
    <t>FY18-029</t>
  </si>
  <si>
    <t>David Chiles</t>
  </si>
  <si>
    <t>https://community.max.gov/download/attachments/1531087271/ATO.Letter_Google_DoC_USPTO_11.24.17.pdf?api=v2</t>
  </si>
  <si>
    <t>FY18-030</t>
  </si>
  <si>
    <t>https://community.max.gov/download/attachments/1115488742/ATO.Letter_AWSEW_DoC_USPTO_1.9.18.pdf?api=v2</t>
  </si>
  <si>
    <t>FY18-031</t>
  </si>
  <si>
    <t>Suzanne Tosini</t>
  </si>
  <si>
    <t>https://community.max.gov/download/attachments/1155203837/ATO.Letter_ServiceNow_FRTIB_12.28.17.pdf?api=v2</t>
  </si>
  <si>
    <t>FY18-032</t>
  </si>
  <si>
    <t>Charles Phalen</t>
  </si>
  <si>
    <t>https://community.max.gov/download/attachments/1155204092/ATO.Letter_ARC-P_OPM_1.18.18.pdf?api=v2</t>
  </si>
  <si>
    <t>FY18-033</t>
  </si>
  <si>
    <t>James Anderson</t>
  </si>
  <si>
    <t>https://community.max.gov/download/attachments/1035338333/ATO.Letter_Box_DoE_NNSA_LLNL_1.10.18.pdf?api=v2</t>
  </si>
  <si>
    <t>FY18-034</t>
  </si>
  <si>
    <t>https://community.max.gov/download/attachments/992346725/ATO.Letter_Salesforce_DoL_11.28.17.pdf?api=v2</t>
  </si>
  <si>
    <t>FY18-035</t>
  </si>
  <si>
    <t>Southwestern Power Administration</t>
  </si>
  <si>
    <t>Steve Wall</t>
  </si>
  <si>
    <t>https://community.max.gov/download/attachments/1155203837/ATO.Letter_ServiceNow_DoE_SWPA_1.28.17.pdf?api=v2</t>
  </si>
  <si>
    <t>FY18-036</t>
  </si>
  <si>
    <t>https://community.max.gov/download/attachments/992346725/ATO.Letter_Salesforce_DoD_DISA_1.21.18.pdf?api=v2</t>
  </si>
  <si>
    <t>FY18-037</t>
  </si>
  <si>
    <t>John Tkacik</t>
  </si>
  <si>
    <t>https://community.max.gov/download/attachments/981566003/ATO.Letter_Deloitte_DoT_IRS_2.2.18.pdf?api=v2</t>
  </si>
  <si>
    <t>FY18-038</t>
  </si>
  <si>
    <t>Nicoloas Totten</t>
  </si>
  <si>
    <t>https://community.max.gov/download/attachments/1500546130/ATO.Letter_SAPNS2_DoT_1.12.18.pdf?api=v2</t>
  </si>
  <si>
    <t>FY18-039</t>
  </si>
  <si>
    <t>https://community.max.gov/download/attachments/1356301811/ATO.Letter_SAPNS2_GSA_10.5.17.pdf?api=v2</t>
  </si>
  <si>
    <t>FY18-040</t>
  </si>
  <si>
    <t>https://community.max.gov/download/attachments/1356301811/ATO.Letter_SAPNS2_VA_1.11.18.pdf?api=v2</t>
  </si>
  <si>
    <t>FY18-041</t>
  </si>
  <si>
    <t>Washington Headquarters Services</t>
  </si>
  <si>
    <t>Lytwaive Hutchinson</t>
  </si>
  <si>
    <t>https://community.max.gov/download/attachments/1356301811/ATO.Letter_SAPNS2_DOD_WHS_2.2.18.pdf?api=v2</t>
  </si>
  <si>
    <t>Letter was received on 2/2/18. No date on letter so when with received date.</t>
  </si>
  <si>
    <t>FY18-042</t>
  </si>
  <si>
    <t>https://community.max.gov/download/attachments/1531087271/ATO.Letter_Google_DoE_LANL_1.17.18.pdf?api=v2</t>
  </si>
  <si>
    <t>FY18-043</t>
  </si>
  <si>
    <t>Jerold Gidner</t>
  </si>
  <si>
    <t>https://community.max.gov/download/attachments/1155203837/ATO.Letter_ServiceNow_DoI_OST_2.2.18.pdf?api=v2</t>
  </si>
  <si>
    <t>FY18-044</t>
  </si>
  <si>
    <t>https://community.max.gov/download/attachments/700221105/ATO.Letter_IdeaScale_HHS_FDA_2.12.18.pdf?api=v2</t>
  </si>
  <si>
    <t>FY18-045</t>
  </si>
  <si>
    <t>https://community.max.gov/download/attachments/1156417191/PTC%20CS%20A1%20ISPP%2001%20NASA%20ATO%20v%204.0.pdf?api=v2</t>
  </si>
  <si>
    <t>PTC Cloud Services offers a SaaS solution that provides PLM (Product Lifecycle Management), SLM (Service Lifecycle Management), and IoT (Internet of Things) tools.
The PTC SaaS solution provides a comprehensive suite of applications which allow its users to create and collaborate in a secure and reliable manner; sharing product development, operation, manufacturing, service and support information.
PTC Cloud Services enables you to focus on your mission while we rapidly deploy, manage and optimize your PTC solutions by providing PTC software expertise with a full breadth of coverage including application administration and platform management in a secure infrastructure.</t>
  </si>
  <si>
    <t>Original sponsor letter expired. This replaces FY18-017</t>
  </si>
  <si>
    <t>FY18-046</t>
  </si>
  <si>
    <t>Enterprise Compliance Management Solution (ECMS)</t>
  </si>
  <si>
    <t>FR1712036920</t>
  </si>
  <si>
    <t>https://community.max.gov/x/UYwxT</t>
  </si>
  <si>
    <t>https://community.max.gov/download/attachments/1520275924/ATO.Letter_TalaTek_PBGC_6.30.17.pdf?api=v2</t>
  </si>
  <si>
    <t>compliance@talatek.com</t>
  </si>
  <si>
    <t>https://marketplace.fedramp.gov/img/logos/CSP_logos/TalaTek%20Logo.jpg</t>
  </si>
  <si>
    <t>FY18-047</t>
  </si>
  <si>
    <t>https://community.max.gov/download/attachments/1155203837/ATO.Letter_ServiceNow_DoI_BSEE_2.12.18.pdf?api=v2</t>
  </si>
  <si>
    <t>FY18-048</t>
  </si>
  <si>
    <t>https://community.max.gov/download/attachments/992346725/ATO.Letter_Salesforce_EPA_12.12.17.pdf?api=v2</t>
  </si>
  <si>
    <t>FY18-049</t>
  </si>
  <si>
    <t>Pretrial Services Agency</t>
  </si>
  <si>
    <t>Dennis Caravantes</t>
  </si>
  <si>
    <t>https://community.max.gov/download/attachments/1356301811/ATO.Letter_SAPNS2_PSA_2.15.18.pdf?api=v2</t>
  </si>
  <si>
    <t>https://marketplace.fedramp.gov/img/logos/Agency_logos/PSA%20Logo.jpg</t>
  </si>
  <si>
    <t>FY18-050</t>
  </si>
  <si>
    <t>https://community.max.gov/download/attachments/1155203837/ATO.Letter_ServiceNow_FCC_12.20.17.pdf?api=v2</t>
  </si>
  <si>
    <t>FY18-051</t>
  </si>
  <si>
    <t>https://community.max.gov/download/attachments/1155203837/ATO.Letter_ServiceNow_DoJ_USMS_1.25.18.pdf?api=v2</t>
  </si>
  <si>
    <t>FY18-052</t>
  </si>
  <si>
    <t>https://community.max.gov/download/attachments/976290520/ATO.Letter_AirWatch_SSA_12.22.17.pdf?api=v2</t>
  </si>
  <si>
    <t>FY18-053</t>
  </si>
  <si>
    <t>https://community.max.gov/download/attachments/982024658/ATO.Letter_WebEx_DoE_LANL_2.27.18.pdf?api=v2</t>
  </si>
  <si>
    <t>FY18-054</t>
  </si>
  <si>
    <t>Lisa Williams</t>
  </si>
  <si>
    <t>https://community.max.gov/download/attachments/1155203360/ATO.Letter_EconSys_DoT_2.16.18.pdf?api=v2</t>
  </si>
  <si>
    <t>FY18-055</t>
  </si>
  <si>
    <t>Bryan Slater</t>
  </si>
  <si>
    <t>https://community.max.gov/download/attachments/992346706/ATO.Letter_MSO365_DoL_12.26.17.pdf?api=v2</t>
  </si>
  <si>
    <t>FY18-056</t>
  </si>
  <si>
    <t>https://community.max.gov/download/attachments/1155203596/ATO.Letter_MaaS360_DoL_12.26.17.pdf?api=v2</t>
  </si>
  <si>
    <t>FY18-057</t>
  </si>
  <si>
    <t>Michael Vesta</t>
  </si>
  <si>
    <t>https://community.max.gov/download/attachments/1097467326/ATO.Letter_AWSGC_DHS_FLETC_2.28.18.pdf?api=v2</t>
  </si>
  <si>
    <t>FY18-058</t>
  </si>
  <si>
    <t>https://community.max.gov/download/attachments/992346701/ATO.Letter_MicroPact_PBGC_2.27.18.pdf?api=v2</t>
  </si>
  <si>
    <t>FY18-059</t>
  </si>
  <si>
    <t>https://community.max.gov/download/attachments/1155203360/ATO.Letter_EconSys_PBGC_2.28.18.pdf?api=v2</t>
  </si>
  <si>
    <t>FY18-060</t>
  </si>
  <si>
    <t>Kenneth Klinner</t>
  </si>
  <si>
    <t>https://community.max.gov/download/attachments/1129612893/ATO.Letter_Accellion_DoI_3.9.18.pdf?api=v2</t>
  </si>
  <si>
    <t>Accellion’s secure file sharing platform, kiteworks, enables government agencies to securely connect their content to the people and systems that are part of their critical business systems processes, regardless of the applications that create that content or where it is stored, while maintaining the controls and visibility needed to demonstrate compliance.
Protect your most sensitive content with a proven security model and integration with your existing security infrastructure. With kiteworks, your content is run through your DLP and ATP technologies to prevent malware and breaches; your users are authorized by your LDAP / AD profiles, Single Sign On and Multi-Factor Authentication solution; and all events / logs are integrated with your SIEM system.
Accellion kiteworks provides simple access to content from the internet, a mobile device, or email. With secure plug-ins for Microsoft Outlook, as well as Microsoft Office 365 online or Microsoft Office desktop products, users can easily and securely send sensitive content via email with a single click, or collaborate using familiar applications and save updated versions directly to all connected repositories. Intuitive interfaces allow access from a web browser or via mobile apps for iOS or Android devices. 
Extensive governance controls over all file sharing activity across your content stores enables government agencies to have full visibility into where data is stored, what data is being shared, and who has viewed, downloaded, or edited that data. Accellion features granular policy controls and trusted audit logs at the file, folder, and repository level enable compliance with SOC-2 (SSAE-16), FISMA, FIPS 140-2, PCI-DSS environments, ITAR, and EAR.
Accellion kiteworks is available to Federal Government customers in isolated environments on Amazon Cloud. The system is accessed and maintained by US citizens however Accellion does not have access to any content. The kiteworks FedRAMP package features:
- Separate customer virtual private cloud (VPC) for all processing
- Dedicated servers
- Data isolated from all other customers
- Encrypted file storage and transfer
- Sole encryption key ownership - Accellion does not have access
- Remote wipe for all mobile clients
- Reporting and audit trails
- Continuous Monitoring for intrusions and other threats - includes vulnerability and penetration scanning as well as rigorous, proactive remediation, plan of action and milestones for mediation tracking
To learn more about what Accellion kiteworks can do for government agencies, please visit: [https://www.accellion.com/government](https://www.accellion.com/government).</t>
  </si>
  <si>
    <t>FY18-061</t>
  </si>
  <si>
    <t>https://community.max.gov/download/attachments/992346725/ATO.Letter_Salesforce_DoI_3.9.18.pdf?api=v2</t>
  </si>
  <si>
    <t>FY18-062</t>
  </si>
  <si>
    <t>https://community.max.gov/download/attachments/1197709114/ATO.Letter_18F_EPA_2.7.18.pdf?api=v2</t>
  </si>
  <si>
    <t>FY18-063</t>
  </si>
  <si>
    <t>https://community.max.gov/download/attachments/1215071466/P-ATO_OracleGC_03.14.18.pdf?api=v2</t>
  </si>
  <si>
    <t>FY18-064</t>
  </si>
  <si>
    <t>https://community.max.gov/download/attachments/1179582858/P-ATO_MSCRMOL_03.14.18.pdf?api=v2</t>
  </si>
  <si>
    <t>Microsoft Dynamics 365 (Sales, Customer Service, Field Service, Project Service Automation and Marketing) for Government is a government-community cloud that delivers cloud-based public sector solutions to US federal, state, and local government customers, helping leaders, policymakers, and those they serve achieve greater impact within their communities. With core case management functionality out of the box and a variety of built-for-government solutions available, organizations can focus on tailoring Microsoft Dynamics 365 to meet their unique mission requirements. Agencies can track and manage their constituents online, increase cost efficiency, securely manage data, and offer convenient services and transactions around the clock. As a Dynamics 365 Online customer, Microsoft values your trust and is committed to protect the privacy and security of your data. Please refer to [https://www.microsoft.com/en-us/TrustCenter/CloudServices/Dynamics](https://www.microsoft.com/en-us/TrustCenter/CloudServices/Dynamics) for more details.</t>
  </si>
  <si>
    <t>FY18-065</t>
  </si>
  <si>
    <t>Scott Knell</t>
  </si>
  <si>
    <t>https://community.max.gov/download/attachments/1115488742/ATO.Letter_AWSEW_PeaceCorps_3.9.18.pdf?api=v2</t>
  </si>
  <si>
    <t>https://marketplace.fedramp.gov/img/logos/Agency_logos/Peace%20Corps%20Logo.jpg</t>
  </si>
  <si>
    <t>FY18-066</t>
  </si>
  <si>
    <t>Johnson Joy</t>
  </si>
  <si>
    <t>https://community.max.gov/download/attachments/992346701/ATO.Letter_MicroPact_HUD_3.13.18.pdf?api=v2</t>
  </si>
  <si>
    <t>FY18-067</t>
  </si>
  <si>
    <t>https://community.max.gov/download/attachments/992346725/ATO.Letter_Salesforce_USDA_3.9.18.pdf?api=v2</t>
  </si>
  <si>
    <t>FY18-068</t>
  </si>
  <si>
    <t>Google Services (Google Cloud Platform Products and underlying Infrastructure)</t>
  </si>
  <si>
    <t>IaaS, PaaS, SaaS</t>
  </si>
  <si>
    <t>FR1805751477</t>
  </si>
  <si>
    <t>Joint Authorization Board</t>
  </si>
  <si>
    <t>https://community.max.gov/x/YorgVQ</t>
  </si>
  <si>
    <t>https://community.max.gov/download/attachments/1440778850/P-ATO_Google_03.14.18.pdf?api=v2</t>
  </si>
  <si>
    <t>https://cloud.google.com</t>
  </si>
  <si>
    <t>Google Services is comprised of Google’s multi-tenant public cloud Google Cloud Platform and built atop the Google Common Infrastructure. The Google Common Infrastructure powers Google worldwide.The in-scope Google Cloud Platform services are:
The in-scope Google Cloud Platform services are:
Google App Engine, Google BigQuery, Google Cloud Datastore, Google Cloud Storage, Google Cloud Console, Google Genomics, Google Cloud Dataflow, Google Cloud Dataproc, Google Cloud Pub/Sub, Cloud Datalab, Google Compute Engine, Google Kubernetes Engine, Google Container Registry, Google App Engine Flexible Environment, Google Cloud Functions, Google Cloud SQL, Google Cloud Bigtable, Cloud Spanner, Google Cloud Machine Learning Engine, Google Cloud Jobs API, Google Cloud Natural Language API, Google Cloud Speech API, Google Cloud Translation API, Google Cloud Vision API, Cloud Video Intelligence API, Google Cloud CDN (Content Delivery Network), Google Cloud DNS (Domain Name System), Google Cloud Load Balancing, Google Cloud Virtual Network, Google Stackdriver Logging, Google Stackdriver Error Reporting, Google Stackdriver Trace, Google Stackdriver Debugger, Google Deployment Manager, Cloud Endpoints, Google Cloud Mobile App, Google Cloud Shell, Google Billing API, Google Cloud SDK, Google Container Builder, Google Cloud Source Repositories, Google Cloud Data Loss Prevention API, Cloud Identity-Aware Proxy, Google Cloud Resource Manager, Google Cloud Security Scanner, Google Cloud Key Management Service, Google Service Control, Google Cloud Launcher, Google Cloud IAM (Identity &amp; Access Management)</t>
  </si>
  <si>
    <t>FY18-069</t>
  </si>
  <si>
    <t>https://community.max.gov/download/attachments/1531087271/ATO.Letter_Google_GSA_3.27.18.pdf?api=v2</t>
  </si>
  <si>
    <t>Google G Suite is comprised of Google’s multi-tenant public and hybrid cloud instances and leverages Google Services (Google Cloud Platform Products)
The following **G Suite editions** are FedRAMP authorized: G Suite Basic, G Suite Business, G Suite for Education, G Suite Enterprise, G Suite for Nonprofits and G Suite for Governments.
The following **G Suite services** are FedRAMP authorized: Admin Console, Admin SDK, Android and Chrome Device Management, Calendar, Chrome Sync (for G Suite for Education domains only), Classroom, Cloud Identity, Cloud Search, Contacts, Docs, Docs APIs, Drawings, Drive, Forms, Gmail (incl. Talk), Google Tasks, Groups for Business, Hangouts Chat, Hangouts Classic, Hangouts Meet, Keep, Sheets, Sites, Slides, Vault
**Admin SDK**: Admin Settings API, Apps Email Audit API, Calendar Resource API, Directory API (replaced Provisioning API), Domain Shared Contacts API, Email Settings API, Enterprise License Manager API, Groups Migration API, Groups Settings, Reports API, Reseller API
**Docs APIs**: Apps Activity API, Calendar API, Contacts API, Drive REST API, (replaced Documents List API), Forms Service API, Gmail REST API (replaced Email Migration API), Sheets API, Sites API, Tasks API
Google Cloud Platform services are now described on the Google Services (Google Cloud Platform Products and underlying Infrastructure) authorized FedRAMP Marketplace page.</t>
  </si>
  <si>
    <t>3/28/18: Replaces FY17-007 as the sponsoring letter. Announcement date kept the same at 1/22/16.</t>
  </si>
  <si>
    <t>FY18-070</t>
  </si>
  <si>
    <t>https://community.max.gov/download/attachments/1035338333/ATO.Letter_Box_FCC_12.7.17.pdf?api=v2</t>
  </si>
  <si>
    <t>FY18-071</t>
  </si>
  <si>
    <t>https://community.max.gov/download/attachments/982025475/ATO.Letter_Okta_FCC_12.7.17.pdf?api=v2</t>
  </si>
  <si>
    <t>FY18-072</t>
  </si>
  <si>
    <t>https://community.max.gov/download/attachments/936118328/ATO.Letter_Acquia_PBGC_3.23.18.pdf?api=v2</t>
  </si>
  <si>
    <t>FY18-073</t>
  </si>
  <si>
    <t>United States Marine Corps</t>
  </si>
  <si>
    <t>Joseph Ybarra</t>
  </si>
  <si>
    <t>https://community.max.gov/download/attachments/1155203349/ATO.Letter_MIS_DoD_USMC_4.3.18.pdf?api=v2</t>
  </si>
  <si>
    <t>FY18-074</t>
  </si>
  <si>
    <t>https://community.max.gov/download/attachments/1531087271/ATO.Letter_Google_DoC_NOAA_3.30.18.pdf?api=v2</t>
  </si>
  <si>
    <t>FY18-075</t>
  </si>
  <si>
    <t>https://community.max.gov/download/attachments/1155203596/ATO.Letter_MaaS360_DoC_NOAA_3.30.18.pdf?api=v2</t>
  </si>
  <si>
    <t>FY18-076</t>
  </si>
  <si>
    <t>https://community.max.gov/download/attachments/1155203837/ATO.Letter_ServiceNow_DoC_NOAA_3.30.18.pdf?api=v2</t>
  </si>
  <si>
    <t>FY18-077</t>
  </si>
  <si>
    <t>https://community.max.gov/download/attachments/1181253908/ATO.Letter_Skyhigh_DoC_NOAA_3.30.18.pdf?api=v2</t>
  </si>
  <si>
    <t>FY18-078</t>
  </si>
  <si>
    <t>Apptio</t>
  </si>
  <si>
    <t>The Apptio Technology Business Management (TBM)</t>
  </si>
  <si>
    <t>F1603157879</t>
  </si>
  <si>
    <t>https://community.max.gov/x/IZH-Rw</t>
  </si>
  <si>
    <t>https://community.max.gov/download/attachments/1459192999/P-ATO_Apptio_4.3.18.pdf?api=v2</t>
  </si>
  <si>
    <t>Richard Benack</t>
  </si>
  <si>
    <t>rbenack@apptio.com</t>
  </si>
  <si>
    <t>www.apptio.com</t>
  </si>
  <si>
    <t>Apptio is a SaaS provider of Technology Business Management (TBM) solutions that help IT leaders measure, manage and communicate the cost, quality, consumption, and value of IT.  IT leaders leverage Apptio's TBM suite of applications, including cost transparency, benchmarking, showback/chargeback and planning, to optimize costs, consolidate infrastructure and applications, price and recover shared services, and execute cloud-first strategies.  With FITARA mandates in place and growing, now more than ever, Federal IT leaders need transparency into their IT spend - what they have, what it's costing them, how it's being consumed, and the value it's delivering to federal program and mission objectives.</t>
  </si>
  <si>
    <t>https://marketplace.fedramp.gov/img/logos/CSP_logos/Apptio%20Logo.jpg</t>
  </si>
  <si>
    <t>FY18-079</t>
  </si>
  <si>
    <t>William Merkle</t>
  </si>
  <si>
    <t>https://community.max.gov/download/attachments/992346654/ATO.Letter_Blackmesh_FTC_3.26.18.pdf?api=v2</t>
  </si>
  <si>
    <t>FY18-080</t>
  </si>
  <si>
    <t>Craig Taylor</t>
  </si>
  <si>
    <t>https://community.max.gov/download/attachments/930415021/ATO.Letter_Cornerstone_HHS_FDA_4.4.18.pdf?api=v2</t>
  </si>
  <si>
    <t>FY18-081</t>
  </si>
  <si>
    <t>https://community.max.gov/download/attachments/992346665/ATO.Letter_CoSo_HHS_FDA_4.4.18.pdf?api=v2</t>
  </si>
  <si>
    <t>FY18-082</t>
  </si>
  <si>
    <t>https://community.max.gov/download/attachments/1181253908/ATO.Letter_Skyhigh_HHS_FDA_3.28.18.pdf?api=v2</t>
  </si>
  <si>
    <t>FY18-083</t>
  </si>
  <si>
    <t>https://community.max.gov/download/attachments/1500546130/ATO.Letter_SAPNS2_NASA_3.2.18.pdf?api=v2</t>
  </si>
  <si>
    <t>FY18-084</t>
  </si>
  <si>
    <t>https://community.max.gov/download/attachments/992346701/ATO.Letter_MicroPact_DoL_BRB_1.24.18.pdf?api=v2</t>
  </si>
  <si>
    <t>FY18-085</t>
  </si>
  <si>
    <t>Jason Gray</t>
  </si>
  <si>
    <t>https://community.max.gov/download/attachments/1459192999/ATO.Letter_Apptio_DoED_1.10.18.pdf?api=v2</t>
  </si>
  <si>
    <t>FY18-086</t>
  </si>
  <si>
    <t>Rachel Campbell</t>
  </si>
  <si>
    <t>https://community.max.gov/download/attachments/1200588697/ATO.Letter_Cylance_STB_4.20.18.pdf?api=v2</t>
  </si>
  <si>
    <t>FY18-087</t>
  </si>
  <si>
    <t>https://community.max.gov/download/attachments/1179582858/ATO.Letter_MSDynamics_USDA_1.26.18.pdf?api=v2</t>
  </si>
  <si>
    <t>FY18-088</t>
  </si>
  <si>
    <t>IBM Connections Social</t>
  </si>
  <si>
    <t>FR1717348637</t>
  </si>
  <si>
    <t>https://community.max.gov/x/ZYWAT</t>
  </si>
  <si>
    <t>https://community.max.gov/download/attachments/724337398/IBM%20Connections%20Cloud%20and%20Peace%20Corps%20ATO%2020180103.pdf?api=v2</t>
  </si>
  <si>
    <t>Kevin Lynch</t>
  </si>
  <si>
    <t>Kevin_Lynch@us.ibm.com</t>
  </si>
  <si>
    <t>https://www.ibm.com/us-en/</t>
  </si>
  <si>
    <t xml:space="preserve">IBM Connections Social is a set of web-based collaboration services combined with social network software. Delivered as software as a service from the IBM Cloud Marketplace, IBM Connections Social includes file networking and storage, activity management and social network software. The IBM Connections Social infrastructure is hosted by SoftLayer, an Infrastructure as a Service (IaaS) hosting provider based Richardson, TX and Ashburn, VA.  The deployment model of the SaaS Application System Collaborative Environment is that of a Community Cloud as defined by NIST Special Publication 800-145, The NIST Definition of Cloud Computing.  </t>
  </si>
  <si>
    <t>FY18-089</t>
  </si>
  <si>
    <t>Wei Luo</t>
  </si>
  <si>
    <t>https://community.max.gov/download/attachments/1197709114/ATO.Letter_18F_FEC_4.23.18.pdf?api=v2</t>
  </si>
  <si>
    <t>https://marketplace.fedramp.gov/img/logos/Agency_logos/FEC%20Logo.png</t>
  </si>
  <si>
    <t>FY18-090</t>
  </si>
  <si>
    <t>https://community.max.gov/download/attachments/992346622/ATO.Letter_AINS_FTC_4.25.18.pdf?api=v2</t>
  </si>
  <si>
    <t>FY18-091</t>
  </si>
  <si>
    <t>Raghav Vajjhala, Monica Vaca</t>
  </si>
  <si>
    <t>https://community.max.gov/download/attachments/1115488742/ATO.Letter_AWSEW_FTC_4.25.18.pdf?api=v2</t>
  </si>
  <si>
    <t>FY18-092</t>
  </si>
  <si>
    <t>https://community.max.gov/download/attachments/1097467326/ATO.Letter_AWSGC_FTC_4.25.18.pdf?api=v2</t>
  </si>
  <si>
    <t>FY18-093</t>
  </si>
  <si>
    <t>https://community.max.gov/download/attachments/1155204218/ATO.Letter_MSAzure_FTC_4.25.18.pdf?api=v2</t>
  </si>
  <si>
    <t>FY18-094</t>
  </si>
  <si>
    <t>https://community.max.gov/download/attachments/1115488742/ATO.Letter_AWSEW_DHS_CBP_12.29.17.pdf?api=v2</t>
  </si>
  <si>
    <t>FY18-095</t>
  </si>
  <si>
    <t>https://community.max.gov/download/attachments/992346725/ATO.Letter_Salesforce_NSF_5.3.18.pdf?api=v2</t>
  </si>
  <si>
    <t>FY18-096</t>
  </si>
  <si>
    <t>https://community.max.gov/download/attachments/1155203545/ATO.Letter_GovDelivery_DoC_USPTO_4.17.18.pdf?api=v2</t>
  </si>
  <si>
    <t>FY18-097</t>
  </si>
  <si>
    <t>Adobe Creative Cloud for enterprise</t>
  </si>
  <si>
    <t>FR1820435960</t>
  </si>
  <si>
    <t>Li-SaaS</t>
  </si>
  <si>
    <t>Terry Balazs</t>
  </si>
  <si>
    <t>https://community.max.gov/x/XIPgVQ</t>
  </si>
  <si>
    <t>https://community.max.gov/download/attachments/1440777222/ATO.Letter_AdobeCC_BBG_5.14.18.pdf?api=v2</t>
  </si>
  <si>
    <t>Paul Faust</t>
  </si>
  <si>
    <t>fedramp@adobe.com</t>
  </si>
  <si>
    <t>https://www.adobe.com/creativecloud/business.html</t>
  </si>
  <si>
    <t>Adobe Creative Cloud for enterprise is a cloud-based offering which allows enterprise customers the ability to create and collaborate efficiently with connected desktop and mobile apps. The Creative Cloud for enterprise offering also includes options for flexible deployment, identity management including Federated ID with Single Sign-On, annual license true-ups, license management tools and enterprise-level customer support.</t>
  </si>
  <si>
    <t>AGENCYAMAZONEW, F1209051525</t>
  </si>
  <si>
    <t>FY18-098</t>
  </si>
  <si>
    <t>Adobe Document Cloud (PDF Services &amp; Adobe Sign)</t>
  </si>
  <si>
    <t>FR1820435961</t>
  </si>
  <si>
    <t>https://community.max.gov/x/j4WnW</t>
  </si>
  <si>
    <t>https://community.max.gov/download/attachments/767132828/ATO.Letter_AdobeDC_BBG_5.14.18.pdf?api=v2</t>
  </si>
  <si>
    <t>https://acrobat.adobe.com</t>
  </si>
  <si>
    <t>Adobe Document Cloud is a complete portfolio of secure digital document solutions that speeds business and drives better customer experiences by making manual, paper-based processes 100% digital. Document Cloud includes PDF Services and Adobe Sign along with web and mobile apps that can be used standalone or integrated into your organizations’ existing document processes, business applications, or enterprise systems.</t>
  </si>
  <si>
    <t>FY18-099</t>
  </si>
  <si>
    <t>https://community.max.gov/download/attachments/1077020007/ATO.Letter_Socrata_FCC_4.27.18.pdf?api=v2</t>
  </si>
  <si>
    <t>Socrata is the market leader in making existing government data discoverable, usable, and actionable for government workers and the people they serve. Socrata provides a data-as-a-service data platform and cloud applications exclusively for city, county, state, and federal government organizations. Socrata delivers unprecedented data-driven innovation and cost-savings for hundreds of public sector leaders and millions of their constituents around the world.
Government programs generate massive amounts of data, but most of it is locked away in hard-to-access data silos, including archaic databases. Socrata enables unprecedented data access by bringing together disparate systems and leveraging the cloud to dramatically enhance the effectiveness of government programs, to improve quality of life for residents, positively impact local economies, and achieve excellence in government operations. Socrata solutions are designed and developed to meet strict government standards. The technology is optimized on the Amazon Web Services (AWS) Public Sector cloud and delivered using the exclusive Socrata Blueprint Methodology.</t>
  </si>
  <si>
    <t>FY18-100</t>
  </si>
  <si>
    <t>https://community.max.gov/download/attachments/1155204218/ATO.Letter_MSAzure_USDA_1.9.18.pdf?api=v2</t>
  </si>
  <si>
    <t>FY18-101</t>
  </si>
  <si>
    <t>Ravoyne Payton</t>
  </si>
  <si>
    <t>https://community.max.gov/download/attachments/992346622/ATO.Letter_AINS_USDA_1.9.18.pdf?api=v2</t>
  </si>
  <si>
    <t>FY18-102</t>
  </si>
  <si>
    <t>https://community.max.gov/download/attachments/1094157332/ATO.Letter_mLINQS_USDA_10.11.17.pdf?api=v2</t>
  </si>
  <si>
    <t>FY18-103</t>
  </si>
  <si>
    <t>Christopher Gilbert</t>
  </si>
  <si>
    <t>https://community.max.gov/download/attachments/992346706/ATO.Letter_MS%20O365_HHS_OIG_04.30.2018.pdf?api=v2</t>
  </si>
  <si>
    <t>F1209051525, F1206061353</t>
  </si>
  <si>
    <t>FY18-104</t>
  </si>
  <si>
    <t>https://community.max.gov/download/attachments/1155203349/ATO.Letter_MIS_PSA_5.17.18.pdf?api=v2</t>
  </si>
  <si>
    <t>FY18-105</t>
  </si>
  <si>
    <t>Kevin Lunday</t>
  </si>
  <si>
    <t>https://community.max.gov/download/attachments/1181254069/ATO.Letter_KPS_DHS_USCG_5.22.18.pdf?api=v2</t>
  </si>
  <si>
    <t>The KPS Federal Community Cloud, called CloudSeed®, is an off-premises IaaS solution that is FedRAMP compliant and meets DoD PA SRG Level 5 controls while leveraging Cisco hardware, world-class Equinix facilities, and open-source technology to provide compute, storage, and network resources to Federal customers in a secure manner. Customers can engage resources in an a la carte, and “pay for performance” model that allows them to know exactly what to expect – It’s the technology you need, when you need it.
All infrastructure resources are managed and monitored through the KPS tool “Zeus”, which is included within the boundaries of the CloudSeed system, and gives customers the ability to view and manage cloud resources across the full range of possible KPS cloud deployments – Public, Federal Community, and Private - as well as across multiple CSPs (AWS, Azure, etc.) and on-premise virtualization technologies (ESXi, KVM, etc.).  By providing customers this single pane of glass to both view and manage all of their infrastructure solutions, Zeus allows for true “hybrid” cloud solutions that can combine pre-existing customer solutions with new cloud-based solutions.  Zeus gives customers a truly "holistic" view into their infrastructure, and allows them to move workloads across solutions as-needed to address specific business requirements.
The technical architecture that makes up CloudSeed is also available via the KPS Public Cloud for both Federal and Commercial customers, as well as in private cloud deployments on a customer's premises or in KPS' FedRAMP compliant data center.  This architecture providers cheap, efficient, and reliable clouds by abstracting the underlying physical hardware and automatically and instantly recognizing every piece of hardware that is plugged into the system as simply Compute, Storage, or Network resources.  In other words, KPS customers are able to use their pre-existing equipment as the basis for their own private cloud deployment simply by connecting it to the system via ethernet or fiber cable.  Through this technology, customers are able to instantiate an entire cloud from scratch in under 20 minutes while re-using many of the same technical controls implemented in Knight Point's Federal Cloud, giving them previously unparalleled flexibility in their cloud deployments.</t>
  </si>
  <si>
    <t>FY18-106</t>
  </si>
  <si>
    <t>https://community.max.gov/download/attachments/1279329441/ATO.Letter_SAPNS2DoD_DoD_DISA_5.17.18.pdf?api=v2</t>
  </si>
  <si>
    <t>The SAP National Security Services (SAP NS2) Federal Secure Node delivers the SAP SuccessFactors Human Capital Management Suite (HCM) SaaS for the Federal Community. SAP SuccessFactors HCM Suite helps transform organizational strategies into measurable business and mission outcomes by simplifying HR processes and maximizing employee engagement. We provide unmatched solution breadth and depth through a full set of core HR and talent solutions based on modern cloud technology that makes them simple to use, simple to run and simple for your people to succeed.
SAP SUCCESSFACTORS HCM SUITE INCLUDES:
 - Learning: Develop a comprehensive learning strategy with a completelearning management solution (LMS) that enables you to manage, develop and deploy instructor-led, formal and social online training. SAP SuccessFactors Learning helps learning professionals improv employees’ skills, develop leaders, reduce compliance risk, and better enable external audiences.
 - Performance &amp; Goals: Communicate strategy, create meaningful individual goals across the organization, and focus employees on what matters, while enabling executives to monitor goal progress in real-time. Then reward, measure and tie employee performance to business results, streamline the performance appraisal process, and enable meaningful feedback.
 - Succession &amp; Development: Anticipate and plan for staffing changes and assure the readiness of employee talent at all levels. Align learning activities with competency gaps to arm your workforce for current and future needs. Improve motivation with continuous development and career planning.
 - Compensation: Pay your people based on achievement, establish a pay-for-performance culture – retain top talent and increase productivity across the organization. Calibration drives better compensation decisions with and objective ratings.
 - Recruiting: Transform recruiting into a continuous, strategic part of your talent strategy with the only end-to-end recruiting solution that helps you attract, engage and select better candidates and then
measure the results.
 - Onboarding: By guiding hiring managers, empowering new hires and connecting onboarding to other key talent management activities, SAP SuccessFactors makes onboarding a strategic process that improves job satisfaction, time to productivity and first year retention.
 - Workforce Planning: Leverage in-depth workforce information and benchmarks to assess readiness to execute strategies, forecast the impact of business decisions, mitigate risk and take action.
 - Workforce Analytics &amp; Reporting: Deliver actionable, quantitative insights to your business leaders with a powerful combination of talent and business data that produces easy to understand and consume information. Creates a catalyst for positive change in the business.
 - Employee Central: Deliver real business impact with a next generation core HR system that puts the ‘self’ back in ‘self-service’. Strategically-minded HR and IT teams have realized that user-friendly core HR solution is the key to accurate employee data. Capturing employee, organizational and talent data all in one solution delivers better results, faster.
In addition, SAP NS2 offers the Secure CloudEdge providing customers with the enhanced availability, compliance and customer support to deliver that mission critical edge. Benefits include: 
- Enhanced Disaster Recovery/High Availability
- U.S Federal, DoD ITAR and Critical Infrastructure compliance
- NS2 US Citizen Operation &amp; Support 
- Private US Support Ticketing System</t>
  </si>
  <si>
    <t>FY18-107</t>
  </si>
  <si>
    <t>Carol Dobak</t>
  </si>
  <si>
    <t>https://community.max.gov/download/attachments/921272709/ATO.Letter_ACMS-GC_DoED_5.18.18.pdf?api=v2</t>
  </si>
  <si>
    <t>FY18-108</t>
  </si>
  <si>
    <t>https://community.max.gov/download/attachments/1356301811/ATO.Letter_SAPNS2_NASA_5.24.18.pdf?api=v2</t>
  </si>
  <si>
    <t>FY18-109</t>
  </si>
  <si>
    <t>Leslie Weldon</t>
  </si>
  <si>
    <t>https://community.max.gov/download/attachments/1197709114/ATO.Letter_18F_USDA_USFS_12.11.17.pdf?api=v2</t>
  </si>
  <si>
    <t>FY18-110</t>
  </si>
  <si>
    <t>https://community.max.gov/download/attachments/982025475/ATO.Letter_Okta_DOJ_05.11.17.pdf?api=v2</t>
  </si>
  <si>
    <t>Okta is the foundation for secure connections between people and technology. Okta’s products manage identity and access for millions of people on millions of devices. By harnessing the power of the cloud, Okta allows people to access applications on any device at any time, while still enforcing strong security policies. It integrates directly with an organization’s existing directories and identity systems, as well as 4,000+ applications.
Okta offers products in two lines: for IT and developers. Okta’s IT products are geared toward IT and security leaders and are designed to simplify the way people connect to enterprise technology, while increasing efficiency and keeping IT environments secure. Okta’s IT products include Universal Directory, Single Sign-On, Provisioning, Adaptive Multi-factor Authentication and Mobility Management. Okta’s developer and platform products allow product teams to layer Okta’s powerful identity services into their applications and portals. Okta’s Platform makes it easy for customers to authentication, manage and secure their users. Okta’s Platform products include Universal Directory, Single Sign-On, Provisioning, Adaptive Multi-factor Authentication, Social Authentication, Inbound Federation, and AD and LDAP Integration.</t>
  </si>
  <si>
    <t>FY18-111</t>
  </si>
  <si>
    <t>Antoinette Pressman</t>
  </si>
  <si>
    <t>https://community.max.gov/download/attachments/1155203349/ATO.Letter_MIS_DoT_FRA_5.23.18.pdf?api=v2</t>
  </si>
  <si>
    <t>FY18-112</t>
  </si>
  <si>
    <t>Katherine Coffman</t>
  </si>
  <si>
    <t>https://community.max.gov/download/attachments/1356301811/ATO.Letter_SAPNS2_DoT_IRS_1.12.18.pdf?api=v2</t>
  </si>
  <si>
    <t>FY18-113</t>
  </si>
  <si>
    <t>https://community.max.gov/download/attachments/1516308433/ATO.Letter_ProjectHosts_FHFA_OIG_5.31.18.pdf?api=v2</t>
  </si>
  <si>
    <t>The Project Hosts (PH) Federal Private Cloud (FPC) is a General Support System (GSS) platform (PaaS) built on Microsoft Azure Government.  The GSS is composed of systems and services that manage access control, authentication, auditing, monitoring, scanning, patching, configuration management, malware prevention, intrusion prevention, incident response, backup, and disaster recovery for each Application deployed on the FPC.
There are two main types of customers who use the FPC: (i) Independent Software Vendors (ISVs) deploying multitenant SaaS applications and (ii) Federal agencies deploying dedicated applications just for their agency (not multitenant).  For both types of customer, their applications are deployed on customer-dedicated virtual servers (or Azure PaaS services) inside customer-dedicated subnets.  Network security group access controls ensure that each customer’s subnet is completely isolated from and has no access to any other customer’s subnet. 
For agency customers, PH assists the Agency in the creation of their own SSP, manages annual 3PAO scanning and penetration testing of their dedicated applications, and provides a monthly application-level POA&amp;M.  
Following is a list of the types of applications for which PH is providing services above the PH FPC platform: AvePoint (DocAve, Compliance Guardian, Governance Automation, Perimeter Manager), Birst (Birst BI Platform), BrightWork (BrightWork SharePoint-based Project Management), Checkmarx (CxSAST Source Code Scanner), Commvault System (EndPoint Protection as a Service), Drupal (Drupal CMS), FlowVU (FlowVU Collaboration), Microsoft (Office, Dynamics, Power BI Server, Project Server, SharePoint), Nintex (Drawloop), Sopheon (Accolade Enterprise Innovation Management), StealthLLC (SBIR), UMT360 (SharePoint-based Enterprise Portfolio Management), Vendigital, Veritas (Enterprise Vault, eDiscovery Accelerator), WordPress (WordPress CMS)</t>
  </si>
  <si>
    <t>FY18-114</t>
  </si>
  <si>
    <t>James DeCoster</t>
  </si>
  <si>
    <t>https://community.max.gov/download/attachments/992346706/ATO.Letter_MSO365_DoT_OCC_5.24.18.pdf?api=v2</t>
  </si>
  <si>
    <t>FY18-115</t>
  </si>
  <si>
    <t>https://community.max.gov/download/attachments/1115488742/ATO.Letter_AWSEW_CFPB_3.16.18.pdf?api=v2</t>
  </si>
  <si>
    <t>FY18-116</t>
  </si>
  <si>
    <t>Adrian Gardner</t>
  </si>
  <si>
    <t>https://community.max.gov/download/attachments/1097467326/ATO.Letter_AWSGC_DHS_FEMA_2.2.18.pdf?api=v2</t>
  </si>
  <si>
    <t>FY18-117</t>
  </si>
  <si>
    <t>Marlon Andrews</t>
  </si>
  <si>
    <t>https://community.max.gov/download/attachments/1129612893/ATO.Letter_Accellion_CNCS_6.7.18.pdf?api=v2</t>
  </si>
  <si>
    <t>FY18-118</t>
  </si>
  <si>
    <t>https://community.max.gov/download/attachments/1155203837/ATO.Letter_ServiceNow_FCA_5.31.18.pdf?api=v2</t>
  </si>
  <si>
    <t>FY18-119</t>
  </si>
  <si>
    <t>https://community.max.gov/download/attachments/992346622/ATO.Letter_AINS_PeaceCorps_3.22.18.pdf?api=v2</t>
  </si>
  <si>
    <t>FY18-120</t>
  </si>
  <si>
    <t>Blackboard</t>
  </si>
  <si>
    <t>Blackboard Learn SaaS</t>
  </si>
  <si>
    <t>F1506076709</t>
  </si>
  <si>
    <t>National Geospatial-Intelligence Agency</t>
  </si>
  <si>
    <t>Reginald Stevenson</t>
  </si>
  <si>
    <t>https://community.max.gov/x/JwaNUQ</t>
  </si>
  <si>
    <t>https://community.max.gov/download/attachments/1368196677/ATO.Letter_Blackboard_NGA_6.8.18.pdf?api=v2</t>
  </si>
  <si>
    <t>Sanjiev Chattopadhya</t>
  </si>
  <si>
    <t>sanjiev.chattopadhya@blackboard.com</t>
  </si>
  <si>
    <t>www.blackboard.com</t>
  </si>
  <si>
    <t>Blackboard’s Learn and Collaborate SaaS solution offers government and military agencies next-generation online, social and mobile tools that create a continuous learning environment, built around peer-to-peer interaction, content and discussions.</t>
  </si>
  <si>
    <t>https://marketplace.fedramp.gov/img/logos/CSP_logos/Blackboard%20Logo.jpg</t>
  </si>
  <si>
    <t>F1603047866, F1512167750</t>
  </si>
  <si>
    <t>FY18-121</t>
  </si>
  <si>
    <t>https://community.max.gov/download/attachments/992346648/ATO.Letter_Avue_DoD_DISA_5.25.18.pdf?api=v2</t>
  </si>
  <si>
    <t>FY18-122</t>
  </si>
  <si>
    <t>https://community.max.gov/download/attachments/992346648/ATO.Letter_Avue_DoJ_OJP_3.23.18.pdf?api=v2</t>
  </si>
  <si>
    <t>Avue is a web-based, outsourced, digital service delivery system offered by Avue Technologies Corporation; remotely-hosted in the Amazon GovCloud, and remotely-managed by Avue Technologies Corporation in Tacoma, Washington.  The Avue service is provided through a single interface to handle all aspects of human capital management.  Avue is a Software-as-a-Service (SaaS) cloud-based Human Capital Management and Operations Management platform.  Avue is the leader in federal talent acquisition, talent management, talent science, and human capital technology solutions.  The platform serves include a diverse array of agencies that include Title 5 and alternative personnel systems such as Title 38, Title 10, Title 32, and FIRREA.  Avue is a native-federal HCM platform offered as a SaaS/cloud solution, with 99.9% uptime, since 2001.
Avue’s firm-fixed price offering includes a five component solution: (1) the native federal enterprise SaaS platform, (2) highly expert Avue staff available online and onsite to ensure the platform is responsive to the client’s operational needs, (3) embedded IT services that ensure all elements of the technology and data flow and operate seamlessly with the client’s IT environment, (4) social media, communications, and marketing services for online-, mobile-, and social-media based talent acquisition, and (5) on-demand HR staff augmentation to add capacity and assist agency HR staff with Avue HR experts, in any location at any time.  Avue’s database contains job duties, skills, and competencies, developmental activities, training courses, performance standards, recruitment criteria and applicant assessment criteria, along with a range of other associated content.  This database and its companion rules engines allow Avue to deliver services in a rapid and efficient manner while at the same time ensuring compliance with statutes and regulations, notably the Uniform Guidelines on Employee Selection Procedures, governing OPM and delegated examining regulations, and the federal Merit System.  Avue’s services are bundled with the database and technology platform in a manner that ensures delivery of the services are not only compliant but responsive to management’s needs, quick, and superior in quality and result.
Avue is HRLOB certified by OPM, OMB, and GSA for both Core and Non-Core HR services including Classification, Staffing and Recruitment, Performance Management, Enterprise Learning Management, Worker Compensation, Payroll, Time and Attendance, Benefits and Retirement Management, Organization Optimization, and Workforce  Planning and Management – a total of 15 modules.  Avue Technologies is currently interconnected to electronically post vacancies to USAJOBs and receive online application and with the National Finance Center (NFC) for personnel actions and workforce management activities.</t>
  </si>
  <si>
    <t>FY18-123</t>
  </si>
  <si>
    <t>https://community.max.gov/download/attachments/992346693/ATO.Letter_Huddle_DoD_DISA_5.25.18.pdf?api=v2</t>
  </si>
  <si>
    <t>FY18-124</t>
  </si>
  <si>
    <t>Workiva</t>
  </si>
  <si>
    <t>Wdesk</t>
  </si>
  <si>
    <t>FR1726564822</t>
  </si>
  <si>
    <t>Li-SaaS (Moderate In Process)</t>
  </si>
  <si>
    <t>Philip Propes</t>
  </si>
  <si>
    <t>https://community.max.gov/x/SgSLW</t>
  </si>
  <si>
    <t>https://community.max.gov/download/attachments/767132952/ATO.Letter_Workiva_TVA_6.12.18.pdf?api=v2</t>
  </si>
  <si>
    <t>Jeff Bivens</t>
  </si>
  <si>
    <t>fedramp@workiva.com</t>
  </si>
  <si>
    <t>https://www.workiva.com/</t>
  </si>
  <si>
    <t>Workiva delivers Wdesk, an intuitive cloud platform that modernizes how people work within
thousands of organizations, including over 70 percent of the Fortune 500®.
Wdesk is built upon a data management engine, offering controlled collaboration, data integration,
granular permissions and a full audit trail. Wdesk helps mitigate risk, improves productivity and gives
users confidence in their data-driven decisions.
Complex reports made easy— our customers create and connect data and narrative to consolidate and
publish financial, performance, and regulatory reports. We provide confidence in the numbers and
enable pride in the delivery.
Compliance made simple— streamline documentation, testing, and reporting in a connected
environment. Manage risk assessments, evidence requests, issues, and findings with real-time reports
and dashboards.
Connect your documents and data at enterprise scale in a collaborative work management platform.
Import documents, sync with Excel®, or connect Wdesk to your ERP, CRM, or other operational
systems. Wdesk is built for the way you work.
Trust your data from beginning to end. Wdesk can be used across every department to create a single
source of data for multiple business processes.</t>
  </si>
  <si>
    <t>https://marketplace.fedramp.gov/img/logos/CSP_logos/Workiva%20Logo.jpg</t>
  </si>
  <si>
    <t>AGENCYAMAZONEW, FR1805751477</t>
  </si>
  <si>
    <t>FY18-125</t>
  </si>
  <si>
    <t>https://community.max.gov/download/attachments/1155204218/ATO.Letter_MSAG_EEOC_6.6.18.pdf?api=v2</t>
  </si>
  <si>
    <t>FY18-126</t>
  </si>
  <si>
    <t>Matthew Biliouris</t>
  </si>
  <si>
    <t>https://community.max.gov/download/attachments/992346725/ATO.Letter_Salesforce_NCUA_3.14.18.pdf?api=v2</t>
  </si>
  <si>
    <t>https://marketplace.fedramp.gov/img/logos/Agency_logos/NCUA%20Logo.jpg</t>
  </si>
  <si>
    <t>FY18-127</t>
  </si>
  <si>
    <t>https://community.max.gov/download/attachments/1155203837/ATO.Letter_ServiceNow_SSA_5.17.18.pdf?api=v2</t>
  </si>
  <si>
    <t>FY18-128</t>
  </si>
  <si>
    <t>Patricia MacNaught</t>
  </si>
  <si>
    <t>https://community.max.gov/download/attachments/992346635/ATO.Letter_Blackberry_DoT_IRS_6.20.18.pdf?api=v2</t>
  </si>
  <si>
    <t>FY18-129</t>
  </si>
  <si>
    <t>Gregory Garcia</t>
  </si>
  <si>
    <t>https://community.max.gov/download/attachments/992346706/ATO.Letter_MSO365_DoD_Army_4.24.18.pdf?api=v2</t>
  </si>
  <si>
    <t>FY18-130</t>
  </si>
  <si>
    <t>https://community.max.gov/download/attachments/1179582858/ATO.Letter_Dynamics365_TVA_6.21.18.pdf?api=v2</t>
  </si>
  <si>
    <t>FY18-131</t>
  </si>
  <si>
    <t>https://community.max.gov/download/attachments/936118328/ATO.Letter_Acquia_CNCS_6.22.18.pdf?api=v2</t>
  </si>
  <si>
    <t>FY18-132</t>
  </si>
  <si>
    <t>https://community.max.gov/download/attachments/1155204041/ATO.Letter_QTS_CNCS_6.19.18.pdf?api=v2</t>
  </si>
  <si>
    <t>FY18-133</t>
  </si>
  <si>
    <t>Frank Hoeppel</t>
  </si>
  <si>
    <t>https://community.max.gov/download/attachments/992346706/ATO.Letter_MSO365_USDA_6.22.18.pdf?api=v2</t>
  </si>
  <si>
    <t>FY18-134</t>
  </si>
  <si>
    <t>David Ambrose</t>
  </si>
  <si>
    <t>https://community.max.gov/download/attachments/1155203796/ATO.Letter_OracleFMCS_DoT_BFS_5.21.18.pdf?api=v2</t>
  </si>
  <si>
    <t>FY18-135</t>
  </si>
  <si>
    <t>ORock Technologies</t>
  </si>
  <si>
    <t>ORockCloud</t>
  </si>
  <si>
    <t>F1503096502</t>
  </si>
  <si>
    <t>Joint Communications Support Element</t>
  </si>
  <si>
    <t>Thomas Wilson</t>
  </si>
  <si>
    <t>https://community.max.gov/x/XIVRO</t>
  </si>
  <si>
    <t>https://community.max.gov/download/attachments/944866657/OROCK%20IL2%20ATO%20Letter%20Corrected%20Signed.pdf?api=v2</t>
  </si>
  <si>
    <t>John Conniff</t>
  </si>
  <si>
    <t>fedramp@orocktech.com</t>
  </si>
  <si>
    <t>http://orocktech.com</t>
  </si>
  <si>
    <t xml:space="preserve">ORockCloud is the first and only Red Hat® OpenStack-based cloud to achieve a FedRAMP Moderate authorization for IaaS and PaaS. This secure, open source cloud provides a highly scalable, bi-coastal environment with elastic, on-demand access to computing, storage, virtualization, networking, performance monitoring, and applications in ORock’s service catalog.
As a Red Hat Premier Certified Cloud and Service Provider (CCSP), ORock Technologies architected ORockCloud as a “pure-play” Red Hat cloud and incorporated a full suite of open source solutions for enhanced flexibility, interoperability, security, and control.  The Red Hat Cloud Suite includes: Red Hat Enterprise Linux; Red Hat OpenStack Platform; Red Hat Virtualization; Red Hat Ceph Storage; Red Hat CloudForms; Red Hat Ansible Tower; Red Hat Satellite; and all associated cloud APIs. 
ORockCloud utilizes ORock’s private, carrier-grade, fiber optic backbone network with dedicated connectivity between all points of presence and no upstream CSP to maximize security, autonomy, and performance. Managed services are provided entirely by U.S. citizens in a U.S.-based NOC and SOC.
ORock Technologies is a small business cloud service provider (CSP) serving enterprise customers in defense, government, and highly regulated industries. ORock’s secure IaaS and cloud solutions enable a range of hosting, migration, backup/recovery, connectivity, and mobility initiatives while supporting FedRAMP authorization and lowering total cost of ownership for government and commercial enterprises.
Additional information is available at  [http://orocktech.com](http://orocktech.com). </t>
  </si>
  <si>
    <t>https://marketplace.fedramp.gov/img/logos/CSP_logos/ORock%20Technologies%20Logo.jpg</t>
  </si>
  <si>
    <t>FY18-136</t>
  </si>
  <si>
    <t>Scott Young</t>
  </si>
  <si>
    <t>https://community.max.gov/download/attachments/908035281/ATO.Letter_TalaTek_PBGC_6.26.18.pdf?api=v2</t>
  </si>
  <si>
    <t>TalaTek’s ECMS efficiently provides cost-effective ‘Security as a Service’ and Compliance Risk Management. ECMS uses a Governance, Risk Management and Compliance (GRC) application to meet NIST Special Publications 800-37, 800-39, 800-53 and 800-137 guidelines for effective Continuous Monitoring and implementation of the NIST Risk Management Framework (RMF).</t>
  </si>
  <si>
    <t>FY18-137</t>
  </si>
  <si>
    <t>ArcGIS Online (AGO)</t>
  </si>
  <si>
    <t>FR1811073663</t>
  </si>
  <si>
    <t>Thomas Dabolt</t>
  </si>
  <si>
    <t>https://community.max.gov/x/zwHAW</t>
  </si>
  <si>
    <t>https://community.max.gov/download/attachments/766771821/ATO.Letter_EsriAGO_DoI_6.27.18.pdf?api=v2</t>
  </si>
  <si>
    <t>Michael Young</t>
  </si>
  <si>
    <t>FedRAMP@esri.com</t>
  </si>
  <si>
    <t xml:space="preserve">https://www.arcgis.com </t>
  </si>
  <si>
    <t>Mars Technology</t>
  </si>
  <si>
    <t>ArcGIS Online is a web-based GIS, hosted by Esri and delivered as SaaS (software-as-a-service). With ArcGIS Online, organizations can get up and running quickly, and securely create, organize, and manage geographic information in one system. It connects users in your organization with up-to-date content including ready-to-use apps, maps, 3D scenes, and layers so they can build useful information products and accomplish their work more efficiently. ArcGIS Online facilitates collaboration and sharing information with internal stakeholders, as well as your customers, contractors, and the public by providing access to maps, apps, and data from any device, anywhere, anytime. ArcGIS Online is built on open, scalable technology that automatically adjusts to meet peak demand periods without you having to worry about adding and managing additional resources.</t>
  </si>
  <si>
    <t>FY18-138</t>
  </si>
  <si>
    <t>https://community.max.gov/download/attachments/930415021/ATO.Letter_Cornerstone_DoC_5.10.18.pdf?api=v2</t>
  </si>
  <si>
    <t>FY18-139</t>
  </si>
  <si>
    <t>Qualtrics</t>
  </si>
  <si>
    <t>Qualtrics XM Platform</t>
  </si>
  <si>
    <t>F1606097904</t>
  </si>
  <si>
    <t>Janet Vogel</t>
  </si>
  <si>
    <t>https://community.max.gov/x/VgGaSw</t>
  </si>
  <si>
    <t>https://community.max.gov/download/attachments/633177081/ATO.Letter_Qualtrics_HHS_6.20.18.pdf?api=v2</t>
  </si>
  <si>
    <t>Craig Kulfan</t>
  </si>
  <si>
    <t>fedramp@qualtrics.com</t>
  </si>
  <si>
    <t>www.qualtrics.com</t>
  </si>
  <si>
    <t xml:space="preserve">Qualtrics is the world’s leading insight platform, and we assist federal government entities and executives with collecting and providing real time access to the data and insights needed to make impactful decisions, and to enable action and improvements. Whether dealing with the impact of citizen facing programs, the improvement of existing services (digital and otherwise), or the engagement of federal employees, we help our customers close the gaps between the data they have and the data they need to meet their missions. </t>
  </si>
  <si>
    <t>https://marketplace.fedramp.gov/img/logos/CSP_logos/Qualtrics%20Logo2.jpg</t>
  </si>
  <si>
    <t>F1603047866, F1206081364, F1508207205, F1206061353</t>
  </si>
  <si>
    <t>FY18-140</t>
  </si>
  <si>
    <t>https://community.max.gov/download/attachments/992346725/ATO.Letter_Salesforce_DoEd_6.26.18.pdf?api=v2</t>
  </si>
  <si>
    <t>FY18-141</t>
  </si>
  <si>
    <t>Infor Public Sector</t>
  </si>
  <si>
    <t>Infor Government Software as a Service (IGS) including the Enterprise Asset Management (EAM) application</t>
  </si>
  <si>
    <t>FR1710033970</t>
  </si>
  <si>
    <t>https://community.max.gov/x/Qo1tTQ</t>
  </si>
  <si>
    <t>https://community.max.gov/download/attachments/1529481487/P-ATO_Infor_7.10.18.pdf?api=v2</t>
  </si>
  <si>
    <t>Joe Arthur</t>
  </si>
  <si>
    <t>complianceteam@infor.com</t>
  </si>
  <si>
    <t>www.infor.com</t>
  </si>
  <si>
    <t>The Infor Government SaaS (IGS) system, including the Enterprise Asset Management (EAM) application, is a fully web-architected solution with an advanced integrated suite of modules that helps companies proactively manage assets, asset information, and maintenance activities. It combines a variety of asset management modules with advanced modules enabling customization for a customer’s asset management needs. 
IGS is a Cloud Software-as-a-Service (SaaS) offering hosted on the Amazon Web Services (AWS) Government Cloud environment, a community-cloud limited to federal, state, and local government. In conjunction with IGS common control environment, Government agencies can host sensitive workloads in the isolated AWS GovCloud (US) Region which is adherent to regulatory frameworks such as U.S. International Traffic in Arms Regulations (ITAR), Criminal Justice Information Services (CJIS) requirements, and Levels 2 and 4 of Department of Defense systems.</t>
  </si>
  <si>
    <t>https://marketplace.fedramp.gov/img/logos/CSP_logos/Infor%20Logo.jpg</t>
  </si>
  <si>
    <t>FY18-142</t>
  </si>
  <si>
    <t>https://community.max.gov/download/attachments/1356301811/ATO.Letter_SAPNS2_DoT_7.3.18.pdf?api=v2</t>
  </si>
  <si>
    <t>FY18-143</t>
  </si>
  <si>
    <t>https://community.max.gov/download/attachments/1155204218/ATO.Letter_MSAG_HHS_CMS_10.13.17.pdf?api=v2</t>
  </si>
  <si>
    <t>FY18-144</t>
  </si>
  <si>
    <t>https://community.max.gov/download/attachments/1035338333/ATO.Letter_Box_DoT_6.29.18.pdf?api=v2</t>
  </si>
  <si>
    <t>FY18-145</t>
  </si>
  <si>
    <t>Andrea Brackett</t>
  </si>
  <si>
    <t>https://community.max.gov/download/attachments/1155204218/ATO.Letter_MSAzure_TVA_7.19.18.pdf?api=v2</t>
  </si>
  <si>
    <t>FY18-146</t>
  </si>
  <si>
    <t>https://community.max.gov/download/attachments/992346706/ATO.Letter_MSO365_TVA_7.19.18.pdf?api=v2</t>
  </si>
  <si>
    <t>FY18-147</t>
  </si>
  <si>
    <t>Ken Klinner</t>
  </si>
  <si>
    <t>https://community.max.gov/download/attachments/1155203837/ATO.Letter_ServiceNow_DoI_7.19.18.pdf?api=v2</t>
  </si>
  <si>
    <t>FY18-148</t>
  </si>
  <si>
    <t>Allison McCall</t>
  </si>
  <si>
    <t>https://community.max.gov/download/attachments/992346706/ATO.Letter_MSO365_DoC_NTIS_7.23.18.pdf?api=v2</t>
  </si>
  <si>
    <t>FY18-149</t>
  </si>
  <si>
    <t>Innovative Discovery, LLC</t>
  </si>
  <si>
    <t>Innovative Discovery Government Cloud (IDGC)</t>
  </si>
  <si>
    <t>FR1800263217</t>
  </si>
  <si>
    <t>Raghav Vajjhala</t>
  </si>
  <si>
    <t>https://community.max.gov/x/BwOUW</t>
  </si>
  <si>
    <t>https://community.max.gov/display/FedRAMPExternal/Innovative+ATO+Letters</t>
  </si>
  <si>
    <t>James H. Perkins Jr.</t>
  </si>
  <si>
    <t>fedramp@id-edd.com</t>
  </si>
  <si>
    <t>www.id-edd.com</t>
  </si>
  <si>
    <t>The Innovative Discovery Government Cloud (ID Gov-Cloud) is a Software as a Service (SaaS)
offering that provides a secure and scalable environment for government legal document services.
Utilizing the robust and feature-rich Relativity platform, ID Gov-Cloud offers software services to
agencies within a secure, scalable, and compliant cloud environment. Agencies can leverage the full
scope of eDiscovery services within one scalable platform, to include but not limited to: processing,
document review, advanced analytics, assisted review, legal hold services, and production. All these
service packages are provided within a secure and user-friendly customer interface. Government
agencies also leverage the added capabilities of Innovative Discovery’s government project
management teams and workflows, benefitting from years of experience supporting complex
government electronic discovery requests.</t>
  </si>
  <si>
    <t>https://marketplace.fedramp.gov/img/logos/CSP_logos/Innovative%20Discovery%20Logo.jpg</t>
  </si>
  <si>
    <t>FY18-150</t>
  </si>
  <si>
    <t>Everbridge</t>
  </si>
  <si>
    <t>Everbridge Suite</t>
  </si>
  <si>
    <t>F1412165928</t>
  </si>
  <si>
    <t>https://community.max.gov/x/BgD8Nw</t>
  </si>
  <si>
    <t>https://community.max.gov/download/attachments/939262826/ATO.Letter_Everbridge_FHFA_6.7.18.pdf?api=v2</t>
  </si>
  <si>
    <t>SK Bhachech</t>
  </si>
  <si>
    <t>FedRAMPinfo@everbridge.com</t>
  </si>
  <si>
    <t>www.everbridge.com</t>
  </si>
  <si>
    <t>Everbridge is a global provider of SaaS-based unified critical communications solutions. During mission-critical business events or man-made or natural disasters, the Everbridge platform enables customers to quickly and reliably deliver the right message and reach the right people, on the right device, in the right location, at the right time. Utilizing sophisticated communications technologies, Everbridge has the ability to deliver and verify messages in near real-time to more than 100 different communication devices, in over 200 countries and territories, in multiple languages – all simultaneously.</t>
  </si>
  <si>
    <t>https://marketplace.fedramp.gov/img/logos/CSP_logos/Everbridge%20Logo.jpg</t>
  </si>
  <si>
    <t>AGENCYAMAZONEW, MSO365MT, F1508207205</t>
  </si>
  <si>
    <t>FY18-151</t>
  </si>
  <si>
    <t>https://community.max.gov/download/attachments/1155203837/ATO.Letter_ServiceNow_HHS_CMS_7.23.18.pdf?api=v2</t>
  </si>
  <si>
    <t>FY18-152</t>
  </si>
  <si>
    <t>Valimail</t>
  </si>
  <si>
    <t>Valimail Enforce Platform</t>
  </si>
  <si>
    <t>FR1817874315</t>
  </si>
  <si>
    <t>https://community.max.gov/x/uQDJWQ</t>
  </si>
  <si>
    <t>https://community.max.gov/download/attachments/1506345151/ATO.Letter_Valimail_DoC_7.18.18.pdf?api=v2</t>
  </si>
  <si>
    <t>Benn Stratton</t>
  </si>
  <si>
    <t>fedramp@valimail.com</t>
  </si>
  <si>
    <t>https://www.valimail.com/solutions-for-government/</t>
  </si>
  <si>
    <t xml:space="preserve">The Valimail Enforce platform provides automated monitoring and enforcement of Domain-based Message Authentication, Reporting &amp; Conformance (DMARC). DMARC enforcement protects government domains from fraudulent use, and is required for federal agencies under the Department of Homeland Security Binding Operational Directive (BOD) 18-01.
The Department of Homeland Security’s BOD 18-01 mandates that federal agencies deploy DMARC at enforcement by October 16, 2018. An enforcement policy directs receiving mail servers to reject all non-authorized emails using those domains, eliminating phishers’ ability to impersonate those agencies by using their domains in fraudulent email messages.
Valimail provides DMARC monitoring, SPF management, and DMARC enforcement in a FedRAMP environment to support government domains that need to rapidly deploy, configure, and maintain DMARC enforcement and comply with DHS BOD 18-01. </t>
  </si>
  <si>
    <t>https://marketplace.fedramp.gov/img/logos/CSP_logos/Valimail%20Logo2.jpg</t>
  </si>
  <si>
    <t>FY18-153</t>
  </si>
  <si>
    <t>James Thomas II</t>
  </si>
  <si>
    <t>https://community.max.gov/download/attachments/992346635/ATO.Letter_Blackberry_DoT_7.24.18.pdf?api=v2</t>
  </si>
  <si>
    <t>FY18-154</t>
  </si>
  <si>
    <t>National Institutes of Standards and Technology</t>
  </si>
  <si>
    <t>Kevin Kimball</t>
  </si>
  <si>
    <t>https://community.max.gov/download/attachments/939262826/ATO.Letter_Everbridge_DoC_3.31.18.pdf?api=v2</t>
  </si>
  <si>
    <t>FY18-155</t>
  </si>
  <si>
    <t>John Rogers</t>
  </si>
  <si>
    <t>https://community.max.gov/download/attachments/936118328/ATO.Letter_Acquia_CFTC_3.8.18.pdf?api=v2</t>
  </si>
  <si>
    <t>https://marketplace.fedramp.gov/img/logos/Agency_logos/CFTC%20Logo.jpg</t>
  </si>
  <si>
    <t>FY18-156</t>
  </si>
  <si>
    <t>TRAPWIRE</t>
  </si>
  <si>
    <t>TRAPWIRE Threat Detection and Analysis System</t>
  </si>
  <si>
    <t>F1602057825</t>
  </si>
  <si>
    <t>Pentagon Force Protection Agency</t>
  </si>
  <si>
    <t>https://community.max.gov/x/BxCeT</t>
  </si>
  <si>
    <t>https://community.max.gov/download/attachments/1285427222/ATO%20Letter_TrapWire_DoD_PFPA_1.11.18.pdf?api=v2</t>
  </si>
  <si>
    <t>Paul Chadha</t>
  </si>
  <si>
    <t>info@trapwire.com</t>
  </si>
  <si>
    <t>www.trapwire.com</t>
  </si>
  <si>
    <t>TRAPWIRE is the preeminent software platform for detecting and alerting on threats against your assets and personnel in real-time. It provides a comprehensive suite of tools all synchronized and accessible in one centralized, highly secure and encrypted platform, including:
 - Incident reporting 
 - Pattern analysis and threat detection    
 - Originator-controlled information sharing 
 - Mass warning and notifications    
 - Cross-organizational collaboration 
 - Mobile applications for reporting and alerts
The TRAPWIRE Threat Detection and Analysis System brings security organizations into a protection network that detects and alerts on mutual threats spanning time and geography, allowing users to break down stovepipes and interdict threats before they materialize into successful criminal or terrorist acts. The network encapsulates thousands of protected facilities and personnel spanning Federal, State, and Local Law Enforcement; Anti-Terrorism/Force Protection personnel; private/commercial security organizations; and community protection programs. Bringing all sectors together with modern technology and expert analytical support services, while maintaining “originator control” principles for each owner’s data, empowers a tangible force multiplier effect.</t>
  </si>
  <si>
    <t>https://marketplace.fedramp.gov/img/logos/CSP_logos/Trapwire%20Logo.jpg</t>
  </si>
  <si>
    <t>FY18-157</t>
  </si>
  <si>
    <t>Paul Beckman</t>
  </si>
  <si>
    <t>https://community.max.gov/download/attachments/992346635/ATO.Letter_Blackberry_DHS_7.18.18.pdf?api=v2</t>
  </si>
  <si>
    <t>FY18-158</t>
  </si>
  <si>
    <t>Zscaler</t>
  </si>
  <si>
    <t>Zscaler Private Access - Government (VPN Replacement)</t>
  </si>
  <si>
    <t>FR1719759604</t>
  </si>
  <si>
    <t>Marie Calvosa</t>
  </si>
  <si>
    <t>https://community.max.gov/x/DA0QX</t>
  </si>
  <si>
    <t>https://community.max.gov/download/attachments/1544555797/FCC-ZPA-FedRAMP-ATO-Letter%20-%20Signed.pdf?api=v2</t>
  </si>
  <si>
    <t>Stephen Kovac</t>
  </si>
  <si>
    <t>fedramp@zscaler.com</t>
  </si>
  <si>
    <t>www.zscaler.com</t>
  </si>
  <si>
    <t>**ZSCALER PRIVATE ACCESS**
**The first major breakthrough in secure remote access since the VPN**
Zscaler is a leader in securing Internet traffic for enterprises around the globe, with a cloud-based security platform designed to protect enterprise Internet traffic with Secure Web Gateway, Cloud Application Visibility and Control, Cloud Sandboxing, Data Loss Prevention, and more. Zscaler Private Access builds from the same cloud-based, elastically scalable infrastructure to deliver seamless connectivity to private internal applications and assets.
Zscaler Private Access solves the challenges posed by a traditional VPN infrastructure by decoupling your internal assets and applications from the limitations, cost, and complexity of direct IP network connections. Zscaler Private Access delivers seamless connectivity to private internal applications and assets whether they are in the cloud, the data center, or both. Policy-driven access adjusts dynamically to network changes, enabling enterprise agility while improving user experience.
With Zscaler Private Access, there is no need to provision VPN termination hardware, or to ensure that such a deployment is globally distributed and redundant. Users no longer need to go through a termination appliance in the data center to get to apps in the cloud. In fact, there is no hardware to buy at all, because Zscaler Private Access, like our Cloud Security Platform, functions as a service.
Zscaler maintains all hardware and software, freeing both your IT team and your budget even as we reduce latency and boost scalability. Zscaler Private Access is tied directly to your existing authentication infrastructure, leveraging single sign-on to further reduce complexity. The result is that unlike traditional, network-based remote access solutions, Zscaler Private Access can be deployed in a matter of hours instead of taking weeks or months.
**Improve your security posture even as you provide seamless access**
The reductions in overall cost and complexity are compelling on their own, but the paramount feature of the Zscaler Private Access solution is security. Once a connection is established between the asset and the client, the traffic traversing the solution remains completely isolated; because Zscaler Private Access is built on the premise of zero trust for your private applications, the traffic is isolated from us, as well. And because Zscaler Private Access abstracts the asset from the network, it not only ensures seamless access regardless of physical location, it dramatically increases your overall security posture by effectively making your most sensitive material invisible. Any attempt to route back to the application/asset meets a dead end.
**Connect by application, not by IP address**
VPNs have been designed to deliver access to a network, not to an application. Once on a network, malware can propagate and users may be able to get access to adjacent applications from which they should be restricted. In addition, because VPN concentrators must listen for inbound connection attempts, they present an attack surface which may be exploited by such things as Distributed Denial of Service attacks.
Eliminate the cost of VPNs and associated equipment
As part of our global, cloud-based security platform, Zscaler maintains all hardware and software, which frees both your IT staff and your budget and enables deployment in a matter of hours. Even better, Zscaler Private Access is deployed via the same Zscaler App you use to access our cloud security platform, which greatly reduces your “client sprawl” by delivering a
single app that provisions Zscaler Remote Access, Secure Web Gateway, Data Loss Prevention, Cloud Sandboxing, Cloud Firewall, and more.
Take your applications from “on-net” to “dark- net,” at the same time YOU get complete visibility.  Zscaler Private Access renders your applications invisible to all but authorized users, and unroutable to anyone.  But because the solution works at the application layer, we also deliver a level of visibility to you that has never before been possible. Once you provision a Connector in front of a bank of assets, you can use a wildcard attribute to discover exactly what applications are actually running there. Some customers have found almost ten times as many applications in use as they had expected! And once you know what applications are running, you can easily create granular access rules for them.
App Discovery makes deployment easy.</t>
  </si>
  <si>
    <t>https://marketplace.fedramp.gov/img/logos/CSP_logos/Zscaler%20Logo.jpg</t>
  </si>
  <si>
    <t>AGENCYAMAZONEW, F1603047866</t>
  </si>
  <si>
    <t>FY18-159</t>
  </si>
  <si>
    <t>Acendre, Inc.</t>
  </si>
  <si>
    <t>Acendre Talent Management Solution Suite</t>
  </si>
  <si>
    <t>F1604217888</t>
  </si>
  <si>
    <t>https://community.max.gov/x/zQKpPg</t>
  </si>
  <si>
    <t>https://community.max.gov/download/attachments/1469416733/ATO.Letter_Acendre_FHFA_7.12.18.pdf?api=v2</t>
  </si>
  <si>
    <t>Acendre Compliance Team</t>
  </si>
  <si>
    <t>compliance@acendre.com</t>
  </si>
  <si>
    <t>https://www.acendre.com</t>
  </si>
  <si>
    <t>Acendre is a worldwide leader in secure cloud-based talent management software. The company’s solutions address the unique needs of organizations that require a high level of configurability to manage complex workflows and interoperability challenges. Acendre serves both public and private sectors, including Federal Government, Education, Healthcare, Utilities and Mining. Acendre solutions help these organizations recruit, engage, retain and develop their employees to improve workforce performance. A recipient of numerous awards and with almost 400,000 customer users, Acendre processes over two million resumes a year and over two million transactions every week.</t>
  </si>
  <si>
    <t>https://marketplace.fedramp.gov/img/logos/CSP_logos/Acendre%20Logo.jpg</t>
  </si>
  <si>
    <t>FY18-160</t>
  </si>
  <si>
    <t>Scot Knell</t>
  </si>
  <si>
    <t>https://community.max.gov/download/attachments/992346701/ATO.Letter_MicroPact_PC_8.9.18.pdf?api=v2</t>
  </si>
  <si>
    <t>FY18-161</t>
  </si>
  <si>
    <t>https://community.max.gov/download/attachments/1155204218/ATO.Letter_MSAzure_DoC_USPTO_7.31.18.pdf?api=v2</t>
  </si>
  <si>
    <t>FY18-162</t>
  </si>
  <si>
    <t>https://community.max.gov/download/attachments/992346706/ATO.Letter_MSO365_DoC_USPTO_7.31.18.pdf?api=v2</t>
  </si>
  <si>
    <t>FY18-163</t>
  </si>
  <si>
    <t>https://community.max.gov/download/attachments/992346701/ATO.Letter_MicroPact_DoC_USPTO_7.18.18.pdf?api=v2</t>
  </si>
  <si>
    <t>FY18-164</t>
  </si>
  <si>
    <t>https://community.max.gov/download/attachments/992346701/ATO.Letter_MicroPact_DoC_USPTO_5.18.18.pdf?api=v2</t>
  </si>
  <si>
    <t>FY18-165</t>
  </si>
  <si>
    <t>https://community.max.gov/download/attachments/915866150/ATO.Letter_1901_USAB_7.26.18.pdf?api=v2</t>
  </si>
  <si>
    <t>1901 Group’s in3sight is a consumption-based as-a-service cloud delivery capability providing Information Technology (IT) managed services for federal customer environments that span cloud, customer site, and hybrid configurations. in3sight is inclusive of 1901 Group’s 24×7 Operations Center in Blacksburg, Virginia where their software as a service (SaaS) platform is used to monitor, manage, and optimize enterprise IT environments. Services are securely extended into customer environments over FIPS140-2 Certified AES encrypted Virtual Private Network tunnels, and the in3sight customer facing capability used for ITIL-based service requests is supported by a FedRAMP FISMA Moderate multi-tenant ServiceNow instance. The 1901 Group SaaS Managed Service Provider (MSP) offering is described within 1901 Group’s Information Technology Service Catalog that encompasses network, unified communications, security, storage, compute and application solutions on an “as a Service” basis. in3sight provides standardized processes, services and technology to customers via an accredited platform, resulting in stable and reliable IT environments, as well as timely, accurate and meaningful monitoring and management information for decision making, and integrated analytics that improve efficiency.</t>
  </si>
  <si>
    <t>System leverages ServiceNow. Removed because SN complained.</t>
  </si>
  <si>
    <t>FY18-166</t>
  </si>
  <si>
    <t>Bureau of Alcohol, Tobacco, Firearms and Explosives</t>
  </si>
  <si>
    <t>Roger Beasley</t>
  </si>
  <si>
    <t>https://community.max.gov/download/attachments/1155203545/ATO.Letter_GovDelivery_DoJ_ATF_7.30.18.pdf?api=v2</t>
  </si>
  <si>
    <t>FY18-167</t>
  </si>
  <si>
    <t>Intelliworx</t>
  </si>
  <si>
    <t>Intelliworx Cloud</t>
  </si>
  <si>
    <t>FR1724526654</t>
  </si>
  <si>
    <t>Marc Smith</t>
  </si>
  <si>
    <t>https://community.max.gov/x/aoFsP</t>
  </si>
  <si>
    <t>https://community.max.gov/download/attachments/1495797634/ATO.Letter_Intelliworx_DoI_5.30.18.pdf?api=v2</t>
  </si>
  <si>
    <t>Tom Riley</t>
  </si>
  <si>
    <t>inquiries@hrworx.com</t>
  </si>
  <si>
    <t>www.hrworx.com</t>
  </si>
  <si>
    <t>The Intelliworx Platform is a secure, cloud-based, Software as a Service (SaaS) environment which powers data collection and workflow process applications. The Intelliworx Platform is the engine behind multiple government workflows, such as FDonline - an automation of the OGE Financial Disclosure process. The Intelliworx Platform also is the engine behind HRIT applications for Onboarding, Offboarding and Telework management. The Intelliworx Platform transforms agency form-based business processes, making them simple to complete for the employee and efficient to review and approve for the staff, in a single secure environment.</t>
  </si>
  <si>
    <t>https://marketplace.fedramp.gov/img/logos/CSP_logos/Intelliworx%20Logo.jpg</t>
  </si>
  <si>
    <t>F1603047866, F1508207205, F1509237360, F1607197917</t>
  </si>
  <si>
    <t>4tell Solutions</t>
  </si>
  <si>
    <t xml:space="preserve">4tell Platform for Government™ </t>
  </si>
  <si>
    <t>FR1820652374</t>
  </si>
  <si>
    <t>National Gallery of Art</t>
  </si>
  <si>
    <t>Michael Hardy</t>
  </si>
  <si>
    <t>fedramp@4tellsolutions.com</t>
  </si>
  <si>
    <t>http://www.4tellsolutions.com/gov-platform</t>
  </si>
  <si>
    <t>The 4tell Platform for Government™ is Capital Asset Performance Software-as-a-Service that allows governments to optimize the deployment of capital to meet mission objectives following the principles set forth in the ISO 55000 Management Systems Standard for Asset Management.  The 4tell Platform addresses the need for government executives, finance officers, asset managers, engineers, service providers, consulting contractors, and others to be able to compile and leverage shared capital asset data on behalf of the organization. 
The 4tell Platform supports a variety of asset management functions including:
* Strategic Planning
* Field Inspection
* Condition Assessment
* Capital Programming
* Reserve Fund Forecasting &amp; Recapitalization Strategy
* Roll-up Budgeting
* Deferred/Preventive Maintenance Planning
The 4tell Platform for Government drives eﬃciencies and enhances value from following speciﬁc industry standard practices and established business processes, and a commitment to Open Standards and Data Interoperability.</t>
  </si>
  <si>
    <t>https://marketplace.fedramp.gov/img/logos/CSP_logos/4tell%20Logo.jpg</t>
  </si>
  <si>
    <t>https://marketplace.fedramp.gov/img/logos/Agency_logos/NGA%20Logo.png</t>
  </si>
  <si>
    <t>Aconex Limited</t>
  </si>
  <si>
    <t>Aconex Collaboration Platform for Project Information and Process Management</t>
  </si>
  <si>
    <t>FR1712871948</t>
  </si>
  <si>
    <t>Surayansh Surana</t>
  </si>
  <si>
    <t>aconexgov-external@aconex.com</t>
  </si>
  <si>
    <t>https://www.aconex.com/.</t>
  </si>
  <si>
    <t xml:space="preserve">Aconex provides the #1 cloud and mobile collaboration platform for the global construction industry. This highly secure platform connects asset owners, contractors, EPCs, project managers, and their teams in the construction, infrastructure, and energy and resources sectors, providing project-wide visibility and control between the many different organizations collaborating across their projects. Aconex supports all phases of the project lifecycle – feasibility, planning, bidding, design, construction, inspections, handover, and operation and maintenance – and is accessible from any device, anywhere, at any time. The platform integrates project controls for cost and schedule management, document control, structured communications, workflow management, BIM collaboration, predictive insights, and APIs for data exchange with other systems.
With more than 70,000 user organizations and over $1 trillion of project value delivered in more than 70 countries, Aconex is the construction industry’s most widely adopted and trusted platform. Founded in 2000, Aconex has 47 offices in 23 countries around the world. The company’s ordinary shares are traded on the Australian Securities Exchange (ASX) under the ticker code ACX and are included in the S&amp;P/ASX 200 Index. For more information, please see [https://www.aconex.com/](https://www.aconex.com/). 
</t>
  </si>
  <si>
    <t>https://marketplace.fedramp.gov/img/logos/CSP_logos/Aconex%20Logo.jpg</t>
  </si>
  <si>
    <t>Armedia, LLC</t>
  </si>
  <si>
    <t>Armedia Content Cloud</t>
  </si>
  <si>
    <t>FR1708752710</t>
  </si>
  <si>
    <t>Postal Regulatory Commission</t>
  </si>
  <si>
    <t>https://community.max.gov/x/yQ_4Jg</t>
  </si>
  <si>
    <t>Shea Nangle</t>
  </si>
  <si>
    <t>fedramp@armedia.com</t>
  </si>
  <si>
    <t>https://www.armedia.com</t>
  </si>
  <si>
    <t xml:space="preserve">Armedia Content Cloud (ACC) provides an operational, fully provisioned infrastructure that meets FedRAMP Moderate requirements.  As a software as a service (SaaS) offering, the authorized ACC system allows customers to meet agency requirements without major capital investment and with reduced technical staff.  Armedia provides full, professional management of the SaaS offering, and the infrastructure supporting the SaaS includes professionally hosted servers, storage, network connectivity, and associated management systems.  ACC offers a suite of three SaaS solutions -- the ArkCase case management system, the Alfresco enterprise content management (ECM) system and the Ephesoft Intelligent Document Capture system. </t>
  </si>
  <si>
    <t>https://marketplace.fedramp.gov/img/logos/CSP_logos/Armedia%20Logo.jpg</t>
  </si>
  <si>
    <t>https://marketplace.fedramp.gov/img/logos/Agency_logos/PRC%20Logo.jpg</t>
  </si>
  <si>
    <t>Asure Software</t>
  </si>
  <si>
    <t>Resource Scheduler Room and Real Estate Utilization</t>
  </si>
  <si>
    <t>FR1828574469</t>
  </si>
  <si>
    <t>https://community.max.gov/x/yAKZX</t>
  </si>
  <si>
    <t>Asure FedRAMP</t>
  </si>
  <si>
    <t>askasure@asuresoftware.com</t>
  </si>
  <si>
    <t>https://www.asuresoftware.com/product-lineup/full-service-room-scheduling/</t>
  </si>
  <si>
    <t>Audit Liaison</t>
  </si>
  <si>
    <t>The AsureSpace™ Resource Scheduler for Government is a flexible and robust workplace management solution that solves the most challenging workflow issues related to managing your spaces.  From conference rooms and video conferencing facilities to shared workspaces and managed services and equipment, Resource Scheduler is the most comprehensive workplace management solution available.  Let Asure Software pave the way for your organization with innovative scheduling solutions that deliver new levels of efficiency and productivity for your mobile, virtual, and traditional employees.
With innovative technology and an intuitive user interface, Resource Scheduler increases productivity and efficiency while simultaneously delivering real estate ROI with the potential for lease savings and cost avoidance. Resource Scheduler offers sophisticated functionality backed by a robust engine that is built to scale.  Combined with our integrated room panel displays, and availability sensors, Resource Scheduler has everything you need to build the Agile Workplace of the future while reducing overall costs.
**Room, Resource, and Service Management**
Resource Scheduler is an online, cloud-based scheduling system for desk, room, and resource reservations. If you are scheduling a quick team meeting or a detailed client event, Resource Scheduler offers intuitive solutions that ensure the optimum space to get the job done.
* Quickly find and reserve rooms, equipment, and services
* Comprehensive scheduling includes options for recurring, multi-day and multi-resource reservations
* Create reservations and sending meeting invites from the web, Outlook, or your mobile device
* Streamline internal operations with a dynamic service management system that includes inventory control and reporting
**Integrated Solutions for Workplace Productivity**
Asure Software’s fully integrated scheduling solution can help you achieve your efficiency and productivity goals by reducing manual processes, improving collaboration, and increasing the productivity of your mobile workforce.
* Seamlessly integrate room and resource scheduling with Microsoft Outlook
* Keep teams connected with integrations for WebEx, Crestron Fusion, and Cisco TMS video conferencing and more
* Streamline operations with an integrated visitor management solution that enforces security protocols
* Create a modern, tech-savvy workplace with digital signage, digital room touch panels, and interactive kiosks
**Desk Sharing for Employee Engagement**
The key to any successful organization is employee engagement. Desk sharing is a powerful way to give your employee’s control over their work experience and improve engagement and productivity. With Resource Scheduler desk management solutions, users can find and reserve shared workspace quickly and easily from the web, a kiosk, Outlook, or their mobile device. Resource Scheduler makes it easy for users to find the space they’re looking for—by location, workspace type, or proximity to co-workers—and displays the results visually on an interactive floorplan.
* Drive program adoption with an intuitive user interface and mobile scheduling from multiple devices
* Support mobile and virtual workers with integrated tools for easy collaboration
* Leverage available sensor technology to track space utilization and measure program performance
* Visualize trends, analyze usage behavior, and make data-driven decisions about your real estate investment and workplace design</t>
  </si>
  <si>
    <t>https://marketplace.fedramp.gov/img/logos/CSP_logos/Asure%20Logo.jpg</t>
  </si>
  <si>
    <t>Avaya, Inc.</t>
  </si>
  <si>
    <t>Avaya Cloud Secure</t>
  </si>
  <si>
    <t>F1506046708</t>
  </si>
  <si>
    <t>United States House of Representatives</t>
  </si>
  <si>
    <t>https://community.max.gov/x/84P4UQ</t>
  </si>
  <si>
    <t>Patrick Goins</t>
  </si>
  <si>
    <t>fedramp@avaya.com</t>
  </si>
  <si>
    <t>https://www.avaya.com/en/fedramp</t>
  </si>
  <si>
    <t>Avaya Cloud Secure is a government community collaboration environment delivering mobility, voice, video, web, chat, presence, conferencing, voicemail, contextual collaboration, and a rich communication experience.
The solution is a dedicated Unified Communication (UC) cloud offering. Each agency is provided their own individual instance on a virtual platform that provides a highly customizable, reliable and secure environment.
Avaya Cloud Secure provides a cloud solution for all real time communication needs that enable agencies to support their missions expediently and efficiently.</t>
  </si>
  <si>
    <t>https://marketplace.fedramp.gov/img/logos/CSP_logos/Avaya%20Logo.jpg</t>
  </si>
  <si>
    <t>https://marketplace.fedramp.gov/img/logos/Agency_logos/House%20of%20Reps%20Logo.jpg</t>
  </si>
  <si>
    <t>Axon</t>
  </si>
  <si>
    <t>Axon Evidence.com</t>
  </si>
  <si>
    <t>FR1703752011</t>
  </si>
  <si>
    <t>https://community.max.gov/x/YgwMU</t>
  </si>
  <si>
    <t>Gregory Hewes</t>
  </si>
  <si>
    <t>infosec@axon.com</t>
  </si>
  <si>
    <t>www.axon.com</t>
  </si>
  <si>
    <t>Axon Evidence.com is the central hub of the Axon Network and acts as a central repository for customers' digital evidence and a central management console for Axon products and devices. Axon Evidence.com enables cloud based workflows for the management and sharing of digital evidence to support the operational needs of the public safety market.</t>
  </si>
  <si>
    <t>https://marketplace.fedramp.gov/img/logos/CSP_logos/Axon%20Logo.jpg</t>
  </si>
  <si>
    <t>BrightWork</t>
  </si>
  <si>
    <t>FedRAMP Project Office JumpStart provided by Project Hosts</t>
  </si>
  <si>
    <t>F1403283529B</t>
  </si>
  <si>
    <t>BrightWork is the most flexible project management solution with best-practice templates and portfolio management dashboards on SharePoint. BrightWork guarantees greater simplicity for project managers, better visibility for senior executives, and the ability to deliver better and more consistent organizational project management.
The BrightWork solution is built around a framework that helps organizations implement collaborative project management.  The BrightWork philosophy can be summarized as “Start, Evolve”. This approach to project management makes it easy for organizations to get started quickly with project management, delivering immediate visibility and control, with the flexibility to mature their project management practices as the needs of a project or team change.
With BrightWork, you can:
**Track portfolios with reporting dashboards**
Portfolio dashboards in BrightWork give you the visibility into project statuses, resource allocation and new project requests to successfully manage portfolios of projects.
**Manage successful projects with intuitive project management templates**
The range of best-practice project management templates in BrightWork lets you get a project up and running very quickly, with the tools to track, manage and deliver better projects.
**Collaborate efficiently with your team and deliver results**
BrightWork project sites bring all project information together in one place and provide a simple work management system to manage tasks and track work.
**Improve your project management practices**
With the BrightWork template management system, it is easy to capture, reuse and deploy new processes to support the continuous improvement of organizational project management.
The BrightWork [FedRAMP Project Office JumpStart](https://www.brightwork.com/get-started/fedramp-jumpstart) provided by Project Hosts enables their U.S. Federal and State Agency customers to accelerate the successful deployment of project and portfolio management in a secure and dedicated SharePoint environment.</t>
  </si>
  <si>
    <t>https://marketplace.fedramp.gov/img/logos/CSP_logos/Brightwork%20Logo.jpg</t>
  </si>
  <si>
    <t>BroadSoft Inc.</t>
  </si>
  <si>
    <t>BroadSoft Government Cloud</t>
  </si>
  <si>
    <t>F1509107286</t>
  </si>
  <si>
    <t>United States Senate</t>
  </si>
  <si>
    <t>Office of the Sergeant at Arms</t>
  </si>
  <si>
    <t>https://community.max.gov/x/7IbySQ</t>
  </si>
  <si>
    <t>Burke Daidy</t>
  </si>
  <si>
    <t>fedramp@broadsoft.com</t>
  </si>
  <si>
    <t>www.broadsoft.com</t>
  </si>
  <si>
    <t>BroadSoft Government Cloud is a comprehensive cloud-based Unified Communications (UCaaS) solution designed specifically to address the telecommunication and collaboration and needs of government agencies. Ranging from basic voice telephone services to high-definition multipoint video and mobile integration, BroadSoft Government Cloud redefines workplace efficiency in the public sector. Staff can be instantly available via desk phone, PC, tablet or mobile phone, while working from virtually anywhere.</t>
  </si>
  <si>
    <t>https://marketplace.fedramp.gov/img/logos/CSP_logos/Broadsoft%20Logo.jpg</t>
  </si>
  <si>
    <t>https://marketplace.fedramp.gov/img/logos/Agency_logos/Senate%20Logo.jpg</t>
  </si>
  <si>
    <t>CA Technologies Inc.</t>
  </si>
  <si>
    <t>CA Infrastructure General Support Systems (GSS)</t>
  </si>
  <si>
    <t>FR1722462413</t>
  </si>
  <si>
    <t>https://community.max.gov/x/6gvgTQ</t>
  </si>
  <si>
    <t>Sean Aryai</t>
  </si>
  <si>
    <t>sean.aryai@ca.com</t>
  </si>
  <si>
    <t>www.ca.com</t>
  </si>
  <si>
    <t>CA General Support System (GSS) provides the foundational components that will support CA Technologies cloud services. It is leveraged by multiple CA SaaS services for common controls.</t>
  </si>
  <si>
    <t>https://marketplace.fedramp.gov/img/logos/CSP_logos/CA%20Tech%20Logo.jpg</t>
  </si>
  <si>
    <t>CA Project &amp; Portfolio Management (PPM)</t>
  </si>
  <si>
    <t>FR1722532017</t>
  </si>
  <si>
    <t>https://community.max.gov/x/bg3gTQ</t>
  </si>
  <si>
    <t>Steve Zorra</t>
  </si>
  <si>
    <t>CA Project and Portfolio Management (CA PPM) offers US government agencies a highly secure and scalable platform to manage their entire project and portfolio lifecycle to better deliver services, projects and financials. CA PPM provides customers the confidence they need on a highly secure and compliant platform. CA PPM is a single platform that lets you manage multiple project portfolios and make data-driven investment decisions.
The solution gives you modern project management tools to help you prioritize requirements, maximize resources and optimize portfolios with ease.
* One platform. Collect, prioritize, assess and deliver projects, portfolios and products, and empower people enterprise-wide, with a single system of record.
* Complete solution. Manage your entire innovation lifecycle, including project and portfolio management, demands and resources, and financials and time tracking.
* Persona-based user experience. Flattening the learning curve drives adoption and boosts staff productivity. Modules are specifically designed for project managers, resources managers and project coordinators to support anything from ad hoc work to complex programs.
* Team collaboration. New tools let team members collaborate within the context of their current work, such as resource or financial management. At the portfolio level, the quality of planning and execution increases significantly when employees can crowdsource ideas and decisions.
* Delivery. CA PPM SaaS. Reduce cost and accelerate time to benefit, drive adoption and ensure you’re always on the latest release with a user-based subscription service delivered across a secure, scalable infrastructure.</t>
  </si>
  <si>
    <t>Centrify</t>
  </si>
  <si>
    <t>Centrify Identity Services &amp; Centrify Privilege Services</t>
  </si>
  <si>
    <t>F1606177905</t>
  </si>
  <si>
    <t>https://community.max.gov/x/HQgdU</t>
  </si>
  <si>
    <t>Greg Cranley</t>
  </si>
  <si>
    <t>greg.cranley@centrify.com</t>
  </si>
  <si>
    <t>www.centrify.com</t>
  </si>
  <si>
    <t>Centrify Identity Service (CIS) unifies identity and mobility management into an enterprise cloud service to secure and manage SaaS and mobile application access, as well as mobile devices. CIS improves end-user productivity and secures access to cloud, mobile, and on-premises apps via single sign-on, user provisioning and multi-factor authentication. CIS allows agencies to manage apps, mobile devices, and Macs via Active Directory, as well as optionally via LDAP or cloud identity stores for contractors or outside partners whose identities will not be stored within SSA’s Active Directory. CIS provides security, simplicity and control, as IT gets one place to manage all accounts and devices, while users get single sign-on across cloud and mobile apps from any of their device.</t>
  </si>
  <si>
    <t>https://marketplace.fedramp.gov/img/logos/CSP_logos/Centrify%20Logo2.jpg</t>
  </si>
  <si>
    <t>https://marketplace.fedramp.gov/img/logos/Agency_logos/OPIC%20Logo.png</t>
  </si>
  <si>
    <t>CFI Group</t>
  </si>
  <si>
    <t>Customer Feedback Management System (CFMS)</t>
  </si>
  <si>
    <t>F1609087941</t>
  </si>
  <si>
    <t>https://community.max.gov/x/YIHORQ</t>
  </si>
  <si>
    <t>Terry Redding</t>
  </si>
  <si>
    <t>tredding@cfigroup.com</t>
  </si>
  <si>
    <t>www.cfigroup.com</t>
  </si>
  <si>
    <t>The CFMS solution provides the ability to collect survey data from citizens and/or federal employees. Survey programs analyze and statistically model the data using the patented methodology of the American Customer Satisfaction Index (ACSI) and then share the results back to our clients via a secure web portal. In addition, CFI Group provides in depth reports and presentations to further analyze and provide recommendations based on the information collected. CFMS is hosted on Amazon.</t>
  </si>
  <si>
    <t>https://marketplace.fedramp.gov/img/logos/CSP_logos/CFI%20Logo.jpg</t>
  </si>
  <si>
    <t>CircleCI</t>
  </si>
  <si>
    <t>CircleCI Cloud</t>
  </si>
  <si>
    <t>FR1814240140</t>
  </si>
  <si>
    <t>https://community.max.gov/x/7oLgVQ</t>
  </si>
  <si>
    <t>Angela Eichner</t>
  </si>
  <si>
    <t>government@circleci.com</t>
  </si>
  <si>
    <t>https://circleci.com/</t>
  </si>
  <si>
    <t xml:space="preserve">CircleCI is a highly configurable and powerful continuous integration and delivery platform that helps software teams confidently and securely release code by automating the build, test, and deploy process.  Our cloud offering removes operational overhead as we oversee the setup, security, and maintenance of your continuous integration instances. 
With easy setup and configuration-as-code, CircleCI removes bottlenecks, allowing teams to focus on building great things, instead of waiting for great things to build. By enabling shorter iteration cycles and immediate feedback, innovation happens faster. The platform helps developers and QA find bugs and get fixes out quickly.   Operations teams use CircleCI to simplify their tool chains without having to manage additional plugins and services.  
Scale is where [https://circleci.com](https://circleci.com) really shines.  We're proud to support our customers, from small startups to the largest enterprises and government agencies on earth.  </t>
  </si>
  <si>
    <t>https://marketplace.fedramp.gov/img/logos/CSP_logos/CircleCi%20Logo.jpg</t>
  </si>
  <si>
    <t>AppDynamics by Cisco</t>
  </si>
  <si>
    <t>FR1823368486</t>
  </si>
  <si>
    <t>https://community.max.gov/x/U4c1WQ</t>
  </si>
  <si>
    <t>Dave Morrison</t>
  </si>
  <si>
    <t>fedramp@appdynamics.com</t>
  </si>
  <si>
    <t>www.appdynamics.com</t>
  </si>
  <si>
    <t>AppDynamics by Cisco offers real-time, end-to-end management for distributed applications that encompasses application mapping, dynamic baselines and code-level diagnostics.</t>
  </si>
  <si>
    <t>Cisco WebEx Teams</t>
  </si>
  <si>
    <t>FR1734755703</t>
  </si>
  <si>
    <t>https://community.max.gov/x/pYgaUg</t>
  </si>
  <si>
    <t>Deepa Mahendraker</t>
  </si>
  <si>
    <t>https://www.ciscospark.com/</t>
  </si>
  <si>
    <t>Cisco Spark, one service for all of your communications</t>
  </si>
  <si>
    <t>Collibra</t>
  </si>
  <si>
    <t>Data Governance Center</t>
  </si>
  <si>
    <t>FR1706403967</t>
  </si>
  <si>
    <t xml:space="preserve">Department of Homeland Security </t>
  </si>
  <si>
    <t>Jason Robinson</t>
  </si>
  <si>
    <t>jason.robinson@collibra.com</t>
  </si>
  <si>
    <t>www.collibra.com</t>
  </si>
  <si>
    <t>Collibra makes it easy for data citizens to find, understand and trust the organizational data they need to make business decisions every day. Unlike traditional data governance solutions, Collibra is a cross-organizational platform that breaks down the traditional data silos, freeing the data so all users have access.</t>
  </si>
  <si>
    <t>https://marketplace.fedramp.gov/img/logos/CSP_logos/Collibra%20Logo.jpg</t>
  </si>
  <si>
    <t>Companion Data Services</t>
  </si>
  <si>
    <t>CDS Cloud Companion System</t>
  </si>
  <si>
    <t>F1507307097</t>
  </si>
  <si>
    <t>https://community.max.gov/x/LYPgNg</t>
  </si>
  <si>
    <t>David Harper</t>
  </si>
  <si>
    <t>CDS-Marketing@companiondataservices.com</t>
  </si>
  <si>
    <t>www.companiondataservices.com</t>
  </si>
  <si>
    <t>Companion Data Services’ Cloud Companion® is a highly secure, multi-tenant, enterprise class cloud computing service offering. Our solutions enable government agencies and non-government organizations to operate in the cloud with greater agility and flexibility while adhering to rigorous security, privacy and information technology governance controls required by the federal government.
Companion Data Services (CDS) delivers fully managed end-to-end cloud integration, development, management and maintenance services. Cloud Companion Managed Services Solutions helps customers effectively create the best architecture and implementation plans for moving workloads to the cloud with confidence and security.
Our cloud hosting services include the provisioning of compute, network, operating system and storage resources to meet customers’ production, development and test computing needs, in addition to the provisioning and administration of the operating system, system management, security, storage management and backup. By combining enterprise class technology, Cloud Companion delivers high-availability and secured cloud hosting including monitoring, backups and recovery, and 24/7/365 support.
Customers benefit from our health care industry expertise and superior customer service, with a solution built from the ground up with security and best practices.
For more information, visit our website [www.companiondataservices.com](http://www.companiondataservices.com/).</t>
  </si>
  <si>
    <t>https://marketplace.fedramp.gov/img/logos/CSP_logos/Companion%20Data%20Logo.jpg</t>
  </si>
  <si>
    <t>Conservation Biology Institute</t>
  </si>
  <si>
    <t>Data Basin</t>
  </si>
  <si>
    <t>FR1715748802</t>
  </si>
  <si>
    <t>United States Fish and Wildlife</t>
  </si>
  <si>
    <t>https://community.max.gov/x/c43USQ</t>
  </si>
  <si>
    <t>Robert Lount</t>
  </si>
  <si>
    <t>technology@consbio.org</t>
  </si>
  <si>
    <t>www.databasin.org</t>
  </si>
  <si>
    <t>Data Basin is a science-based mapping and analysis platform that supports learning, research, and sustainable environmental stewardship.</t>
  </si>
  <si>
    <t>https://marketplace.fedramp.gov/img/logos/CSP_logos/Conservation%20Bio%20Institute%20Logo.jpg</t>
  </si>
  <si>
    <t>Coras</t>
  </si>
  <si>
    <t>CorasNow Federal</t>
  </si>
  <si>
    <t>FR1722160191</t>
  </si>
  <si>
    <t>https://community.max.gov/x/eoizU</t>
  </si>
  <si>
    <t>Raphael Delgado</t>
  </si>
  <si>
    <t>FedRAMP@Coras.com</t>
  </si>
  <si>
    <t>https://coras.com/fedramp/</t>
  </si>
  <si>
    <t>CorasNow Federal is a cloud-based application development Platform as a Service (PaaS) with our flagship Software as a Service Work Management solution called CorasProject, both offerings are available within a Government Only Community Cloud model.  CorasNow Federal was created to significantly reduce the cost and complexity of designing, building, and deploying applications in the cloud. An enterprise platform built within Microsoft Azure Government Cloud, CorasNow Federal allows for application virtualization. This robust application features a user-friendly interface allowing organizations to access tools and features that help their specific role and support the mission of the enterprise. CorasNow Federal is designed to meet the requirements for a FIPS 199 Moderate information system.
Organizations around the world rely on Coras to help them solve complex business problems through software. Since 2003, we’ve developed innovative, agile, flexible solutions that transform businesses – making it easier and faster to collaborate and get results. We believe your business should define your applications, not the other way around. The Coras platform delivers immediate value and generates meaningful results. That’s why top telecom, pharmaceutical, manufacturing, and financial companies, as well as the federal government, have been partnering with us for over 10 years.</t>
  </si>
  <si>
    <t>https://marketplace.fedramp.gov/img/logos/CSP_logos/CORAS%20Logo.jpg</t>
  </si>
  <si>
    <t>CrowdStrike, Inc.</t>
  </si>
  <si>
    <t>Falcon Platform</t>
  </si>
  <si>
    <t>FR1807853629</t>
  </si>
  <si>
    <t>https://community.max.gov/x/RhArW</t>
  </si>
  <si>
    <t>https://community.max.gov/x/8YngVQ</t>
  </si>
  <si>
    <t>Cayce Beames</t>
  </si>
  <si>
    <t>FedRamp@crowdstrike.com</t>
  </si>
  <si>
    <t>www.crowdstrike.com</t>
  </si>
  <si>
    <t xml:space="preserve">CrowdStrike is the leader in cloud-delivered next-generation endpoint protection. CrowdStrike has revolutionized endpoint protection by being the first and only company to unify next-generation antivirus, endpoint detection and response (EDR), and a 24/7 managed hunting service — all delivered via a single lightweight agent. The CrowdStrike Falcon™ platform, certified to replace legacy antivirus, has reinvented how endpoint security is delivered with its industry-leading, cloud native architecture. CrowdStrike Falcon protects customers against advanced cyber-attacks, using sophisticated signature-less artificial intelligence/machine learning and Indicator of Attack (IOA) based threat prevention to stop known and unknown threats in real-time. Core to its innovative approach is the CrowdStrike Threat Graph™ which analyzes and correlates over 45 billion events per day from millions of sensors deployed across more than 170 countries, uniquely providing crowdsourced protection for the entire customer community.
In today’s threat environment, it takes people, processes, technology AND intelligence to protect against sophisticated and persistent attacks. In addition to Falcon Endpoint protection, CrowdStrike provides Falcon Intelligence, a Cyber Threat Intelligence service delivered via the Cloud providing insights into the tools, tactics, and procedures of 80+ adversary groups – allowing government and organizations to plan for events in the future, diagnose incidents more efficiently, and monitor changes in the environment to prevent damage from advanced malware and targeted attacks.
Many of the world’s largest organizations already put their trust in CrowdStrike, including three of the 10 largest global companies by revenue, five of the 10 largest financial institutions, three of the top 10 health care providers, and three of the top 10 energy companies. 
CrowdStrike was founded by George Kurtz, former McAfee CTO and author of the best-selling “Hacking Exposed” series, with former McAfee VP of Threat Research Dmitri Alperovitch. The company has received numerous accolades, including being named Pioneer of the Year by World Economic Forum and making Forbes list of America's Most Promising Companies. CrowdStrike has secured $256 million in funding from A-list investors including Capital G (Google Capital), Accel Partners, March Capital Partners, Warburg Pincus as well as Rackspace and Telstra who are CrowdStrike customers. </t>
  </si>
  <si>
    <t>https://marketplace.fedramp.gov/img/logos/CSP_logos/CrowdStrike%20Logo.jpg</t>
  </si>
  <si>
    <t>Distributed Solutions, Inc.</t>
  </si>
  <si>
    <t>AEON</t>
  </si>
  <si>
    <t>FR1805752046</t>
  </si>
  <si>
    <t>https://community.max.gov/x/4IWwWQ</t>
  </si>
  <si>
    <t>AEON SaaS Team</t>
  </si>
  <si>
    <t>aeonsaas@distributedinc.com</t>
  </si>
  <si>
    <t>www.distributedinc.com</t>
  </si>
  <si>
    <t>AEON is a powerful business process automation and management Software as a Service (SaaS) developed by Distributed Solutions, Inc. (DSI) that solves complex business process needs across the Government. AEON has been successfully deployed for Program Office Management, Project Budgeting and Planning, Document Generation, Complete Acquisition Lifecycle Management, Contract Writing, Invoice and Deliverable Tracking, Grants and Audit Management, Vendor Engagement, and Collaboration Portals.
AEON solutions provide no-code dynamic configurations, rapid implementation, and on-demand customer business process change. AEON’s sophisticated modern software design enables seamless version upgrades guaranteed to maintain business process continuity and integration survivability while delivering new features. The AEON SaaS eliminates stovepipes across an enterprise by delivering common data standards, business processing rules, collaboration, and shared integrations; this design facilitates cost-effective scaling of multiple solutions on the same platform.
AEON automates and modernizes business offices through the agile implementation of customer best practices, unique policies, Federal regulations (FAR/DFARS), stakeholder collaboration, digital signatures, workflows, evaluations, and other process management needs. Data can be accessed for real-time decision-making, business intelligence, interactive dashboards, and executive reporting.
Available as an end-to-end solution, AEON is also capable of assisting customers seeking to improve their business process while maximizing existing investments in technology and human capital. AEON can leverage current customer environments to fill known gaps in legacy business tools and deliver significant process improvements.  
DSI’s AEON software platform is built on the Microsoft stack for industry leading technology, performance, security, and maintenance. DSI partners with Project Hosts to deliver the AEON Solution in a FedRAMP compliant cloud hosted on Microsoft’s world-class Azure Government infrastructure.</t>
  </si>
  <si>
    <t>https://marketplace.fedramp.gov/img/logos/CSP_logos/DSI%20Logo.jpg</t>
  </si>
  <si>
    <t>DNAnexus, Inc.</t>
  </si>
  <si>
    <t>DNAnexus Platform</t>
  </si>
  <si>
    <t>FR1814557199</t>
  </si>
  <si>
    <t>https://community.max.gov/x/xodBVg</t>
  </si>
  <si>
    <t>https://community.max.gov/download/attachments/1447135187/ATO.Letter_DNAnexus_HHS_6.18.18.pdf?api=v2</t>
  </si>
  <si>
    <t>DNAnexus Compliance Team</t>
  </si>
  <si>
    <t>compliance@dnanexus.com</t>
  </si>
  <si>
    <t>https://www.dnanexus.com/</t>
  </si>
  <si>
    <t>The DNAnexus Platform is a public cloud analysis and data management platform for processing high-throughput molecular data; for combining molecular, clinical, and real-world data to discover relationships relevant to patient and population health, precision medicine, drug discovery and regulatory approval; and for enabling a network of government, academic, and commercial collaborators to securely form research communities. DNAnexus presents a Platform-as-a-Service including a brandable, customizable web interface, and an API for integration with upstream and downstream systems such as Laboratory Information Management, Clinical Trial Management, Electronic Data Capture, and clinical interpretation and reporting systems.
[Precision.FDA.gov/](https://precision.fda.gov/) the FDA's web service for collaborative advancement of regulatory standards for Next Generation Sequencing-based drugs and devices, is enabled by the DNAnexus Platform API, leveraging the Platform's secure and compliant analysis and data management services to deliver a fit-for-purpose interface to a secure community of researchers from government, academic, and commercial sectors.</t>
  </si>
  <si>
    <t>https://marketplace.fedramp.gov/img/logos/CSP_logos/DNAnexus%20Logo.jpg</t>
  </si>
  <si>
    <t>DOMA Technologies, LLC</t>
  </si>
  <si>
    <t>DOMA Software Platform</t>
  </si>
  <si>
    <t>FR1711248496</t>
  </si>
  <si>
    <t>https://community.max.gov/x/UQFcV</t>
  </si>
  <si>
    <t>Ian Checcio</t>
  </si>
  <si>
    <t>fedramp@domaonline.com</t>
  </si>
  <si>
    <t>https://www.domaonline.com/federal-government-solutions/</t>
  </si>
  <si>
    <t>The DOMA Software Platform is a powerful cloud based Intelligent Content Automation platform that is delivered as a Software as a Service (SaaS) solution. It offers organizations a data centric application to securely capture, manage, collaborate, and store content across the enterprise.  DOMA brings the unique expertise of 18 years of experience in delivering cloud-based software solutions coupled with the core focus of how ‘ease of use’ is the primary factor for driving user adoption.
There are considerable specific advantages to DOMA’s approach with delivering a highly configurable, rapidly deployed, non-license based pricing model centered around transactions.  The DOMA Software Platform gives customers more elastic options to expand, integrate other applications, and phase in more business processes without significant cost impacts.
DOMA is continually focused on staying on the forefront of emerging technologies, keeping current with evolving standards in information security, and integrating software innovations through standard REST API. Our platform is internally developed and maintained by a team of scientists, software engineers, and IT professionals, allowing our project management staff to collaborate directly between customers and developers to implement software configurations that meet customers’ specific business needs.</t>
  </si>
  <si>
    <t>https://marketplace.fedramp.gov/img/logos/CSP_logos/DOMA%20Logo.jpg</t>
  </si>
  <si>
    <t>Emergency Reporting</t>
  </si>
  <si>
    <t>Office of the Assistant Chief of Staff for Installation Management</t>
  </si>
  <si>
    <t>David Nokes</t>
  </si>
  <si>
    <t>david.nokes@emergencyreporting.com</t>
  </si>
  <si>
    <t>www.emergencyreporting.com</t>
  </si>
  <si>
    <t>Global operations demand global solutions. Emergency Reporting is a proven leader in Fire and EMS records management. The **Federal Package** focuses on the unique needs of the DoD and includes all of our most powerful tools, such as Occupancy, Training, Hydrants and more. Managing the daily operations of your first response team has never been easier or more secure. Other items valued by the DoD include Plus-One codes, VISION Risk Assessment for Accreditation and Safety Analytics for managing compliance of NFPA 1500 and satisfying DoD Directive 6055.06.</t>
  </si>
  <si>
    <t>https://marketplace.fedramp.gov/img/logos/CSP_logos/Emergency%20Reporting%20Logo.jpg</t>
  </si>
  <si>
    <t>Envisage Technologies, LLC</t>
  </si>
  <si>
    <t>Acadis Readiness Suite</t>
  </si>
  <si>
    <t>FR1707156421</t>
  </si>
  <si>
    <t>https://community.max.gov/x/FgTJO</t>
  </si>
  <si>
    <t>Scott Beauregard</t>
  </si>
  <si>
    <t>info@envisagenow.com</t>
  </si>
  <si>
    <t>https://www.envisagenow.com</t>
  </si>
  <si>
    <t>Envisage Technologies, LLC is the creator and developer of the Acadis Readiness Suite, a secure, enterprise solution that ensures our Law Enforcement, Government, Public Safety and Military personnel are trained, equipped and mission ready.  We offer secure hosting as part of our SaaS solution. Unlike generic platforms, Envisage's Acadis solution is designed specifically for government training operations.  In addition, Acadis is an operational and essential shared service for many DHS agencies for modernizing high-risk training operations.  As such, it meets the unique needs of the Federal, Public Safety, and Military workforce.</t>
  </si>
  <si>
    <t>https://marketplace.fedramp.gov/img/logos/CSP_logos/Envisage%20Logo.jpg</t>
  </si>
  <si>
    <t>EPAY Systems</t>
  </si>
  <si>
    <t>EPAY Time and Labor Management</t>
  </si>
  <si>
    <t>F1609287948</t>
  </si>
  <si>
    <t>https://community.max.gov/x/RpuFSQ</t>
  </si>
  <si>
    <t>Brian Nowicki</t>
  </si>
  <si>
    <t>fedramp@epaysystems.com</t>
  </si>
  <si>
    <t>www.EPAYsystems.com</t>
  </si>
  <si>
    <t>EPAY System’s Blueforce SaaS (Software as a Service) application allows U.S federal, state, and local government customers to administer time and labor tracking of workforce installations around the globe using numerous interoperable data collection methods (Biometric Time clocks, GPS/Facial Smartphone tracking, Web Punch, and IVR).  The Blueforce application seamlessly integrates with EPAY’s HCM or other payroll providers and human resource applications to manage employee hours, pay rules, and labor compliance. Blueforce provides the following functionality:
1. Time and Attendance:  Customizable employee tracking, scheduling, timesheet generation, budgets, reporting and email/SMS messaging and alerting.
2. Timecard &amp; Timesheet:  Collection of timekeeping data and corresponding pay rule timesheet processing as employee’s clock in and out for work. 
3. Payroll:  View employee payroll hours, timesheet submission workflow, and integration with payroll systems.</t>
  </si>
  <si>
    <t>https://marketplace.fedramp.gov/img/logos/CSP_logos/EPAY%20Systems%20Logo.jpg</t>
  </si>
  <si>
    <t>Equinix, Inc.</t>
  </si>
  <si>
    <t>Equinix Cloud Exchange</t>
  </si>
  <si>
    <t>Kathy Sorell</t>
  </si>
  <si>
    <t>fedramp@equinix.com</t>
  </si>
  <si>
    <t>Equinix Cloud Exchange (ECX) brings cloud providers (sellers) together with US Government agencies (buyers) leveraging a multitude of private network options. Equinix Cloud Exchange (ECX) provides secure, private, virtual connections to multiple cloud providers globally with rapid automated provisioning and service orchestration. By bypassing the public Internet, US Government agencies can increase security, improve performance, reduce costs and leverage cloud services for more applications. Together with Software as-a-Service (IaaS, PaaS, SaaS) providers, US Government agencies can now integrate with private or hybrid cloud services and their internal applications as if they were part of their local area network.</t>
  </si>
  <si>
    <t>https://marketplace.fedramp.gov/img/logos/CSP_logos/Equinix%20Logo.JPG</t>
  </si>
  <si>
    <t>Ex Libris</t>
  </si>
  <si>
    <t>Alma and Primo</t>
  </si>
  <si>
    <t>F1305132147</t>
  </si>
  <si>
    <t>Ellen Amsel</t>
  </si>
  <si>
    <t>Ellen.Amsel@exlibrisgroup.com</t>
  </si>
  <si>
    <t>http://www.exlibrisgroup.com/</t>
  </si>
  <si>
    <t>Ex Libris, a ProQuest company, is a global provider of library automation solutions, offering the only comprehensive product suite for the discovery, management, and distribution of all materials, regardless of format or location. The Ex Libris Alma/Primo SaaS solution allows libraries to manage all of their resource types – print, electronic and digital - within a single interface. The solution promotes library collaboration and helps libraries optimize their users’ experience by leveraging rich data analytics.</t>
  </si>
  <si>
    <t>https://marketplace.fedramp.gov/img/logos/CSP_logos/ExLibris%20Logo.jpg</t>
  </si>
  <si>
    <t>Forcepoint</t>
  </si>
  <si>
    <t>Forcepoint Cloud Security</t>
  </si>
  <si>
    <t>FR1713345718</t>
  </si>
  <si>
    <t>Marc Padovani</t>
  </si>
  <si>
    <t>fedramp@forcepoint.com</t>
  </si>
  <si>
    <t>www.forcepoint.com</t>
  </si>
  <si>
    <t>**FORCEPOINT CLOUD SECURITY SERVICES**
In a cloud-first world, advances in technology constantly change how we communicate and have given organizations increased flexibility and rapid collaboration capabilities. In order to reap these benefits, your organization must streamline security with an intelligent, cloud-first solution that protects in real-time and that will enable your long term mission and protect your reputation.
Advanced Threats blend web and email elements throughout multi-stage cyberattacks to probe for the weakest channel of attack, but this strategy also presents multiple opportunities to stop those attacks before possible breaches occur. 
Forcepoint Email Security Cloud and Forcepoint Web Security Cloud provide in-line protection against advanced cyber threats that use social engineering, advanced malware and sophisticated evasion techniques to breach defenses and steal sensitive data, as well as identify insider threats such as employee data leaks or theft. Forcepoint Cloud services are a proven leader in SaaS web content security, stopping more advanced, non-signature threats to your data than any other solution.
Forcepoint’s cloud services are built on a unified platform that enables Forcepoint products to work together, and protects data everywhere – in the Cloud, on the road, in the office – enabling better decision-making and more efficient security. With almost a decade of multi-site certification experience, Forcepoint datacenters have enjoyed cloud infrastructure ISO 27001, ISO 27018, CSA STAR certifications where it matters most - in the data centers that service your agency’s cloud requirements. 
**FORCEPOINT WEB SECURITY CLOUD**
Forcepoint Web Security Cloud is a deployed Secure Web Gateway that stops advanced threats from getting in and sensitive data from getting out – whether an agency’s users are in the office, working from home or on the road.
Its cutting-edge classification engine, global threat intelligence, advanced malware detection and enterprise-class DLP work together to make strong security easy to deploy. It delivers real-time web protection for increasingly mobile workforces and can share policies and context with Email Security to thwart advanced, coordinated web and email attacks with complete inbound and outbound defenses.
Advanced Threats involve sophisticated, multi-stage attacks with built-in techniques that evade detection while stealing your sensitive data. Insider threats—such as employee theft and internally accessed malware—are just as damaging as external threats.
**FORCEPOINT EMAIL SECURITY CLOUD**
Forcepoint Email Security Cloud protects against multi-stage advanced threats that often exploit email to penetrate your IT defenses. It applies thousands of real time threat analytics, behavioral sandboxing and other advanced defense technologies to identify targeted attacks.
Forcepoint Email Security Cloud secures the communication channel most often used in the early stages of an APT or other advanced attack. Throughout the years, email has and continues to be the backbone of productivity, so its security is essential to your agency’s long-term success and reputation.
Forcepoint Email Security stops the spam and phishing emails that introduce ransomware and other advanced threats before they can infect your agency’s systems with malware. Comprehensive defenses integrate highly effective analytics and advanced malware sandboxing for inbound protection, DLP as an outbound control, and email encryption for secure communications. 
Forcepoint Email Security also pioneered proactive URL wrapping and unique phishing education capabilities to further extend defenses to wherever users access email, including mobile devices. Operating on the industry’s most secure cloud infrastructure, it delivers unparalleled phishing, malware, and DLP protection for Microsoft Office 365™ and other popular email systems.</t>
  </si>
  <si>
    <t>https://marketplace.fedramp.gov/img/logos/CSP_logos/Forcepoint%20Logo.jpg</t>
  </si>
  <si>
    <t>Frame, Inc.</t>
  </si>
  <si>
    <t>Frame Platform Government Edition</t>
  </si>
  <si>
    <t>FR1824038232</t>
  </si>
  <si>
    <t>https://community.max.gov/x/ZgeMX</t>
  </si>
  <si>
    <t>David Reber</t>
  </si>
  <si>
    <t>security@fra.me</t>
  </si>
  <si>
    <t>https://fra.me/gov-us</t>
  </si>
  <si>
    <t xml:space="preserve">Frame is a secure cloud platform that lets organizations deliver amazing Windows and Linux applications and workflows to users on all connected devices. It’s the easiest way to centrally deliver and manage enterprise applications. All users need is a browser – no plugins or additional hardware required.
Frame is used in hundreds of businesses, schools, agencies and some of the largest software vendors. Customers can use dozens of integrations to connect Frame to their existing storage, identity, security, and networking solutions - cutting the time to value from months to minutes.
Frame Platform Government Edition is a cloud workspace purpose-built for public sector customers. Enhanced security, zero-client ubiquitous access, centralized management, hyper-scale with 10,000s of users are just some of the features. Our market leading Quality of Service (QOS) provides great user experience and interactivity on any network. Frame Platform Government Edition is operated and managed in the US AWS and Azure Government regions. the Frame provides public sector customers a secure cloud workspace with security and compliance built in. </t>
  </si>
  <si>
    <t>https://marketplace.fedramp.gov/img/logos/CSP_logos/Frame%20Logo.jpg</t>
  </si>
  <si>
    <t>GitHub</t>
  </si>
  <si>
    <t>GitHub Business Cloud</t>
  </si>
  <si>
    <t>FR1812058188</t>
  </si>
  <si>
    <t>https://community.max.gov/x/_YidWg</t>
  </si>
  <si>
    <t>Dave Eide</t>
  </si>
  <si>
    <t>government@github.com</t>
  </si>
  <si>
    <t>https://government.github.com</t>
  </si>
  <si>
    <t>GitHub is a collaborative development platform inspired by the way you work. From open source [https://github.com/open-source](https://github.com/open-source) to business [https://github.com/business](https://github.com/business) , you can plan, build, review, and ship software at work—all while tracking bugs and discussing ideas. You can securely develop your organization's software on GitHub, whether you work for a small startup or a large agency.</t>
  </si>
  <si>
    <t>https://marketplace.fedramp.gov/img/logos/CSP_logos/GitHub_Logo.jpg</t>
  </si>
  <si>
    <t>Gordian</t>
  </si>
  <si>
    <t>Gordian Federal Cloud powered by RSMeans Data</t>
  </si>
  <si>
    <t>FR1815734543</t>
  </si>
  <si>
    <t>Lisa Cooley</t>
  </si>
  <si>
    <t>fedramp@gordian.com</t>
  </si>
  <si>
    <t>www.gordian.com/federal</t>
  </si>
  <si>
    <t>Gordian Federal Cloud is an enterprise Software as a Service (SaaS) solution powered by RSMeans data. The cloud-based solution is a comprehensive suite of modules designed to securely provide federal users with the tools and cost data to better manage construction and facilities estimates, contracts and pricing proposals. Decision-makers are empowered with up-to-date information that will deliver accurate and competitive bids, minimize the risk of cost overruns, reduce variability and gain control over costs.
Gordian is the leader in facility and construction cost data, software and services for all phases of the building lifecycle. A pioneer of Job Order Contracting, Gordian’s solutions also include our proprietary RSMeans data and Sightlines facility benchmarking and analysis. From planning to design, procurement, construction and operations, Gordian’s solutions help clients maximize efficiency, optimize cost savings and increase building quality.</t>
  </si>
  <si>
    <t>https://marketplace.fedramp.gov/img/logos/CSP_logos/Gordian%20Logo.jpg</t>
  </si>
  <si>
    <t>GPS Insight, Inc.</t>
  </si>
  <si>
    <t>GPS Insight SaaS Portal</t>
  </si>
  <si>
    <t>FR1723969326</t>
  </si>
  <si>
    <t>https://community.max.gov/x/KoseWg</t>
  </si>
  <si>
    <t>Gary Fitzgerald</t>
  </si>
  <si>
    <t>fedramp@gpsinsight.com</t>
  </si>
  <si>
    <t>www.gpsinsight.com</t>
  </si>
  <si>
    <t>Lazarus Alliance</t>
  </si>
  <si>
    <t xml:space="preserve">GPS Insight is a cloud-based GPS fleet and asset tracking solution for government agencies and businesses. The GPS Insight solution solves unique fleet challenges while increasing revenue and reducing both costs and risks. GPS Insight provides fleet managers a significant increase in efficiency by providing a highly flexible solution, which includes a wide range of customized reports, alerts, and other innovative features that can be tailored to meet specific customer requirements and ensure maximum return on investment. </t>
  </si>
  <si>
    <t>https://marketplace.fedramp.gov/img/logos/CSP_logos/GPS%20Logo.jpg</t>
  </si>
  <si>
    <t>HireVue</t>
  </si>
  <si>
    <t>Recruitment Assessments and Video Interviewing</t>
  </si>
  <si>
    <t>FR1831429369</t>
  </si>
  <si>
    <t>Josh Dustin</t>
  </si>
  <si>
    <t>fedramp@hirevue.com</t>
  </si>
  <si>
    <t>www.hirevue.com</t>
  </si>
  <si>
    <t>HireVue helps global enterprises gain a competitive advantage in the modern talent marketplace with video interviewing software and recruitment assessments. The HireVue platform is transforming the way organizations discover, hire, and develop talent. By combining video interviews with predictive, validated I-O science and artificial intelligence.
Based in South Jordan, Utah, HireVue works with more than 700 customers across government and commercial industry, powering millions of annual interviews in over 180 countries. To learn more, visit us at (www.hirevue.com)[www.hirevue.com].</t>
  </si>
  <si>
    <t>https://marketplace.fedramp.gov/img/logos/CSP_logos/HireVue%20Logo.jpg</t>
  </si>
  <si>
    <t>Hootsuite</t>
  </si>
  <si>
    <t>Hootsuite Enterprise</t>
  </si>
  <si>
    <t>FR1728349078</t>
  </si>
  <si>
    <t>Office of Policy, Planning, and Resources</t>
  </si>
  <si>
    <t>Mark Rybchuk</t>
  </si>
  <si>
    <t>enterprisehelp@hootsuite.com</t>
  </si>
  <si>
    <t>www.hootsuite.com</t>
  </si>
  <si>
    <t>Hootsuite is the world's most widely used social relationship platform, helping Federal, State and Local governments create meaningful relationships with constituents and customers through digital communications. By using the Hootsuite platform agencies can serve citizens through social media and understand the impact of social in fulfilling the agency's mission.</t>
  </si>
  <si>
    <t>https://marketplace.fedramp.gov/img/logos/CSP_logos/Hootsuite%20Logo.jpg</t>
  </si>
  <si>
    <t>Human Resources Technologies, Inc. (HRTec)</t>
  </si>
  <si>
    <t>Federal High Impact Virtualized Environment (FedHIVE)</t>
  </si>
  <si>
    <t>FR1802451335</t>
  </si>
  <si>
    <t>https://community.max.gov/x/w5o0Ww</t>
  </si>
  <si>
    <t>Doug Sears</t>
  </si>
  <si>
    <t>fedhive@hrtec.net</t>
  </si>
  <si>
    <t xml:space="preserve"> www.fedhive.com</t>
  </si>
  <si>
    <t>FedHIVE provides a Federal High Impact Virtualized Environment provision within a physical and logical boundary designed to provide Federal clients an Infrastructure as a Service (IaaS) / Platform as a Service (PaaS) solution that meets or exceeds the FIPS PUB 199 System Security Level of High (sensitive but unclassified information) security controls in which to implement organizational Software as a Service (SaaS) applications. The FedHIVE secure cloud service provides agencies a compliant, scalable, and secure infrastructure capability enabling and supporting platforms or software required for their business or mission success. FedHIVE implements over 420 High Baseline security controls within the boundary to support Federal cloud services requirements for protecting CUI and PII per agency application level ATO security requirements and is currently providing service to multiple Government Agencies (including DoD and TSA) and supporting vendor customers.</t>
  </si>
  <si>
    <t>https://marketplace.fedramp.gov/img/logos/CSP_logos/FedHIVE%20Logo.jpg</t>
  </si>
  <si>
    <t>IBM Maximo and TRIRIGA</t>
  </si>
  <si>
    <t>FR1728053006</t>
  </si>
  <si>
    <t>Andrew Lee</t>
  </si>
  <si>
    <t>fedramp-assetmanagement@bg.vnet.ibm.com</t>
  </si>
  <si>
    <t>See Service Description</t>
  </si>
  <si>
    <t>Enterprise Asset Management (EAM) in the era of IoT – with a constant stream of data from people, sensors and devices – can be challenging. IBM® Enterprise Asset Management on Cloud (Maximo®) is a comprehensive solution for managing physical assets on a common platform, providing insight into all your enterprise assets, their conditions and work processes, for better planning and control.  With Maximo, you can check on asset health in real time and streamline global operations, from procurement to contract management. In addition to meeting the requirements for manufacturing and facilities with core Maximo, IBM has developed specific industry solutions for key asset-intensive industries. Maximo is highly customizable to suit your business requirements without editing a line of code.  Maximo SaaS can be integrated with your on-premise and cloud-based enterprise applications. For more information please visit: [IBM Maximo](https://www.ibm.com/products/maximo)
Through business analytics, critical alerts and automated process capabilities, IBM Facilities and Real Estate Management on Cloud (TRIRIGA) can increase visibility, control and automation of your real estate management, capital projects, space management, facility maintenance and energy management needs. Finance and real estate executives can make more informed decisions—bringing increased value to their organizations through identification of high-return real estate transactions, increased facilities utilization and reduced energy expenses. TRIRIGA provides highly configurable role-based workspaces, enables automation of work processes, allows virtualization of facilities, assets, and resources.  TRIRIGA integrates with IoT data and your on-premise and cloud-based enterprise applications. For more information please visit: [IBM TRIRIGA](https://www.ibm.com/us-en/marketplace/ibm-tririga)</t>
  </si>
  <si>
    <t>IBM Talent Management Solutions</t>
  </si>
  <si>
    <t>FR1720041616</t>
  </si>
  <si>
    <t>https://community.max.gov/x/zgkoTw</t>
  </si>
  <si>
    <t>Christopher Baker</t>
  </si>
  <si>
    <t>ibmtalentmanagementsolutions@wwpdl.vnet.ibm.com</t>
  </si>
  <si>
    <t>https://www-03.ibm.com/software/products/en/category/talent-management</t>
  </si>
  <si>
    <t xml:space="preserve">IBM Talent Management Solutions has taken a revolutionary step in talent acquisition, offering comprehensive and integrated recruiting software and solutions that are rooted in behavioral science and designed to attract, engage, hire and onboard the right talent. Coupled with strategic services and processes, these solutions incorporate precision into the equation, helping to remove guesswork from the recruitment process. You will be better equipped to predict fit, engagement and performance before you hire.
You can also foster employee learning and performance by implementing a recruitment strategy for hiring the talent that can to help grow your business. IBM Talent Management Solutions talent acquisition solutions provide the tools for hiring new employees like “your best”. These streamlined hiring efficiencies help to accelerate the new hire time to productivity and engagement, while providing a positive experience for candidates. </t>
  </si>
  <si>
    <t>ID.me</t>
  </si>
  <si>
    <t>ID.me Federal Identity Gateway</t>
  </si>
  <si>
    <t>FR1718334757</t>
  </si>
  <si>
    <t>https://community.max.gov/x/KBJBTw</t>
  </si>
  <si>
    <t>Matt James</t>
  </si>
  <si>
    <t>matt.james@id.me</t>
  </si>
  <si>
    <t>https://www.id.me</t>
  </si>
  <si>
    <t>ID.me is the next-generation digital identity platform providing trusted and convenient interactions between individuals and organizations. Government agencies and commercial partners use ID.me for online identity proofing and authentication to ensure their platforms and users are protected from fraud and identity theft. The platform brings together best-in-class identity and fraud vendors into a comprehensive, easy-to-deploy solution for partners.
ID.me’s identity platform meets the highest standards for online identity proofing and authentication, without compromising access for hard-to-identify groups. The platform uses a combination of remote verification of physical IDs, mobile network operator data, fraud algorithms, and FIDO U2F capabilities to securely verify a user’s identity.
The ID.me Identity Gateway provides a FICAM accredited Credential Service Provider (CSP) capability at Levels of Assurance 1, 2,3, a double-blinded credential broker capable of federating logins from external CSPs, and an attribute exchange capable of federating attributes from registration authorities. The Identity Gateway delivers assertions via standardized identity protocols: SAML 2.0, OAuth 2.0, and OpenID Connect. The service aligns with the principles of the National Strategy for Trusted Identities in Cyberspace and NIST SP 800-63-3.</t>
  </si>
  <si>
    <t>https://marketplace.fedramp.gov/img/logos/CSP_logos/ID.me%20Logo.jpg</t>
  </si>
  <si>
    <t>Innovest Systems, LLC</t>
  </si>
  <si>
    <t>Trust &amp; Wealth Management Solutions</t>
  </si>
  <si>
    <t>FR1821933307</t>
  </si>
  <si>
    <t>Joanne Smith</t>
  </si>
  <si>
    <t>fedramp@innovestsystems.com</t>
  </si>
  <si>
    <t>http://www.innovestsystems.com/</t>
  </si>
  <si>
    <t>A browser-based, highly secure, integrated, real-time trust accounting and wealth management platform offered in a multi-currency Software as a Service (SaaS) environment.</t>
  </si>
  <si>
    <t>https://marketplace.fedramp.gov/img/logos/CSP_logos/Innovest%20Logo.jpg</t>
  </si>
  <si>
    <t>Ivanti</t>
  </si>
  <si>
    <t>Ivanti Service Manager</t>
  </si>
  <si>
    <t>FR1816364586</t>
  </si>
  <si>
    <t>Brian Ortega</t>
  </si>
  <si>
    <t>security@ivanti.com</t>
  </si>
  <si>
    <t>https://www.ivanti.com/</t>
  </si>
  <si>
    <t>Ivanti Service Manager, powered by HEAT, helps IT teams meet today’s government and user demands for effective service delivery and support. The solution, with workflow automation, mobile and integrated Voice support, enables IT teams to quickly deploy and configure a world-class service management solution. Cloud deployment is available from FedRAMP compliant AWS data centers in North America.
Service Manager is designed to be the central point of contact between users, employees and the IT organization. It offers first and second line support to users, where incidents, problems or inaccuracies in IT systems are reported. The solution can also be an important source of management information for reporting and auditing purposes.
Ivanti Service Manager fully supports Incident, Problem, Change and Release Management, Self-Service, 3rd party integration and more, and is Pink Verified on 13 ITIL processes, to improve IT support performance and efficiency.
Ivanti is headquartered in Salt Lake City, Utah, and has offices all over the world. For more information, visit [www.ivanti.com](http://www.ivanti.com) and follow us at @GoIvanti.</t>
  </si>
  <si>
    <t>https://marketplace.fedramp.gov/img/logos/CSP_logos/Ivanti%20Logo.jpg</t>
  </si>
  <si>
    <t>Jive Software</t>
  </si>
  <si>
    <t>Jive FedRAMP</t>
  </si>
  <si>
    <t>FR1708142305</t>
  </si>
  <si>
    <t>https://community.max.gov/x/74BSVw</t>
  </si>
  <si>
    <t>David Cook</t>
  </si>
  <si>
    <t>david.cook@jivesoftware.com</t>
  </si>
  <si>
    <t>www.jivesoftware.com</t>
  </si>
  <si>
    <t>Jive Software is a provider of communication and collaboration solutions for business, including a suite of collaboration software and an intranet back-end.</t>
  </si>
  <si>
    <t>https://marketplace.fedramp.gov/img/logos/CSP_logos/Jive%20Logo.jpg</t>
  </si>
  <si>
    <t>Lifeline Data Centers, LLC</t>
  </si>
  <si>
    <t>Lifeline Federal Hosting Services</t>
  </si>
  <si>
    <t>F1605117899</t>
  </si>
  <si>
    <t>https://community.max.gov/x/lIa9TQ</t>
  </si>
  <si>
    <t>Rich Banta</t>
  </si>
  <si>
    <t>fedramp@lldc.net</t>
  </si>
  <si>
    <t>www.lifelinedatacenters.com</t>
  </si>
  <si>
    <t xml:space="preserve">Lifeline Federal Hosting Services (LFHS) is provided as an Infrastructure as a Service (IaaS) or a Platform as a Service (PaaS) service to allow customers to take advantage of authorized LFHS services to meet agency requirements without major capital investments and with reduced technical staff.  LFHS provides a robust and fully managed cloud infrastructure that meets FedRAMP Moderate Baseline requirements.
Infrastructure services offered include:
* Professionally hosted virtual server containers.
* Professionally managed Operating Systems instances.
* Professionally managed Microsoft SQL DBMS instances.
* Managed storage.
* Managed Internet bandwidth
* Network edge management or managed firewall services
* All necessary associated management systems in support of the virtualized infrastructure environment
* Connectivity to over 20 resident telecommunications/Internet carriers and providers. 
These services are supported by a robust technical infrastructure provided by the hardware and communications components described in 9.2 Information System Components and Boundaries below and by the hosting environment with controls originating from Lifeline’s corporate processes and facilities, including: 
* Physical security.
* Environmental protection: Construction designed to withstand most natural threats. Generators to provide long-term backup power. Uninterruptible power supplies to provide immediate short-term power until the generators are automatically brought on line.
* Maintenance Connection™ software to support incident response, change management, configuration management, and system maintenance. 
</t>
  </si>
  <si>
    <t>https://marketplace.fedramp.gov/img/logos/CSP_logos/Lifeline%20Logo.jpg</t>
  </si>
  <si>
    <t>Lookout, Inc.</t>
  </si>
  <si>
    <t>Lookout Mobile Endpoint Security</t>
  </si>
  <si>
    <t>F1603297883</t>
  </si>
  <si>
    <t>https://community.max.gov/x/1ht1Rw</t>
  </si>
  <si>
    <t>Tim LeMaster</t>
  </si>
  <si>
    <t>fedramp@lookout.com</t>
  </si>
  <si>
    <t>www.lookout.com/gov</t>
  </si>
  <si>
    <t>Lookout Mobile Endpoint Security is an enterprise-grade mobile security solution that provides comprehensive risk management across mobile devices, including iOS and Android, to secure against application, device, and network-based threats while providing visibility and control over data leakage. The Lookout Mobile Endpoint Security suite enables government agencies to secure the organization from mobile threats, identify and control non-compliant mobile apps that pose data leakage risks, and gain visibility into mobile endpoints. Lookout empowers government agencies to adopt secure mobility across personal and GFE devices without compromising productivity.</t>
  </si>
  <si>
    <t>https://marketplace.fedramp.gov/img/logos/CSP_logos/Lookout%20Logo.jpg</t>
  </si>
  <si>
    <t>Medallia, Inc.</t>
  </si>
  <si>
    <t>https://community.max.gov/x/WYpjVg</t>
  </si>
  <si>
    <t>https://marketplace.fedramp.gov/img/logos/CSP_logos/Medallia%20Logo.jpg</t>
  </si>
  <si>
    <t>MAXIMUS Inc.</t>
  </si>
  <si>
    <t>MAXIMUS Intelligent Assistant (MIA)</t>
  </si>
  <si>
    <t>FR1728351539</t>
  </si>
  <si>
    <t>https://community.max.gov/x/4gaNUQ</t>
  </si>
  <si>
    <t>Scott Clarke</t>
  </si>
  <si>
    <t>fedramp@maximus.com</t>
  </si>
  <si>
    <t>http://www.maximus.com/federal/intelligent-assistant</t>
  </si>
  <si>
    <t>The MAXIMUS Intelligent Assistant (MIA) is a Hosted Interactive Voice Response (HIVR) system that is designed to offer best in class automated voice service to the general public calling for assistance with Government applications. MIA utilizes automation to gather caller intent and questions, and provide responses. When the automation does not understand information received from the caller, the snippet of information is delivered instantaneously to a human Intent Analyst (IA). The IA will hear the “utterance”, inform the system of the caller’s response or intent, and allow the HIVR to continue through the Government’s defined application.</t>
  </si>
  <si>
    <t>https://marketplace.fedramp.gov/img/logos/CSP_logos/MAXIMUS%20Logo.jpg</t>
  </si>
  <si>
    <t>Microsoft Office 365 GCC High</t>
  </si>
  <si>
    <t>FR1824057433</t>
  </si>
  <si>
    <t>Microsoft Office 365 GCC High is a cloud computing-based subscription service offering from Microsoft.</t>
  </si>
  <si>
    <t>Monster Government Solutions</t>
  </si>
  <si>
    <t>Monster Hiring Management System</t>
  </si>
  <si>
    <t>FR1711546389</t>
  </si>
  <si>
    <t>https://community.max.gov/x/m43ITg</t>
  </si>
  <si>
    <t>Bob Fairchild</t>
  </si>
  <si>
    <t>fedramp@monster.com</t>
  </si>
  <si>
    <t>https://www.monstergovernmentsolutions.com/</t>
  </si>
  <si>
    <t xml:space="preserve">The MGS MHME system provides SaaS services deployed as a public cloud. MHME is a web-accessible application that automates human resource management and recruitment activities to streamline hiring management efforts for federal agency customers. The MHME system is a Moderate impact system that has been operational since January 1, 2003, and currently supports 68 federal customers. </t>
  </si>
  <si>
    <t>https://marketplace.fedramp.gov/img/logos/CSP_logos/Monster%20Logo.jpg</t>
  </si>
  <si>
    <t>MuleSoft, Inc.</t>
  </si>
  <si>
    <t>Anypoint Platform - Federal Edition</t>
  </si>
  <si>
    <t>FR1818161169</t>
  </si>
  <si>
    <t>Joseph Leung</t>
  </si>
  <si>
    <t>fedramp@mulesoft.com</t>
  </si>
  <si>
    <t>www.mulesoft.com</t>
  </si>
  <si>
    <t xml:space="preserve">MuleSoft’s Anypoint Platform is a hybrid platform for designing, developing and managing APIs and integrations. Uniquely built as a single solution, it includes integration Platform as a Service (iPaaS) functionality which provides users with enterprise messaging, advanced user and role based management, services/tools for providing API and integration analytics and management, API design and publishing tools, and the ability to share and collaborate on API specifications, code snippets and templates of best practices. </t>
  </si>
  <si>
    <t>https://marketplace.fedramp.gov/img/logos/CSP_logos/MuleSoft%20Logo.jpg</t>
  </si>
  <si>
    <t xml:space="preserve">Navman Wireless North America Ltd. </t>
  </si>
  <si>
    <t>Teletrac Navman DIRECTOR</t>
  </si>
  <si>
    <t>FR1807337642</t>
  </si>
  <si>
    <t>https://community.max.gov/x/7IjvWQ</t>
  </si>
  <si>
    <t>Daren Lauda</t>
  </si>
  <si>
    <t>FedRAMP@teletracnavman.com</t>
  </si>
  <si>
    <t>www.teletracnavman.com</t>
  </si>
  <si>
    <t>Teletrac Navman DIRECTOR is a fleet management system that collects and analyzes data from vehicles and other assets, for oversight and control of day-to-day fleet operations. DIRECTOR monitors information such as location, speed, and advanced engine diagnostics so that agencies can track when assets are used most efficiently, if maintenance is required and when driver activity conforms to specified operating parameters. Additional capabilities provided by DIRECTOR include two-way messaging with drivers and dispatchers, automated vehicle routing with turn-by-turn directions and traffic/weather alert functions. Fleet management decisions based on DIRECTOR information help to improve performance, regulatory compliance, security, safety and productivity.
This telematics and asset management technology receives continuous support from software-as-a-solution (SaaS) provider Fleet Management Systems (FMS), a Teletrac Navman company. DIRECTOR is designed to meet the operational needs of the federal, state and local agencies that rely on it, who represent a significant portion of the more than 500,000 vehicles and 40,000 customers worldwide served by Teletrac Navman and FMS.</t>
  </si>
  <si>
    <t>https://marketplace.fedramp.gov/img/logos/CSP_logos/Teletrac%20Navman%20Logo.jpg</t>
  </si>
  <si>
    <t>New Relic</t>
  </si>
  <si>
    <t>F1607057910</t>
  </si>
  <si>
    <t>https://community.max.gov/x/GoL3Rg</t>
  </si>
  <si>
    <t>Ray Cruz</t>
  </si>
  <si>
    <t>fedrampinfo@newrelic.com</t>
  </si>
  <si>
    <t>www.newrelic.com</t>
  </si>
  <si>
    <t>New Relic is a software analytics company that makes sense of billions of metrics about millions of applications in real time. New Relic’s comprehensive SaaS-based solution provides one powerful interface for web and native mobile applications and consolidates the performance monitoring data for any chosen technology in an environment. There are thousands of active customer accounts using New Relic’s cloud solution every day to optimize more than 200 billion metrics for 3 million applications. New Relic is pioneering a new category called Software Analytics.</t>
  </si>
  <si>
    <t>ATO submitted to be logged when Authorized</t>
  </si>
  <si>
    <t>https://marketplace.fedramp.gov/img/logos/CSP_logos/New%20Relic%20Logo.jpg</t>
  </si>
  <si>
    <t>New York University</t>
  </si>
  <si>
    <t>Administrative Data Research Facility (ADRF)</t>
  </si>
  <si>
    <t>FR1819057982</t>
  </si>
  <si>
    <t>https://community.max.gov/x/fYOnW</t>
  </si>
  <si>
    <t>Julia Lane</t>
  </si>
  <si>
    <t>fedramp-adrf@nyu.edu</t>
  </si>
  <si>
    <t>http://cusp.nyu.edu/coleridge-initiative/</t>
  </si>
  <si>
    <t xml:space="preserve">The ADRF system is designed to promote access to and use of government administrative records across agency lines.  It provides access to collaborative tools and rich documentation so that knowledge and analysis can be shared and reused. It hosts confidential data for a range of agencies at the federal, state and local levels, and serves multiple domains – including criminal justice, welfare, labor, education, health, housing and transportation. </t>
  </si>
  <si>
    <t>https://marketplace.fedramp.gov/img/logos/CSP_logos/NYU%20Logo.jpg</t>
  </si>
  <si>
    <t>OneStream Software</t>
  </si>
  <si>
    <t>OneStream XF Cloud</t>
  </si>
  <si>
    <t>FR1721059275</t>
  </si>
  <si>
    <t>https://community.max.gov/x/kglAUw</t>
  </si>
  <si>
    <t>Peter Mills</t>
  </si>
  <si>
    <t>fedramp_info@onestreamsoftware.com</t>
  </si>
  <si>
    <t>www.onestreamsoftware.com</t>
  </si>
  <si>
    <t>The OneStream XF Cloud Service Offering is a partnership OneStream Software and Microsoft Azure Cloud Services to provide environment setup services, support, monitoring and configuration services for the cloud software and other administration functions. The OneStream XF Cloud services include the following:
* Monitor Licensee environmental health through Azure alerts.
* Perform monthly Windows Server updates.
* Perform OneStream XF Software upgrades.
* Perform environment resizing (up/down if needed/requested)
* Notify Licensee of any planned Azzure maintenance windows.
* Azure configuration of the Site-to-Site VPN or Express Route Connection.</t>
  </si>
  <si>
    <t>https://marketplace.fedramp.gov/img/logos/CSP_logos/OneStream%20Logo.jpg</t>
  </si>
  <si>
    <t>Send Word Now from OnSolve</t>
  </si>
  <si>
    <t>F1508037126</t>
  </si>
  <si>
    <t>Andrew Baker</t>
  </si>
  <si>
    <t>Send Word Now’s award-winning alerting service provides two-way, on-demand emergency and routine messaging to a designated group of recipients across a variety of platforms. From email to voicemail to mobile apps, alerts are transmitted to the communication device of each recipient’s choice. Leading organizations across a wide range of industries depend on Send Word Now to deliver thousands of messages across a broad range of recipients within just minutes.
The Send Word Now alerting service is an easy-to-use, member-activated interface that doesn’t require new hardware or technical expertise to master. Recipients can sign up for alerts via the communication device of their choice and update their personal profile as needed. Once an alert is sent, message recipients can respond via Send Word Now’s Get Word Back feature, providing managers with vital information as a situation develops. Within the alerting console, administrators can track and document responses, initiate conference calls and quickly reference all sent and received messages for auditing purposes. 
Through the use of dynamic groups, multiple points of contact and unique features such as Get Word Back, AlertLinks, and push conferencing, customers can take advantage of Send Word Now’s customizable platform to maximize their crisis communication efforts.</t>
  </si>
  <si>
    <t>IaaS/PaaS - US Government Cloud</t>
  </si>
  <si>
    <t>FR1715769196</t>
  </si>
  <si>
    <t>Deparment of Health and Human Services</t>
  </si>
  <si>
    <t>Oracle PaaS/IaaS-US Gov Cloud contain infrastructure and platform as a service options. Oracle Infrastructure as a Service (IaaS) is made up of Compute Cloud and Object Storage Service. Compute Cloud provides flexible and scalable computing, block storage, and networking services on Oracle Cloud. Customers can choose between a multi tenant elastic compute and a dedicated compute service. Oracle Storage Cloud Service is a cost-effective, remote backup and archiving solution for enterprise data and applications. Customers can monitor key storage metrics and manage users and roles by using a web-based graphical console. Oracle Platform as a Service (PaaS) helps enterprise IT and independent software vendor (ISV) developers rapidly build and deploy rich applications - or extend Oracle Cloud SaaS apps - using an enterprise-grade cloud platform based on the industry's #1 database and application server. There are numerous service offerings within Oracle PaaS to assist with Data Management, Application Development, Data Integration, Business Analytics, and Security. To receive the list of PaaS services available in Oracle’s US Gov Cloud, please contact fedrampinfo_us@oracle.com.</t>
  </si>
  <si>
    <t>Planning and Budgeting Cloud Services</t>
  </si>
  <si>
    <t>F1607077914</t>
  </si>
  <si>
    <t>https://community.max.gov/x/ZYqdWg</t>
  </si>
  <si>
    <t>https://community.max.gov/download/attachments/1520274048/ATO.Letter_OraclePBCS_FDIC_6.26.18.pdf?api=v2</t>
  </si>
  <si>
    <t>A.J. Handy</t>
  </si>
  <si>
    <t>a.j.handy@oracle.com</t>
  </si>
  <si>
    <t>PBCS is a flexible planning application based on Oracle Hyperion Planning that supports enterprise wide planning, budgeting, and forecasting in a cloud-based deployment model. It provides a rich Web and Microsoft Office enabled planning and modeling framework that supports driver based planning to help connect operational assumptions to financial outcomes.</t>
  </si>
  <si>
    <t>Palo Alto Networks, Inc.</t>
  </si>
  <si>
    <t>Palo Alto Networks Government Cloud Services - WildFire</t>
  </si>
  <si>
    <t>FR1812446342</t>
  </si>
  <si>
    <t>United States Naval War College</t>
  </si>
  <si>
    <t>Jake Bajic</t>
  </si>
  <si>
    <t>fedramp@paloaltonetworks.com</t>
  </si>
  <si>
    <t>www@paloaltonetworks.com</t>
  </si>
  <si>
    <t xml:space="preserve">WildFire Government Cloud threat analysis service is the industry’s most advanced analysis and prevention engine for highly evasive zero-day exploits and malware. The cloud-based service employs a unique multi-technique approach combining dynamic and static analysis, innovative machine learning techniques, and a groundbreaking bare metal analysis environment to detect and prevent even the most evasive threats. It is a subscription service that works with the PAN-OS Palo Alto Networks Next Generation Firewall (NGFW) PAN-OS devices and VMs. </t>
  </si>
  <si>
    <t>https://marketplace.fedramp.gov/img/logos/CSP_logos/Palo%20Alto%20Logo.jpg</t>
  </si>
  <si>
    <t>Pegasystems Inc</t>
  </si>
  <si>
    <t>Pega Cloud for Government</t>
  </si>
  <si>
    <t>F1306282198</t>
  </si>
  <si>
    <t>https://community.max.gov/x/L4pkWQ</t>
  </si>
  <si>
    <t>Chris Hoover</t>
  </si>
  <si>
    <t>CloudSales@pega.com</t>
  </si>
  <si>
    <t>www.pega.com</t>
  </si>
  <si>
    <t>Pegasystems develops strategic applications for sales, marketing, service and operations. Pega’s applications streamline critical business operations, connect organizations to their customers seamlessly in real time across channels, and adapt to meet rapidly changing requirements. Pega’s Global 2000 customers include many of world’s most sophisticated and successful organizations and government agencies. Pega’s applications are built on the industry leading Pega 7 unified platform and made available via Pega Cloud. Pega Cloud provides customers and government agencies the ability to create, deliver and run Pega 7 applications on the cloud with operational excellence, enterprise-grade infrastructure and continuous lifecycle support.</t>
  </si>
  <si>
    <t>https://marketplace.fedramp.gov/img/logos/CSP_logos/PEGA%20Logo.jpg</t>
  </si>
  <si>
    <t>PEO Missiles and Space</t>
  </si>
  <si>
    <t>PEOMSCLOUD</t>
  </si>
  <si>
    <t>FR1829532191</t>
  </si>
  <si>
    <t>https://community.max.gov/x/iQsQX</t>
  </si>
  <si>
    <t>Don Brafford</t>
  </si>
  <si>
    <t>usarmy.redstone.peo-ms.mbx.2help@mail.mil</t>
  </si>
  <si>
    <t>Army AMRDEC SCA-V Team Redstone Arsenal</t>
  </si>
  <si>
    <t>PEO MS Cloud (PEOMSCLOUD) is an unclassified enclave consisting of Networks, VPN, firewall, etc. PEOMSCLOUD will provide Infrastructure as a Service (IAAS) on the DREN network to PEO Missiles and Space users along with potential DREN users.</t>
  </si>
  <si>
    <t>https://marketplace.fedramp.gov/img/logos/CSP_logos/PEOMS%20Logo.jpg</t>
  </si>
  <si>
    <t>Proofpoint Email and Information Protection Service</t>
  </si>
  <si>
    <t>FR1720461312</t>
  </si>
  <si>
    <t>Alexandra Rashdan</t>
  </si>
  <si>
    <t>https://www.proofpoint.com</t>
  </si>
  <si>
    <t>The Proofpoint Email and Information Protection Service is a powerful cloud email security service that integrates threat protection, virus protection, spam detection, message encryption, data loss prevention (DLP), and digital asset protection technologies into an extensible message management platform. The service is designed to fit easily into existing messaging infrastructure, providing efficient performance, accurate message analysis, and a web-based interface for reporting, configuration, and management tasks.</t>
  </si>
  <si>
    <t>Proofpoint Targeted Attack Protection</t>
  </si>
  <si>
    <t>FR1819168894</t>
  </si>
  <si>
    <t>Proofpoint Targeted Attack Protection (TAP) helps detect, mitigate, and block advanced threat that target people through email. It detects both known and new, never-before-seen attacks that use malicious attachments and URLs to install malware on a device or trick users to share their passwords or other sensitive information.</t>
  </si>
  <si>
    <t>QuestionMark</t>
  </si>
  <si>
    <t>Questionmark OnDemand for Government</t>
  </si>
  <si>
    <t>F1605027892</t>
  </si>
  <si>
    <t>https://community.max.gov/x/4YfJX</t>
  </si>
  <si>
    <t>David Hunt</t>
  </si>
  <si>
    <t>david.hunt@questionmark.com</t>
  </si>
  <si>
    <t>www.questionmark.com/</t>
  </si>
  <si>
    <t>Questionmark OnDemand for Government is a Software-as-a-Service where United States Federal, State and Local government agencies and their contractors can safely and securely use a powerful tool for creating, delivering and reporting on assessments. Questionmark OnDemand for Government is hosted in a US-based, FedRAMP approved data center used by US government agencies and their service contractors. The service is targeted for data up to DoD Impact Level 4. Questionmark operates the software-as-a-service, including provisioning, scaling and maintaining hardware, operating systems, software, ensuring sufficient bandwidth and performance, installing upgrades and managing backups securely.</t>
  </si>
  <si>
    <t>https://marketplace.fedramp.gov/img/logos/CSP_logos/QuestionMark%20Logo.jpg</t>
  </si>
  <si>
    <t>R&amp;K Solutions, Inc</t>
  </si>
  <si>
    <t>GoRPM (Geospatial Real Property Management)</t>
  </si>
  <si>
    <t>FR1733061545</t>
  </si>
  <si>
    <t>https://community.max.gov/x/TIpkWQ</t>
  </si>
  <si>
    <t>Michael Nichols</t>
  </si>
  <si>
    <t>fedramp@rksolutions.com</t>
  </si>
  <si>
    <t>https://rksolutions.com/gorpm</t>
  </si>
  <si>
    <t>GoRPM empowers organizations to collect, aggregate, analyze, manage and understand their real property, personal property, and facilities investments. GoRPM provides data driven decision making in many areas including asset inventory, strategic movement of assets (Basing), space utilization, condition assessment, sustainability, cost analysis, and budget planning and forecasting.  The GoRPM is highly configurable and can be quickly implemented and scaled to meet the needs of government agencies.</t>
  </si>
  <si>
    <t>https://marketplace.fedramp.gov/img/logos/CSP_logos/RK%20Logo.jpg</t>
  </si>
  <si>
    <t>Rave Mobile Safety</t>
  </si>
  <si>
    <t>Rave Alert</t>
  </si>
  <si>
    <t>FR1722838693</t>
  </si>
  <si>
    <t>Office of Energy Efficiency &amp; Renewable Energy</t>
  </si>
  <si>
    <t>Todd Piett</t>
  </si>
  <si>
    <t>fedramp@ravemobilesafety.com</t>
  </si>
  <si>
    <t xml:space="preserve"> www.ravemobilesafety.com</t>
  </si>
  <si>
    <t>Rave Mobile Safety is a leading SaaS-based provider of critical communication and emergency data solutions.  The Rave platform connects millions to those trusted to protect them, by providing innovative solutions to prepare better, respond faster, and communicate more effectively across different devices and locations during emergencies.</t>
  </si>
  <si>
    <t>https://marketplace.fedramp.gov/img/logos/CSP_logos/Rave%20Mobile%20Logo.jpg</t>
  </si>
  <si>
    <t>REAN Cloud Inc.</t>
  </si>
  <si>
    <t>American Heart Association Precision Medicine Platform (AHA-PMP)</t>
  </si>
  <si>
    <t>FR1726637760</t>
  </si>
  <si>
    <t>https://community.max.gov/x/vI11W</t>
  </si>
  <si>
    <t>https://community.max.gov/download/attachments/1307116769/AHA-PMP%20ATO%20Letter%2007232018.pdf?api=v2</t>
  </si>
  <si>
    <t>Sean Finnerty</t>
  </si>
  <si>
    <t>fedramp@reancloud.com</t>
  </si>
  <si>
    <t xml:space="preserve">https://precision.heart.org  </t>
  </si>
  <si>
    <t>The AHA Precision Medicine Platform is a cloud-based data resource that revolutionizes how the research community accelerates solutions for cardiovascular diseases. It provides unprecedented, open access to cardiovascular data sets, cutting-edge tools and forums for collaboration. Researchers can search, filter and unlock the data that matters most to their work - allowing them to find new solution for big health improvements faster than ever before. The Precision Medicine Platform is powered by Amazon Web Services and is a strategic initiative of the American Heart Association's Institute for Precision Cardiovascular Medicine.</t>
  </si>
  <si>
    <t>https://marketplace.fedramp.gov/img/logos/CSP_logos/REAN%20PMP%20Logo.jpg</t>
  </si>
  <si>
    <t>Recovery Point Systems, Inc.</t>
  </si>
  <si>
    <t>INCloud Gov</t>
  </si>
  <si>
    <t>FR1806354023</t>
  </si>
  <si>
    <t>https://community.max.gov/x/pwLXX</t>
  </si>
  <si>
    <t>Nancy Pettit</t>
  </si>
  <si>
    <t>incloudgov@recoverypoint.com</t>
  </si>
  <si>
    <t>www.recoverypoint.com</t>
  </si>
  <si>
    <t>The RPS INcloudGov system provides IaaS / DRaaS services deployed as a federal government-only cloud. INcloudGov provides the necessary compute, storage, and networking capabilities to host our government customers’ disaster recovery environments. RPS provides Disaster Recovery as a Service (DRaaS) by providing government customers a solution for full and partial site failover to a virtual DR site, and failback to restore normal operations.</t>
  </si>
  <si>
    <t>https://marketplace.fedramp.gov/img/logos/CSP_logos/Recovery%20Point%20Logo.jpg</t>
  </si>
  <si>
    <t>Replicon</t>
  </si>
  <si>
    <t>Replicon Cloud Platform</t>
  </si>
  <si>
    <t>F1606087903</t>
  </si>
  <si>
    <t>https://community.max.gov/x/cY_CUQ</t>
  </si>
  <si>
    <t>Alfred Wong</t>
  </si>
  <si>
    <t>alfred.wong@replicon.com</t>
  </si>
  <si>
    <t>www.replicon.com</t>
  </si>
  <si>
    <t xml:space="preserve">Replicon Inc. provides cloud time tracking applications including timesheet and expense management software, using SaaS, for automating employee time tracking, project time tracking, expense tracking and resource scheduling. </t>
  </si>
  <si>
    <t>https://marketplace.fedramp.gov/img/logos/CSP_logos/Replicon%20Logo.jpg</t>
  </si>
  <si>
    <t>Ricoh USA, Inc.</t>
  </si>
  <si>
    <t>Ricoh Government Cloud (RGC)</t>
  </si>
  <si>
    <t>FR1721260553</t>
  </si>
  <si>
    <t>https://community.max.gov/x/z4lkWQ</t>
  </si>
  <si>
    <t>David Greetham</t>
  </si>
  <si>
    <t>ediscoverysales@ricoh-usa.com</t>
  </si>
  <si>
    <t>www.ricoh-usa.com/en/ediscovery</t>
  </si>
  <si>
    <t>Ricoh USA, Inc. has been providing litigation support, document scanning, production and eDiscovery for the Federal Government, Fortune 500, Legal Industry and the AMLaw 200 for more than 25 years. We have supported organizations with offices and departments across the United States, hosting individual datasets of nearly two terabytes and accommodating over one hundred users concurrently. 
The Ricoh Government Cloud (RGC) utilizes data hosting services in Microsoft’s Azure Government Cloud which is FedRAMP certified (Provisional Authorization (PA) for Microsoft – Azure Government Cloud, June 21, 2016) with a deployment of Relativity’s application suite supporting its eDiscovery review platform services. Ricoh is the proud recipient of the Relativity Orange Level Best in Service Award for 2013, 2014, 2015, 2016 and 2017 – successful in every certification audit since becoming eligible in 2013.
Various technologies and processes including data analysis, computer assisted review, customized workflow, comprehensive Electronically Stored Information (ESI) reporting, conceptual searches and clustering are utilized to assist in reviewing ESI in an efficient and defensible manner. Relativity offers an analytics index for email threading, near duplicates and concept clustering.  Relativity is an online review tool that is accessed through an Internet browser – all the current versions of Chrome, Firefox and Safari. No additional client side software installation is required.
Ricoh USA, Inc. has a very scalable solution for data storage with the ability to increase the storage environment within one business day of notification to meet any anticipated project requirements. The database system supports a multi-tier architecture with the ability to fully employ load-balancing and fail-over capabilities of the application. Logical segregation of client data and associated workspace is core to our multi-tenant SaaS environment.</t>
  </si>
  <si>
    <t>https://marketplace.fedramp.gov/img/logos/CSP_logos/Ricoh%20Logo.jpg</t>
  </si>
  <si>
    <t>Saviynt Security Manager</t>
  </si>
  <si>
    <t>Identity Governance as a Service (IGAaaS)</t>
  </si>
  <si>
    <t>FR1821062403</t>
  </si>
  <si>
    <t>https://community.max.gov/x/oI5sWg</t>
  </si>
  <si>
    <t>Matt Schmidt</t>
  </si>
  <si>
    <t>fedramp@saviynt.com</t>
  </si>
  <si>
    <t>www.saviynt.com</t>
  </si>
  <si>
    <t>Saviynt delivers an intelligent Identity Governance and Administration (IGA) solution that enables its customers to effectively manage risk, address continuous compliance needs and securely adopt cloud technologies with confidence. The solution combines advanced analytics with fine-grained privilege management to secure critical data, infrastructure and application assets for Cloud and Enterprise in a unified platform.
Saviynt’s completely managed and flexible IGA-as-a-Service platform ensures a worry-free adoption of Identity Management and Governance services such as user lifecycle management, access request and certification, SOD management, infrastructure access governance for IaaS providers (AWS &amp; Azure), data access governance, privileged access management &amp; monitoring to secure critical enterprise assets.</t>
  </si>
  <si>
    <t>https://marketplace.fedramp.gov/img/logos/CSP_logos/Saviynt%20Logo.jpg</t>
  </si>
  <si>
    <t>Slack Technologies</t>
  </si>
  <si>
    <t>Slack</t>
  </si>
  <si>
    <t>FR1823447014</t>
  </si>
  <si>
    <t>https://community.max.gov/x/QQfAW</t>
  </si>
  <si>
    <t>Nick Hardy</t>
  </si>
  <si>
    <t>fedramp@slack-corp.com</t>
  </si>
  <si>
    <t>https://slack.com/</t>
  </si>
  <si>
    <t>Slack is the collaboration hub that brings the right people together with all the right information and tools to get work done. Launched in 2014, Slack is the fastest-growing business application in history. Millions of people around the world use Slack to connect their teams, unify their systems, and drive their business forward. From Fortune 100 companies to corner markets, Slack helps people communicate better.</t>
  </si>
  <si>
    <t>https://marketplace.fedramp.gov/img/logos/CSP_logos/Slack%20Logo.jpg</t>
  </si>
  <si>
    <t>Smarsh</t>
  </si>
  <si>
    <t>The Archiving Platform</t>
  </si>
  <si>
    <t>FR1726074117</t>
  </si>
  <si>
    <t>Joe Watson</t>
  </si>
  <si>
    <t>fedramp@smarsh.com</t>
  </si>
  <si>
    <t>www.smarsh.com</t>
  </si>
  <si>
    <t>Ease the burden of retaining and producing public records, meet emerging Capstone requirements and respond to the challenges of FOIA and open records requests with The Archiving Platform™ from Smarsh. The Archiving Platform enables you to retain, search, retrieve and produce public open records quickly and efficiently. Archive all of your digital communications—including email, IM, social and mobile – in one comprehensive platform featuring purpose-built functionality to meet the specific needs of government entities.
Records Managers, CTOs, CIOs and IT staff will appreciate secure, centralized, automated digital content combined with powerful retrieval and reporting capabilities in a single solution. Legal teams can leverage the search-ready data with built-in eDiscovery, case management and legal hold functionality.
Key capabilities to manage government communications records include:
* **Capture &amp; Search**: 
Automated, direct capture of messages from the source for all supported content types, indexed for lightning fast, granular search and retrieval, and more. 
* **Management and Administration**:
Retention rules, configurable policy engine, role-based administration, self-service customer dashboard and more. 
* **Legal &amp; Discovery**:
Powerful case management, faceted search, legal holds, on-demand exports in multiple output formats and more.
* **Public Records Portal**:  
Let Smarsh solve the problem of organizing public records requests the easy way with its customizable online portal. 
* **Personal Archive**: 
Stop impacting IT and frustrating users when an old message or attachment is needed –instead, provide secure, quick and easy self-service access. 
* **Flexible Deployments &amp; Security**: Smarsh offers multiple deployment models to match the specific needs of your environment and all records remain safe and secure throughout the entire archiving lifecycle and records access workflows. 
The Archiving Platform supports all of the dynamic types of electronic communications content available today, including mobile, social media, web, email, and instant messaging. Unlike other products, archived content for non-email message types are retained in proper context and aren’t modified or converted into a generic email format. 
Key supported content channels include: 
* **Mobile** content directly captured from major mobile carriers including AT&amp;T, Verizon, US Cellular and more.
* **Social** content from Twitter, Facebook, LinkedIn, Instagram, and more
* **Email** content from Microsoft Exchange, Office 365 (Outlook, Yammer, Lync and Skype for Business), Google Apps and Lotus Notes
* **IM** content from Slack, Skype for Business and more</t>
  </si>
  <si>
    <t>https://marketplace.fedramp.gov/img/logos/CSP_logos/Smarsh%20Logo.jpg</t>
  </si>
  <si>
    <t>Smartronix, Inc.</t>
  </si>
  <si>
    <t>Cloud Assured Managed Services (CAMS)</t>
  </si>
  <si>
    <t>F1603077867</t>
  </si>
  <si>
    <t>https://community.max.gov/x/_olkWQ</t>
  </si>
  <si>
    <t>Anthony Vultaggio</t>
  </si>
  <si>
    <t>cloudassured@smartronix.com</t>
  </si>
  <si>
    <t>www.cloudassured.com</t>
  </si>
  <si>
    <t xml:space="preserve">The Smartronix Cloud Assured Managed Services (CAMS) solution gives an organization the ability to leverage the power and scalability of the cloud while reducing the cost and complexity of managing and monitoring infrastructures and applications in-house. CAMS resides on Amazon Web Services (AWS) East/West Infrastructure and has been designed to deliver the flexibility customers demand from today’s cloud managed service providers to both commercial and federal entities. Smartronix experts provide complete management of cloud services from initial provisioning through the entire solution life-cycle. This is facilitated by utilizing a suite of applications, technologies, and enhanced security services to provide FedRAMP compliant core capabilities to the consumers leveraging Smartronix CAMS. These services include the management of log collection, antivirus, update services, vulnerability scanning, and other similar services. Smartronix is more than ‘just IT’ and has been recognized by Gartner as a leader in the Magic Quadrant for Public Cloud Infrastructure Managed Service Providers, worldwide. We have developed, delivered, and operate solutions for defense organizations, civilian agencies, financial institutions, media and entertainment companies, healthcare systems, logistics enterprises, and more. We are an organization that knows more than cores and bytes, we are a partner that knows your industry, differentiators, and constraints. Our past performance, diverse skill-sets, and the extraordinary tenure and commitment of our Team means we are more than just a cloud services provider. </t>
  </si>
  <si>
    <t>https://marketplace.fedramp.gov/img/logos/CSP_logos/Smartronix%20Logo.jpg</t>
  </si>
  <si>
    <t>Snowflake Computing, Inc.</t>
  </si>
  <si>
    <t>Snowflake Data Warehouse Software as a Service</t>
  </si>
  <si>
    <t>FR1809360201</t>
  </si>
  <si>
    <t>https://community.max.gov/x/2gwHWg</t>
  </si>
  <si>
    <t>Snowflake Computing</t>
  </si>
  <si>
    <t>federalsales@snowflake.net</t>
  </si>
  <si>
    <t>https://www.snowflake.net</t>
  </si>
  <si>
    <t>Snowflake is a FedRAMP Ready data warehouse built for the cloud. Snowflake will enable Federal agencies to accelerate IT Modernization with a cloud-only service that enables data-driven agencies with instant elasticity, secure data sharing and per-second pricing. Snowflake combines the power of data warehousing, the flexibility of big data platforms and the elasticity of the cloud at a fraction of the cost of traditional solutions. Snowflake: Your data, no limits. Find out more at [snowflake.net](snowflake.net).</t>
  </si>
  <si>
    <t>https://marketplace.fedramp.gov/img/logos/CSP_logos/Snowflake%20Logo.jpg</t>
  </si>
  <si>
    <t>Splunk</t>
  </si>
  <si>
    <t>Splunk Cloud</t>
  </si>
  <si>
    <t>F1607197917</t>
  </si>
  <si>
    <t>https://community.max.gov/x/loMcSg</t>
  </si>
  <si>
    <t>Splunk FedRAMP Team</t>
  </si>
  <si>
    <t>Fedramp-Cloud@splunk.com</t>
  </si>
  <si>
    <t>https://www.splunk.com/</t>
  </si>
  <si>
    <t>Splunk Cloud provides operational intelligence capabilities to organizations around the world.  It provides an easy and fast way to analyze the massive streams of machine-generated data coming from IT systems and applications, wherever they are deployed—on-premises, in virtualized environments or in the cloud.
Splunk Cloud delivers the Splunk Enterprise software in a cloud environment where the setup and management of the support infrastructure is performed by Splunk Cloud Operations.  Splunk Enterprise is a software platform to search, analyze, and visualize the machine-generated data gathered from the websites, applications, sensors, devices, and so on, that comprise your IT infrastructure or business.
After you define the data source, Splunk Cloud indexes the data stream and parses it into a series of individual events that you can view and search.  Organizations may use the search processing language or the interactive pivot feature to create reports and visualizations.</t>
  </si>
  <si>
    <t>https://marketplace.fedramp.gov/img/logos/CSP_logos/Splunk%20Logo.jpg</t>
  </si>
  <si>
    <t>SumTotal Systems</t>
  </si>
  <si>
    <t>SumTotal Enterprise Learning Management System (ELMS)</t>
  </si>
  <si>
    <t>FR1723260506</t>
  </si>
  <si>
    <t>https://community.max.gov/x/1gVMU</t>
  </si>
  <si>
    <t>Edward Zaval</t>
  </si>
  <si>
    <t>fedramp@sumtotalsystems.com</t>
  </si>
  <si>
    <t>http://www.sumtotalsystems.com</t>
  </si>
  <si>
    <t>SumTotal provides customers with web based employee and vendor training/educational assets, student assignments, personnel management and reporting capabilities. It also provides training.</t>
  </si>
  <si>
    <t>https://marketplace.fedramp.gov/img/logos/CSP_logos/SumTotal%20Logo.jpg</t>
  </si>
  <si>
    <t>Symantec Corporation</t>
  </si>
  <si>
    <t>Symantec™ Email Security Service – Government, powered by Rackspace</t>
  </si>
  <si>
    <t>F1510137547A</t>
  </si>
  <si>
    <t>George Teas</t>
  </si>
  <si>
    <t>mail_fedramp@symantec.com</t>
  </si>
  <si>
    <t>https://www.symantec.com/</t>
  </si>
  <si>
    <t>Symantec™ Email Security Service – Government delivers inbound and outbound email security, with effective and accurate real-time antispam and anti-malware protection, targeted attack protection, advanced content filtering, data loss prevention, and email encryption.  Symantec™ Email Security Service – Government catches more than 99% of spam with less than one in a million false positives. The service leverages intelligence, powered by the Symantec Global Intelligence Network and connection throttling using both global and self-learning local IP reputation. With Symantec™ Email Security Service – Government, organizations can effectively respond to new messaging threats, preserving employee productivity, and protecting company reputation.</t>
  </si>
  <si>
    <t>https://marketplace.fedramp.gov/img/logos/CSP_logos/Symantec%20Logo.jpg</t>
  </si>
  <si>
    <t>Workplace.gov Community Cloud High (WC2-H)</t>
  </si>
  <si>
    <t>FR1801046750</t>
  </si>
  <si>
    <t>https://community.max.gov/x/Dg_MTw</t>
  </si>
  <si>
    <t>https://community.max.gov/x/Jg_MTw</t>
  </si>
  <si>
    <t>Kamil Kuza</t>
  </si>
  <si>
    <t>WC2HELPDESK@treasury.gov</t>
  </si>
  <si>
    <t>https://www.workplace.gov</t>
  </si>
  <si>
    <t>The Workplace.gov Community Cloud High (WC2-H) uses a government community cloud deployment model and the cloud computing service model for WC2 is both Platform as a Service (PaaS) and Infrastructure as a Service (IaaS) provider.  Amazon Web Services Gov-cloud (AWS) is leveraged to provide service. The WC2 system provides a platform for government customers’ systems and applications to allow them the capability to utilize cloud computing hosting environments, implement continuous integration and development using modern DevOps tools. The WC2 infrastructure allows Treasury customers to focus on the operational and business aspects of their web presence such as usability, information architecture and content authoring without having to re-invent and configure the technical infrastructure each time.</t>
  </si>
  <si>
    <t>VBrick Systems, Inc.</t>
  </si>
  <si>
    <t>VBrick Rev</t>
  </si>
  <si>
    <t>F1605107898</t>
  </si>
  <si>
    <t>Depatment of the Interior</t>
  </si>
  <si>
    <t>Fish and Wildlife Service</t>
  </si>
  <si>
    <t>https://community.max.gov/x/oIHgVQ</t>
  </si>
  <si>
    <t>Todd Kistner</t>
  </si>
  <si>
    <t>fedramp@vbrick.com</t>
  </si>
  <si>
    <t>www.vbrick.com</t>
  </si>
  <si>
    <t>Rev enables organizations to securely and efficiently deliver high quality live and on-demand video to huge audiences internally, using the organization’s wide area network, and externally via the cloud. Features of Rev include, the central management of video assets, user access and permissions, network delivery devices, and video publishing and distribution—in the most bandwidth-efficient way possible.</t>
  </si>
  <si>
    <t>https://marketplace.fedramp.gov/img/logos/CSP_logos/VBrick%20Logo.jpg</t>
  </si>
  <si>
    <t>Veracode</t>
  </si>
  <si>
    <t>Veracode Application Security Services System</t>
  </si>
  <si>
    <t>F1509237360</t>
  </si>
  <si>
    <t>Defense Media Agency</t>
  </si>
  <si>
    <t>https://community.max.gov/x/5gKwPg</t>
  </si>
  <si>
    <t>Jeff Horan</t>
  </si>
  <si>
    <t>contact@veracode.com</t>
  </si>
  <si>
    <t>www.veracode.com</t>
  </si>
  <si>
    <t>**Veracode Application Security Services System**
The Veracode Application Security Services System (VASSS) is designed to assist organizations in verifying an application’s security state and in determining acceptable levels of risk before the software is deployed for business use. In conjunction with providing these services, Veracode relies upon its Center for Software Assurance (CSA) function to perform quality review procedures over the results generated by the Platform System prior to delivering them to its clients.
**Enterprise-grade Security**
The Veracode cloud-based platform provides customers a centralized way to secure web, mobile and third-party applications across their global infrastructure, from development to production, without slowing innovation.
**White Box Testing / Binary Static Analysis (SAST)**
Static Application Security Testing (SAST), or “white-box” testing, finds common vulnerabilities by performing a deep analysis of customer applications without executing them. Using Veracode patented binary SAST technology, all code is analyzed, including open source and third-party components, without requiring access to source code.
SAST supplements threat modeling and code reviews performed by developers, finding coding errors and omissions more quickly and at lower cost via automation. It’s typically run in the early phases of the Software Development Lifecycle when it’s easier and less expensive to fix problems prior to production deployment.
**Black Box Testing / Dynamic Analysis (DAST)**
Dynamic Application Security Testing (DAST), or “black-box” testing, identifies architectural weaknesses and vulnerabilities in customer running web applications. DAST allows customers to test and secure applications prior to and after shipping.
**Web Application Perimeter Monitoring**
Most enterprises don’t even know how many public-facing applications they have. To reduce customers’ global application threat surface, Veracode’s parallel cloud infrastructure rapidly discovers public-facing applications and identifies the potential exploitable vulnerabilities.
As enterprises spin-up new websites for new marketing campaigns or geographies, create web portals for customers and partners, and acquire companies, web application perimeters are constantly expanding. Additionally, legacy and aging marketing sites may exist unknowingly. The Veracode platform allows customers to quickly identify risks and take immediate action by shutting down legacy sites. Customers can also feed security intelligence about specific vulnerabilities from the Veracode cloud-based platform to your existing WAFs, for rapid mitigation via virtual patching.
**Vendor Application Security Testing**
Driving innovation to market usually means trusting the resilience of third-party software. The VAST program leaves less to chance. It baselines the risk posed by third-party applications and components, and then works directly with vendors to ensure your software supply chain is in compliance with your corporate policies.
**Mobile Application Security System**
Veracode’s cloud-based solution helps mobile teams achieve the correct balance between innovation and control. Veracode helps effectively manage the security risk posed by the mobile apps that customer organizations build, buy or download. Veracode’s solution provides the intelligence to protect against attacks and verify compliance with corporate risk and privacy policies.
Veracode’s mobile application security solution combines automated code assessments with expert remediation services that enable IT teams to rapidly secure mobile applications in agile development environments, without slowing innovation.</t>
  </si>
  <si>
    <t>https://marketplace.fedramp.gov/img/logos/CSP_logos/Veracode%20Logo.jpg</t>
  </si>
  <si>
    <t>Veritone, Inc.</t>
  </si>
  <si>
    <t>aiWARE Government</t>
  </si>
  <si>
    <t>FR1804557312</t>
  </si>
  <si>
    <t>https://community.max.gov/x/vAMqWw</t>
  </si>
  <si>
    <t>Eric Hansen</t>
  </si>
  <si>
    <t>fedramp@veritone.com</t>
  </si>
  <si>
    <t>https://www.veritone.com/ai-solutions/government/</t>
  </si>
  <si>
    <t>aiWARE™ for Government is an operating system for artificial intelligence (AI) that turns both private and public media into actionable intelligence. This transformation from data to understanding is achieved through the organized interrogation of content via a robust set of artificial intelligence engines and powerful applications acting in concert.
A continuously-evolving environment of advanced applications, core services, developer tools, and cognitive computing - aiWARE offers potent content ingestion, indexing, search, correlation, analytics, sharing, and collaboration capabilities.
aiWARE affords unprecedented scalability and computational analysis in a SaaS delivery model. It makes advanced artificial intelligence truly accessible, understandable and beneficial to users of all technical skill levels for simplified organization and analysis of the escalating volumes of audio and video media as well as structured content. 
The aiWARE ecosystem of best-of-breed cognitive engines in a single platform eliminates the need for agencies and mission owners to select one vendor from the landscape of thousands of engines, which effectively future-proofs technology choices, and ensures timely and common access to the latest AI advances.</t>
  </si>
  <si>
    <t>https://marketplace.fedramp.gov/img/logos/CSP_logos/Veritone%20Logo.jpg</t>
  </si>
  <si>
    <t>Virtru</t>
  </si>
  <si>
    <t>Virtru Data Protection Platform</t>
  </si>
  <si>
    <t>F1605037894</t>
  </si>
  <si>
    <t>Peter Nancarrow</t>
  </si>
  <si>
    <t>fedramp@virtru.com</t>
  </si>
  <si>
    <t>https://www.virtru.com</t>
  </si>
  <si>
    <t>Virtru provides seamless end-to-end email encryption, powerful access controls, and unparalleled security - built for the enterprise, yet easy enough for everyone.
Government agencies and large enterprises trust Virtru to protect and control sensitive information – such as regulated personal data and proprietary intellectual property – regardless of where it’s created, stored, or shared. Based on the Trusted Data Format (TDF) open standard, the Virtru Data Protection Platform allows users anywhere, on any device, to work the way they do today – without requiring a separate log-in, user interface, or application.
Enforced through seamless integrations with G Suite, Office 365, and other SaaS business applications, Virtru is offered as a SaaS platform for access control, policy enforcement, and key management.</t>
  </si>
  <si>
    <t>https://marketplace.fedramp.gov/img/logos/CSP_logos/Virtru%20Logo.jpg</t>
  </si>
  <si>
    <t>Waggl, Inc.</t>
  </si>
  <si>
    <t>Waggl Pulse</t>
  </si>
  <si>
    <t>FR1818240234</t>
  </si>
  <si>
    <t>https://community.max.gov/x/W4DQWg</t>
  </si>
  <si>
    <t>Tony Mitchell</t>
  </si>
  <si>
    <t>mitchell@waggl.com</t>
  </si>
  <si>
    <t>www.waggl.com</t>
  </si>
  <si>
    <t>Waggl is the #1 employee voice platform. Waggl’s software platform improves organizational performance by boosting human connection and enabling informed decision-making, rapid alignment, and immediate action. 
Waggl's digital focus groups at scale deliver actionable insights to leaders, ensure that employee voices are heard, and encourage employee engagement through meaningful inclusion and participation.</t>
  </si>
  <si>
    <t>https://marketplace.fedramp.gov/img/logos/CSP_logos/Waggl%20Logo.jpg</t>
  </si>
  <si>
    <t>https://community.max.gov/x/naAOTg</t>
  </si>
  <si>
    <t>Eric Wolf</t>
  </si>
  <si>
    <t>fedramp@xerox.com</t>
  </si>
  <si>
    <t>www.xerox.com</t>
  </si>
  <si>
    <t>Xerox Managed Print Services (MPS) for US Federal Government is a cloud-based MPS solution developed specifically to help U.S. federal government agencies maximize productivity and security and reduce waste and risk.
The Xerox solution is the holistic and efficient management for Xerox and Non-Xerox printing/imaging devices such as printers, fax machines, copiers and multi-function devices.
MPS focuses on the management of print output devices themselves, related supplies and service requirements.  MPS ensures proactive management resulting in maximum device uptime, device utilization/optimization, while providing flexible print capabilities and print policy management.</t>
  </si>
  <si>
    <t>https://marketplace.fedramp.gov/img/logos/CSP_logos/Xerox%20Logo.jpg</t>
  </si>
  <si>
    <t>Zapproved LLC</t>
  </si>
  <si>
    <t>Legal Hold Pro</t>
  </si>
  <si>
    <t>FR1722561386</t>
  </si>
  <si>
    <t>Yupeng Ji</t>
  </si>
  <si>
    <t>info@zapproved.com</t>
  </si>
  <si>
    <t xml:space="preserve">www.zapproved.com </t>
  </si>
  <si>
    <t xml:space="preserve">**Legal Hold Pro** by Zapproved is the leading SaaS e-discovery software solution designed to enable government agencies’ legal teams to streamline and strengthen the data preservation stage of e-discovery through the automation of legal hold notifications (“holds”) and compliance tracking. Legal Hold Pro’s multi-step process is scalable, repeatable, consistent and efficient from hold notification through custodian response and collection. The application has been designed from the ground up to ensure that data is safe and secure using industry best practices. Zapproved’s system has been evaluated for use by world-leading companies and it meets their demanding requirements of data security. 
Legal Hold Pro software provides an agency with capabilities such as:
 - **Draft and Issue Hold Notification** - Draft holds in minutes using customizable and pre-approved templates and easily add recipients to be notified.
 - **Collect Responses by Recipients** - Recipients are obliged to affirmatively acknowledge their compliance with the hold notification, which is made easy with Legal Hold Pro’s “one-click” acceptance.     
 - **Interview Recipients by Online Questionnaires** - Rather than calling or meeting with custodians individually, the legal team can “interview” recipients efficiently and in a timely manner.
 - **Send Routine Reminders and Updates** -  Legal Hold Pro also manages required reminders and updates over the life of legal hold, often lasting several years.   
 - **Maintain a Thorough Audit Trail** - The software time stamps each action and maintains detailed records, including revisions, so the legal team can demonstrate its good faith efforts and ensure defensibility.
In addition to the above-stated workflow, the software offers the following additional benefits:
 - **Data Security** - Designed and maintained to the highest levels of data security, including availability within Amazon Web Services GovCloud, and backed up with industry-leading SOC2 Type 2 certfication. 
 - **Intuitive User Interface** - ADA compliant and accessible to non-technical users. Training takes just few hours.
 - **Connectivity** - The application's robust API enables it to seamlessly integrate with other business systems such as HR databases and data archives. 
 - **Rapid Implementation** -  Many customers are fully operational in less than a week.   
 - **Scalability** - Cloud computing architecture scales with growth regardless of how many users need to access the software or the volume of holds change.
 - **Customer Experience** - Dedicated onboarding and ongoing support, multi-tiered implementation plans that suit any agency size and frequent updates with innovative features.
</t>
  </si>
  <si>
    <t>https://marketplace.fedramp.gov/img/logos/CSP_logos/Zapproved%20Logo.jpg</t>
  </si>
  <si>
    <t>Zendesk Inc.</t>
  </si>
  <si>
    <t>FR1821856903</t>
  </si>
  <si>
    <t>https://community.max.gov/x/_YNjVg</t>
  </si>
  <si>
    <t>Nate Palmore</t>
  </si>
  <si>
    <t>fedramp@zendesk.com</t>
  </si>
  <si>
    <t>https://www.zendesk.com</t>
  </si>
  <si>
    <t>Zendesk is a cloud-based customer service platform, designed for companies that want to build customer relationships that are more meaningful, personal, and productive. Zendesk strives to bring businesses and customers closer together by enabling companies to provide great support and mature with self-service and proactive engagement. It is designed to be easy to use, customize, and scale.</t>
  </si>
  <si>
    <t>https://marketplace.fedramp.gov/img/logos/CSP_logos/Zendesk%20Logo.jpg</t>
  </si>
  <si>
    <t>Zimperium</t>
  </si>
  <si>
    <t>Zimperium Federal Cloud</t>
  </si>
  <si>
    <t>FR1731347234</t>
  </si>
  <si>
    <t>https://community.max.gov/x/MYaGWg</t>
  </si>
  <si>
    <t>Jerome Brock</t>
  </si>
  <si>
    <t>fedramp@zimperium.com</t>
  </si>
  <si>
    <t>https://www.zimperium.com</t>
  </si>
  <si>
    <t>Zimperium Federal cloud (ZFC) is a Cloud based application deployed on the AWS GovCloud infrastructure which, when combined with the Zimperium mobile application (zIPS), provides a comprehensive Mobile Threat Defense (MTD) solution.  Zimperium's Amazon GovCloud based application provides security teams with visibility on the threats and vulnerabilities across all mobile devices in the organization to assess organization risk, identify security gaps and remediate.  The zIPS on-device app incorporates machine learning techniques to detect anomalies to the mobile device's operating system's statistics, memory, CPU and other system parameters and accurately identify not only the specific type of malicious attack, but also the forensics associated with the who, what, where, when, and how of an attack occurrence.</t>
  </si>
  <si>
    <t>https://marketplace.fedramp.gov/img/logos/CSP_logos/Zimperium%20Logo.jpg</t>
  </si>
  <si>
    <t>Zoom Video Communications, LLC</t>
  </si>
  <si>
    <t>Zoom for Government</t>
  </si>
  <si>
    <t>FR1825941347</t>
  </si>
  <si>
    <t>https://community.max.gov/x/UInJX</t>
  </si>
  <si>
    <t>Rick Drum</t>
  </si>
  <si>
    <t xml:space="preserve">support.fedramp@zoom.us </t>
  </si>
  <si>
    <t xml:space="preserve">www.zoom.us </t>
  </si>
  <si>
    <t>The **Zoom For Government** Platform unifies cloud video conferencing, simple online meetings and a software-defined conference room solution into one easy-to-use platform. The solution offers video, audio, and wireless screen-sharing across Windows, Mac, Linux, Chrome OS, iOS, Android, Blackberry, Zoom Rooms, and H.323/SIP room systems. Zoom Products include:
* **Zoom Cloud Video Conferencing** – a cloud-based collaboration service which includes video, audio, content sharing and collaboration.
* **Zoom Rooms** – software-based group video conferencing for conference and huddle rooms that run off-the-shelf hardware including a dedicated MAC or PC, camera, and speaker with an iPad controller.
* **Zoom Room Connector** – a gateway allowing H.323 and Session Initiation Protocol (SIP) systems to connect to Zoom meetings. Room Connector is available in both cloud computing and as software (VM) for installation on the customer premise. 
* **Zoom Meeting Connector** – a software (VM) version of the Zoom Cloud infrastructure intended for installation on the customer premise. 
* **Zoom API** - provides the ability for developers to easily add Video, Voice and Screen Sharing to your application. Our API is a server side implementation designed around REST. The Zoom API helps manage the pre-meeting experience such as creating, editing and deleting resources like users, meetings and webinars.</t>
  </si>
  <si>
    <t>https://marketplace.fedramp.gov/img/logos/CSP_logos/Zoom%20Logo.jpg</t>
  </si>
  <si>
    <t>Zscaler Internet Access - Government</t>
  </si>
  <si>
    <t>FR1720454205</t>
  </si>
  <si>
    <t>Zscaler Internet Access delivers your security stack as a service from the cloud, eliminating the cost and complexity of traditional secure web gateway approaches. By moving security to a globally distributed cloud, Zscaler brings the Internet gateway closer to the user for a faster experience. Organizations can easily scale protection to all offices or users, regardless of location, and minimize network and appliance infrastructure.
**The Cloud and Mobility Have Broken Perimeter Security**
The data center used to be the center of gravity. When applications resided there, it made sense to backhaul traffic from branch offices over a hub-and-spoke network. As traffic patterns shifted to the Internet, gateways were built with stacks of security appliances to allow secure Internet access. These gateways were also centralized to minimize the cost and complexity of securing multiple locations.
However, as applications have moved to the cloud, the center of gravity has moved with it. User traffic often goes straight to the cloud, bypassing the security perimeter. Additionally, today’s complex threats have triggered an explosion of new security appliances, all finding their way into your overworked gateway. Administrators are in a constant battle to keep up with required security updates for their appliances. The complexity of deploying and managing all these appliances — and their associated costs — are out of control. Furthermore, it’s all associated with what is now an outdated architecture.
**Zscaler Internet Access**
Zscaler Internet Access is a secure Internet and web gateway delivered as a service from the cloud. Think of it as a secure Internet onramp — all you do is make Zscaler your next hop to the Internet. For offices, simply set up a router tunnel (GRE or IPsec) to the closest Zscaler data center. For mobile employees, you can forward traffic via our lightweight Zscaler App or PAC file. No matter where users connect — a coffee shop in Milan, a hotel in Hong Kong, or the office — they get identical protection.
Zscaler Internet Access sits between your users and the Internet, inspecting every byte of traffic inline across multiple security techniques, even within SSL. You get full protection from web and Internet threats. And with a cloud platform that supports Cloud Sandboxing, Next-Generation Firewall, Data Loss Prevention (DLP), and Cloud Application Visibility and Control, you can start with the services you need today and activate others as your needs grow.
All these capabilities are delivered from the Zscaler Cloud Security Platform, the world’s largest security cloud, which processes more than 30 billion requests a day. With over 100 patents, the Zscaler platform has been architected from the ground up as a truly distributed, multi-tenant cloud with enterprise performance and scale.</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</si>
</sst>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0;###0"/>
    <numFmt numFmtId="166" formatCode="m/d/yyyy"/>
    <numFmt numFmtId="167" formatCode="mm/dd/yyyy"/>
    <numFmt numFmtId="168" formatCode="###0.00"/>
    <numFmt numFmtId="169" formatCode="dd/mm/yyyy"/>
    <numFmt numFmtId="170" formatCode="m/yyyy"/>
    <numFmt numFmtId="171" formatCode="###0.00;###0.00"/>
    <numFmt numFmtId="172" formatCode="m/d/yy"/>
  </numFmts>
  <fonts count="70">
    <font>
      <sz val="12.0"/>
      <color rgb="FF000000"/>
      <name val="Arial"/>
    </font>
    <font>
      <b/>
      <sz val="10.0"/>
      <color rgb="FF000000"/>
      <name val="Arial"/>
    </font>
    <font>
      <b/>
      <sz val="12.0"/>
      <color rgb="FFFFFFFF"/>
      <name val="Calibri"/>
    </font>
    <font>
      <sz val="12.0"/>
      <color rgb="FF000000"/>
      <name val="Calibri"/>
    </font>
    <font>
      <b/>
      <sz val="8.0"/>
      <color rgb="FF000000"/>
      <name val="Arial"/>
    </font>
    <font>
      <sz val="12.0"/>
      <name val="Calibri"/>
    </font>
    <font>
      <sz val="10.0"/>
      <color rgb="FF000000"/>
      <name val="Arial"/>
    </font>
    <font>
      <u/>
      <sz val="12.0"/>
      <color rgb="FF000000"/>
      <name val="Calibri"/>
    </font>
    <font>
      <u/>
      <sz val="10.0"/>
      <color rgb="FF000000"/>
      <name val="Arial"/>
    </font>
    <font>
      <u/>
      <sz val="10.0"/>
      <color rgb="FF000000"/>
      <name val="Arial"/>
    </font>
    <font>
      <u/>
      <sz val="10.0"/>
      <color rgb="FF000000"/>
      <name val="Arial"/>
    </font>
    <font>
      <u/>
      <sz val="12.0"/>
      <color rgb="FF000000"/>
      <name val="Calibri"/>
    </font>
    <font>
      <sz val="8.0"/>
      <color rgb="FF000000"/>
      <name val="Arial"/>
    </font>
    <font>
      <color rgb="FF000000"/>
      <name val="Calibri"/>
    </font>
    <font>
      <u/>
      <sz val="10.0"/>
      <color rgb="FF000000"/>
      <name val="Arial"/>
    </font>
    <font>
      <sz val="10.0"/>
      <name val="Arial"/>
    </font>
    <font>
      <u/>
      <sz val="10.0"/>
      <color rgb="FF000000"/>
      <name val="Arial"/>
    </font>
    <font>
      <u/>
      <sz val="10.0"/>
      <color rgb="FF000000"/>
      <name val="Arial"/>
    </font>
    <font>
      <u/>
      <sz val="12.0"/>
      <color rgb="FF000000"/>
      <name val="Calibri"/>
    </font>
    <font>
      <u/>
      <sz val="10.0"/>
      <color rgb="FF000000"/>
      <name val="Arial"/>
    </font>
    <font>
      <u/>
      <sz val="12.0"/>
      <color rgb="FF000000"/>
      <name val="Calibri"/>
    </font>
    <font>
      <b/>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font>
      <sz val="12.0"/>
      <color rgb="FFFF0000"/>
      <name val="Calibri"/>
    </font>
    <font>
      <u/>
      <sz val="12.0"/>
      <color rgb="FF000000"/>
      <name val="Calibri"/>
    </font>
    <font>
      <name val="Calibri"/>
    </font>
    <font>
      <u/>
      <sz val="10.0"/>
      <color rgb="FF000000"/>
      <name val="Arial"/>
    </font>
    <font>
      <u/>
      <sz val="10.0"/>
      <color rgb="FF000000"/>
      <name val="Arial"/>
    </font>
    <font>
      <name val="Times New Roman"/>
    </font>
    <font>
      <u/>
      <sz val="10.0"/>
      <color rgb="FF000000"/>
      <name val="Arial"/>
    </font>
    <font>
      <b/>
      <sz val="10.0"/>
      <name val="Arial"/>
    </font>
    <font>
      <u/>
      <sz val="10.0"/>
      <color rgb="FF000000"/>
      <name val="Arial"/>
    </font>
    <font>
      <u/>
      <sz val="10.0"/>
      <color rgb="FF000000"/>
      <name val="Arial"/>
    </font>
    <font>
      <b/>
      <sz val="18.0"/>
    </font>
    <font>
      <b/>
      <sz val="12.0"/>
    </font>
    <font>
      <sz val="9.0"/>
    </font>
    <font>
      <sz val="12.0"/>
    </font>
    <font>
      <b/>
      <sz val="9.0"/>
      <color rgb="FF000000"/>
    </font>
    <font>
      <b/>
      <sz val="12.0"/>
      <color rgb="FF000000"/>
    </font>
    <font>
      <b/>
      <color rgb="FF000000"/>
    </font>
    <font>
      <b/>
      <sz val="11.0"/>
    </font>
    <font>
      <sz val="11.0"/>
    </font>
    <font>
      <sz val="11.0"/>
      <name val="Arial"/>
    </font>
    <font>
      <sz val="11.0"/>
      <color rgb="FF000000"/>
      <name val="Arial"/>
    </font>
    <font>
      <u/>
      <sz val="10.0"/>
      <color rgb="FF000000"/>
      <name val="Arial"/>
    </font>
    <font>
      <u/>
      <sz val="10.0"/>
      <color rgb="FF000000"/>
      <name val="Arial"/>
    </font>
    <font>
      <b/>
      <sz val="11.0"/>
      <color rgb="FFFFFFFF"/>
      <name val="Arial"/>
    </font>
    <font>
      <sz val="11.0"/>
      <color rgb="FF222222"/>
      <name val="Arial"/>
    </font>
    <font>
      <sz val="11.0"/>
      <color rgb="FF434343"/>
      <name val="Arial"/>
    </font>
    <font>
      <sz val="11.0"/>
      <color rgb="FF000000"/>
      <name val="Inconsolata"/>
    </font>
    <font>
      <color rgb="FF000000"/>
      <name val="Arial"/>
    </font>
    <font>
      <u/>
      <sz val="10.0"/>
      <color rgb="FF000000"/>
      <name val="Arial"/>
    </font>
    <font>
      <u/>
      <sz val="11.0"/>
      <color rgb="FF000000"/>
      <name val="Arial"/>
    </font>
    <font>
      <u/>
      <sz val="10.0"/>
      <color rgb="FF000000"/>
      <name val="Arial"/>
    </font>
    <font>
      <u/>
      <sz val="10.0"/>
      <color rgb="FF000000"/>
      <name val="Arial"/>
    </font>
    <font>
      <name val="Arial"/>
    </font>
    <font>
      <sz val="12.0"/>
      <color rgb="FF000000"/>
      <name val="&quot;Source Sans Pro&quot;"/>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sz val="10.0"/>
      <color rgb="FF000000"/>
    </font>
    <font>
      <u/>
      <sz val="10.0"/>
      <color rgb="FF000000"/>
      <name val="Arial"/>
    </font>
    <font>
      <sz val="10.0"/>
    </font>
  </fonts>
  <fills count="11">
    <fill>
      <patternFill patternType="none"/>
    </fill>
    <fill>
      <patternFill patternType="lightGray"/>
    </fill>
    <fill>
      <patternFill patternType="solid">
        <fgColor rgb="FFE06666"/>
        <bgColor rgb="FFE06666"/>
      </patternFill>
    </fill>
    <fill>
      <patternFill patternType="solid">
        <fgColor rgb="FF4F81BD"/>
        <bgColor rgb="FF4F81BD"/>
      </patternFill>
    </fill>
    <fill>
      <patternFill patternType="solid">
        <fgColor rgb="FFFFFFFF"/>
        <bgColor rgb="FFFFFFFF"/>
      </patternFill>
    </fill>
    <fill>
      <patternFill patternType="solid">
        <fgColor rgb="FFD9EAD3"/>
        <bgColor rgb="FFD9EAD3"/>
      </patternFill>
    </fill>
    <fill>
      <patternFill patternType="solid">
        <fgColor rgb="FFDBE5F1"/>
        <bgColor rgb="FFDBE5F1"/>
      </patternFill>
    </fill>
    <fill>
      <patternFill patternType="solid">
        <fgColor rgb="FFA7C0DE"/>
        <bgColor rgb="FFA7C0DE"/>
      </patternFill>
    </fill>
    <fill>
      <patternFill patternType="solid">
        <fgColor rgb="FFB8CCE4"/>
        <bgColor rgb="FFB8CCE4"/>
      </patternFill>
    </fill>
    <fill>
      <patternFill patternType="solid">
        <fgColor rgb="FFFCFCFC"/>
        <bgColor rgb="FFFCFCFC"/>
      </patternFill>
    </fill>
    <fill>
      <patternFill patternType="solid">
        <fgColor rgb="FFFAFAFA"/>
        <bgColor rgb="FFFAFAFA"/>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style="thick">
        <color rgb="FFFFFFFF"/>
      </bottom>
    </border>
    <border>
      <left/>
      <right/>
      <top style="thin">
        <color rgb="FFFFFFFF"/>
      </top>
      <bottom style="thin">
        <color rgb="FFFFFFFF"/>
      </bottom>
    </border>
  </borders>
  <cellStyleXfs count="1">
    <xf borderId="0" fillId="0" fontId="0" numFmtId="0" applyAlignment="1" applyFont="1"/>
  </cellStyleXfs>
  <cellXfs count="3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1" numFmtId="0" xfId="0" applyAlignment="1" applyBorder="1" applyFont="1">
      <alignment horizontal="center" readingOrder="0" shrinkToFit="0" vertical="top" wrapText="0"/>
    </xf>
    <xf borderId="1" fillId="3" fontId="2" numFmtId="1" xfId="0" applyAlignment="1" applyBorder="1" applyFill="1" applyFont="1" applyNumberFormat="1">
      <alignment horizontal="left" shrinkToFit="0" vertical="top" wrapText="0"/>
    </xf>
    <xf borderId="1" fillId="2" fontId="1" numFmtId="164" xfId="0" applyAlignment="1" applyBorder="1" applyFont="1" applyNumberFormat="1">
      <alignment horizontal="center" readingOrder="0" shrinkToFit="0" vertical="top" wrapText="1"/>
    </xf>
    <xf borderId="1" fillId="3" fontId="2" numFmtId="0" xfId="0" applyAlignment="1" applyBorder="1" applyFont="1">
      <alignment horizontal="left" shrinkToFit="0" vertical="top" wrapText="0"/>
    </xf>
    <xf borderId="1" fillId="3" fontId="2" numFmtId="0" xfId="0" applyAlignment="1" applyBorder="1" applyFont="1">
      <alignment horizontal="left" shrinkToFit="0" vertical="top" wrapText="1"/>
    </xf>
    <xf borderId="1" fillId="3" fontId="2" numFmtId="164" xfId="0" applyAlignment="1" applyBorder="1" applyFont="1" applyNumberFormat="1">
      <alignment horizontal="left" shrinkToFit="0" vertical="top" wrapText="0"/>
    </xf>
    <xf borderId="1" fillId="2" fontId="1" numFmtId="0" xfId="0" applyAlignment="1" applyBorder="1" applyFont="1">
      <alignment horizontal="left" readingOrder="0" shrinkToFit="0" vertical="top" wrapText="1"/>
    </xf>
    <xf borderId="1" fillId="3" fontId="2" numFmtId="164" xfId="0" applyAlignment="1" applyBorder="1" applyFont="1" applyNumberFormat="1">
      <alignment horizontal="left" shrinkToFit="0" vertical="top" wrapText="1"/>
    </xf>
    <xf borderId="1" fillId="2" fontId="1" numFmtId="164" xfId="0" applyAlignment="1" applyBorder="1" applyFont="1" applyNumberFormat="1">
      <alignment horizontal="center" shrinkToFit="0" vertical="top" wrapText="1"/>
    </xf>
    <xf borderId="1" fillId="3" fontId="2" numFmtId="164" xfId="0" applyAlignment="1" applyBorder="1" applyFont="1" applyNumberFormat="1">
      <alignment horizontal="center" readingOrder="0" shrinkToFit="0" vertical="top" wrapText="1"/>
    </xf>
    <xf borderId="1" fillId="3" fontId="2" numFmtId="0" xfId="0" applyAlignment="1" applyBorder="1" applyFont="1">
      <alignment horizontal="center" readingOrder="0" shrinkToFit="0" vertical="top" wrapText="1"/>
    </xf>
    <xf borderId="1" fillId="2" fontId="1" numFmtId="0" xfId="0" applyAlignment="1" applyBorder="1" applyFont="1">
      <alignment horizontal="left" readingOrder="0" shrinkToFit="0" vertical="top" wrapText="0"/>
    </xf>
    <xf borderId="1" fillId="3" fontId="2" numFmtId="0" xfId="0" applyAlignment="1" applyBorder="1" applyFont="1">
      <alignment horizontal="left" readingOrder="0" shrinkToFit="0" vertical="top" wrapText="1"/>
    </xf>
    <xf borderId="0" fillId="3" fontId="2" numFmtId="0" xfId="0" applyAlignment="1" applyFont="1">
      <alignment horizontal="center" readingOrder="0" shrinkToFit="0" vertical="top" wrapText="1"/>
    </xf>
    <xf borderId="0" fillId="3" fontId="2" numFmtId="0" xfId="0" applyAlignment="1" applyFont="1">
      <alignment horizontal="left" shrinkToFit="0" vertical="top" wrapText="1"/>
    </xf>
    <xf borderId="1" fillId="2" fontId="1" numFmtId="0" xfId="0" applyAlignment="1" applyBorder="1" applyFont="1">
      <alignment horizontal="right" readingOrder="0" shrinkToFit="0" vertical="top" wrapText="1"/>
    </xf>
    <xf borderId="1" fillId="0" fontId="3" numFmtId="1" xfId="0" applyAlignment="1" applyBorder="1" applyFont="1" applyNumberFormat="1">
      <alignment horizontal="left" shrinkToFit="0" vertical="top" wrapText="0"/>
    </xf>
    <xf borderId="1" fillId="2" fontId="4" numFmtId="0" xfId="0" applyAlignment="1" applyBorder="1" applyFont="1">
      <alignment horizontal="center" readingOrder="0" shrinkToFit="0" vertical="top" wrapText="1"/>
    </xf>
    <xf borderId="1" fillId="0" fontId="3" numFmtId="165" xfId="0" applyAlignment="1" applyBorder="1" applyFont="1" applyNumberFormat="1">
      <alignment horizontal="left" shrinkToFit="0" vertical="top" wrapText="0"/>
    </xf>
    <xf borderId="0" fillId="2" fontId="1" numFmtId="0" xfId="0" applyAlignment="1" applyFont="1">
      <alignment horizontal="lef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shrinkToFit="0" vertical="top" wrapText="0"/>
    </xf>
    <xf borderId="1" fillId="0" fontId="3" numFmtId="0" xfId="0" applyAlignment="1" applyBorder="1" applyFont="1">
      <alignment horizontal="left" readingOrder="0" shrinkToFit="0" vertical="top" wrapText="0"/>
    </xf>
    <xf borderId="1" fillId="0" fontId="3" numFmtId="164" xfId="0" applyAlignment="1" applyBorder="1" applyFont="1" applyNumberFormat="1">
      <alignment horizontal="left" shrinkToFit="0" vertical="top" wrapText="0"/>
    </xf>
    <xf borderId="1" fillId="0" fontId="3" numFmtId="164" xfId="0" applyAlignment="1" applyBorder="1" applyFont="1" applyNumberFormat="1">
      <alignment horizontal="left" shrinkToFit="0" vertical="top" wrapText="1"/>
    </xf>
    <xf borderId="1" fillId="0" fontId="1" numFmtId="0" xfId="0" applyAlignment="1" applyBorder="1" applyFont="1">
      <alignment horizontal="center" readingOrder="0" shrinkToFit="0" vertical="top" wrapText="0"/>
    </xf>
    <xf borderId="1" fillId="0" fontId="3" numFmtId="164" xfId="0" applyAlignment="1" applyBorder="1" applyFont="1" applyNumberFormat="1">
      <alignment horizontal="center" readingOrder="0" shrinkToFit="0" vertical="top" wrapText="0"/>
    </xf>
    <xf borderId="1" fillId="0" fontId="5" numFmtId="0" xfId="0" applyAlignment="1" applyBorder="1" applyFont="1">
      <alignment horizontal="left" shrinkToFit="0" vertical="top" wrapText="0"/>
    </xf>
    <xf borderId="1" fillId="0" fontId="6" numFmtId="0" xfId="0" applyAlignment="1" applyBorder="1" applyFont="1">
      <alignment readingOrder="0" shrinkToFit="0" vertical="top" wrapText="1"/>
    </xf>
    <xf borderId="1" fillId="0" fontId="7" numFmtId="0" xfId="0" applyAlignment="1" applyBorder="1" applyFont="1">
      <alignment horizontal="left" readingOrder="0" shrinkToFit="0" vertical="top" wrapText="0"/>
    </xf>
    <xf borderId="1" fillId="0" fontId="6" numFmtId="0" xfId="0" applyAlignment="1" applyBorder="1" applyFont="1">
      <alignment readingOrder="0" shrinkToFit="0" vertical="top" wrapText="0"/>
    </xf>
    <xf borderId="1" fillId="0" fontId="3" numFmtId="0" xfId="0" applyAlignment="1" applyBorder="1" applyFont="1">
      <alignment horizontal="center" readingOrder="0" shrinkToFit="0" vertical="top" wrapText="0"/>
    </xf>
    <xf borderId="1" fillId="0" fontId="6" numFmtId="0" xfId="0" applyAlignment="1" applyBorder="1" applyFont="1">
      <alignment horizontal="center" readingOrder="0" shrinkToFit="0" vertical="top" wrapText="0"/>
    </xf>
    <xf borderId="1" fillId="0" fontId="3" numFmtId="0" xfId="0" applyAlignment="1" applyBorder="1" applyFont="1">
      <alignment horizontal="left" readingOrder="0" shrinkToFit="0" vertical="top" wrapText="0"/>
    </xf>
    <xf borderId="1" fillId="0" fontId="6" numFmtId="164" xfId="0" applyAlignment="1" applyBorder="1" applyFont="1" applyNumberFormat="1">
      <alignment horizontal="center" shrinkToFit="0" vertical="top" wrapText="0"/>
    </xf>
    <xf borderId="1" fillId="0" fontId="6" numFmtId="0" xfId="0" applyAlignment="1" applyBorder="1" applyFont="1">
      <alignment horizontal="left" readingOrder="0" shrinkToFit="0" vertical="top" wrapText="0"/>
    </xf>
    <xf borderId="1" fillId="0" fontId="6" numFmtId="0" xfId="0" applyAlignment="1" applyBorder="1" applyFont="1">
      <alignment shrinkToFit="0" vertical="top" wrapText="0"/>
    </xf>
    <xf borderId="1" fillId="0" fontId="6" numFmtId="0" xfId="0" applyAlignment="1" applyBorder="1" applyFont="1">
      <alignment horizontal="center" shrinkToFit="0" vertical="top" wrapText="0"/>
    </xf>
    <xf borderId="0" fillId="4" fontId="3" numFmtId="0" xfId="0" applyAlignment="1" applyFill="1" applyFont="1">
      <alignment shrinkToFit="0" vertical="bottom" wrapText="1"/>
    </xf>
    <xf borderId="1" fillId="0" fontId="6" numFmtId="0" xfId="0" applyAlignment="1" applyBorder="1" applyFont="1">
      <alignment horizontal="center" shrinkToFit="0" vertical="top" wrapText="0"/>
    </xf>
    <xf borderId="1" fillId="0" fontId="6" numFmtId="0" xfId="0" applyAlignment="1" applyBorder="1" applyFont="1">
      <alignment horizontal="left" shrinkToFit="0" vertical="top" wrapText="0"/>
    </xf>
    <xf borderId="0" fillId="4" fontId="3" numFmtId="0" xfId="0" applyAlignment="1" applyFont="1">
      <alignment shrinkToFit="0" vertical="bottom" wrapText="0"/>
    </xf>
    <xf borderId="1" fillId="0" fontId="3" numFmtId="0" xfId="0" applyAlignment="1" applyBorder="1" applyFont="1">
      <alignment horizontal="left" shrinkToFit="0" vertical="top" wrapText="1"/>
    </xf>
    <xf borderId="1" fillId="0" fontId="8" numFmtId="0" xfId="0" applyAlignment="1" applyBorder="1" applyFont="1">
      <alignment readingOrder="0" shrinkToFit="0" vertical="top" wrapText="0"/>
    </xf>
    <xf borderId="1" fillId="0" fontId="3" numFmtId="14" xfId="0" applyAlignment="1" applyBorder="1" applyFont="1" applyNumberFormat="1">
      <alignment horizontal="left" shrinkToFit="0" vertical="top" wrapText="0"/>
    </xf>
    <xf borderId="1" fillId="0" fontId="6" numFmtId="0" xfId="0" applyAlignment="1" applyBorder="1" applyFont="1">
      <alignment vertical="top"/>
    </xf>
    <xf borderId="1" fillId="0" fontId="6" numFmtId="164" xfId="0" applyAlignment="1" applyBorder="1" applyFont="1" applyNumberFormat="1">
      <alignment horizontal="center" readingOrder="0" shrinkToFit="0" vertical="top" wrapText="0"/>
    </xf>
    <xf borderId="1" fillId="0" fontId="6" numFmtId="14" xfId="0" applyAlignment="1" applyBorder="1" applyFont="1" applyNumberFormat="1">
      <alignment shrinkToFit="0" vertical="top" wrapText="0"/>
    </xf>
    <xf borderId="1" fillId="0" fontId="6" numFmtId="0" xfId="0" applyAlignment="1" applyBorder="1" applyFont="1">
      <alignment readingOrder="0" shrinkToFit="0" vertical="top" wrapText="0"/>
    </xf>
    <xf borderId="1" fillId="0" fontId="6" numFmtId="0" xfId="0" applyAlignment="1" applyBorder="1" applyFont="1">
      <alignment horizontal="right" shrinkToFit="0" vertical="top" wrapText="1"/>
    </xf>
    <xf borderId="1" fillId="0" fontId="3" numFmtId="166" xfId="0" applyAlignment="1" applyBorder="1" applyFont="1" applyNumberFormat="1">
      <alignment horizontal="center" readingOrder="0" shrinkToFit="0" vertical="top" wrapText="0"/>
    </xf>
    <xf borderId="1" fillId="0" fontId="6" numFmtId="0" xfId="0" applyAlignment="1" applyBorder="1" applyFont="1">
      <alignment shrinkToFit="0" vertical="top" wrapText="1"/>
    </xf>
    <xf borderId="1" fillId="0" fontId="6" numFmtId="0" xfId="0" applyAlignment="1" applyBorder="1" applyFont="1">
      <alignment horizontal="center" readingOrder="0" vertical="top"/>
    </xf>
    <xf borderId="1" fillId="0" fontId="9" numFmtId="0" xfId="0" applyAlignment="1" applyBorder="1" applyFont="1">
      <alignment horizontal="left" readingOrder="0" shrinkToFit="0" vertical="top" wrapText="0"/>
    </xf>
    <xf borderId="1" fillId="0" fontId="10" numFmtId="0" xfId="0" applyAlignment="1" applyBorder="1" applyFont="1">
      <alignment horizontal="left" readingOrder="0" shrinkToFit="0" vertical="top" wrapText="0"/>
    </xf>
    <xf borderId="1" fillId="0" fontId="6" numFmtId="0" xfId="0" applyAlignment="1" applyBorder="1" applyFont="1">
      <alignment readingOrder="0" vertical="top"/>
    </xf>
    <xf borderId="1" fillId="0" fontId="6" numFmtId="166" xfId="0" applyAlignment="1" applyBorder="1" applyFont="1" applyNumberFormat="1">
      <alignment horizontal="center" readingOrder="0" shrinkToFit="0" vertical="top" wrapText="0"/>
    </xf>
    <xf borderId="1" fillId="0" fontId="11" numFmtId="0" xfId="0" applyAlignment="1" applyBorder="1" applyFont="1">
      <alignment horizontal="left" readingOrder="0" shrinkToFit="0" vertical="top" wrapText="0"/>
    </xf>
    <xf borderId="1" fillId="4" fontId="6" numFmtId="0" xfId="0" applyAlignment="1" applyBorder="1" applyFont="1">
      <alignment horizontal="left" readingOrder="0" shrinkToFit="0" vertical="top" wrapText="0"/>
    </xf>
    <xf borderId="1" fillId="0" fontId="12" numFmtId="0" xfId="0" applyAlignment="1" applyBorder="1" applyFont="1">
      <alignment horizontal="center" shrinkToFit="0" vertical="top" wrapText="0"/>
    </xf>
    <xf borderId="0" fillId="0" fontId="13" numFmtId="0" xfId="0" applyAlignment="1" applyFont="1">
      <alignment readingOrder="0" shrinkToFit="0" vertical="top" wrapText="0"/>
    </xf>
    <xf borderId="1" fillId="0" fontId="6" numFmtId="0" xfId="0" applyAlignment="1" applyBorder="1" applyFont="1">
      <alignment horizontal="left" readingOrder="0" shrinkToFit="0" vertical="top" wrapText="0"/>
    </xf>
    <xf borderId="1" fillId="0" fontId="3" numFmtId="166" xfId="0" applyAlignment="1" applyBorder="1" applyFont="1" applyNumberFormat="1">
      <alignment horizontal="left" shrinkToFit="0" vertical="top" wrapText="0"/>
    </xf>
    <xf borderId="1" fillId="0" fontId="6" numFmtId="0" xfId="0" applyAlignment="1" applyBorder="1" applyFont="1">
      <alignment horizontal="center" vertical="top"/>
    </xf>
    <xf borderId="1" fillId="0" fontId="6" numFmtId="164" xfId="0" applyAlignment="1" applyBorder="1" applyFont="1" applyNumberFormat="1">
      <alignment horizontal="right" readingOrder="0" shrinkToFit="0" vertical="top" wrapText="0"/>
    </xf>
    <xf borderId="1" fillId="0" fontId="14" numFmtId="0" xfId="0" applyAlignment="1" applyBorder="1" applyFont="1">
      <alignment readingOrder="0" vertical="top"/>
    </xf>
    <xf borderId="1" fillId="4" fontId="6" numFmtId="0" xfId="0" applyAlignment="1" applyBorder="1" applyFont="1">
      <alignment readingOrder="0" shrinkToFit="0" vertical="top" wrapText="0"/>
    </xf>
    <xf borderId="2" fillId="4" fontId="3" numFmtId="0" xfId="0" applyAlignment="1" applyBorder="1" applyFont="1">
      <alignment horizontal="left" readingOrder="0" shrinkToFit="0" vertical="top" wrapText="0"/>
    </xf>
    <xf borderId="1" fillId="0" fontId="3" numFmtId="164" xfId="0" applyAlignment="1" applyBorder="1" applyFont="1" applyNumberFormat="1">
      <alignment horizontal="left" readingOrder="0" shrinkToFit="0" vertical="top" wrapText="1"/>
    </xf>
    <xf borderId="1" fillId="0" fontId="6" numFmtId="0" xfId="0" applyAlignment="1" applyBorder="1" applyFont="1">
      <alignment readingOrder="0" shrinkToFit="0" vertical="top" wrapText="0"/>
    </xf>
    <xf borderId="1" fillId="0" fontId="3" numFmtId="0" xfId="0" applyAlignment="1" applyBorder="1" applyFont="1">
      <alignment horizontal="center" readingOrder="0" shrinkToFit="0" vertical="top" wrapText="0"/>
    </xf>
    <xf borderId="1" fillId="0" fontId="6" numFmtId="0" xfId="0" applyAlignment="1" applyBorder="1" applyFont="1">
      <alignment horizontal="right" vertical="top"/>
    </xf>
    <xf borderId="1" fillId="0" fontId="6" numFmtId="164" xfId="0" applyAlignment="1" applyBorder="1" applyFont="1" applyNumberFormat="1">
      <alignment horizontal="right" shrinkToFit="0" vertical="top" wrapText="0"/>
    </xf>
    <xf borderId="1" fillId="0" fontId="3" numFmtId="1" xfId="0" applyAlignment="1" applyBorder="1" applyFont="1" applyNumberFormat="1">
      <alignment horizontal="left" readingOrder="0" shrinkToFit="0" vertical="top" wrapText="0"/>
    </xf>
    <xf borderId="1" fillId="0" fontId="3" numFmtId="165" xfId="0" applyAlignment="1" applyBorder="1" applyFont="1" applyNumberFormat="1">
      <alignment horizontal="left" readingOrder="0" shrinkToFit="0" vertical="top" wrapText="0"/>
    </xf>
    <xf borderId="1" fillId="0" fontId="6" numFmtId="0" xfId="0" applyAlignment="1" applyBorder="1" applyFont="1">
      <alignment horizontal="center" shrinkToFit="0" vertical="top" wrapText="1"/>
    </xf>
    <xf borderId="3" fillId="0" fontId="3" numFmtId="0" xfId="0" applyAlignment="1" applyBorder="1" applyFont="1">
      <alignment horizontal="left" readingOrder="0" shrinkToFit="0" vertical="top" wrapText="0"/>
    </xf>
    <xf borderId="1" fillId="4" fontId="3" numFmtId="0" xfId="0" applyAlignment="1" applyBorder="1" applyFont="1">
      <alignment horizontal="left" readingOrder="0" shrinkToFit="0" vertical="top" wrapText="0"/>
    </xf>
    <xf borderId="4" fillId="0" fontId="3" numFmtId="164" xfId="0" applyAlignment="1" applyBorder="1" applyFont="1" applyNumberFormat="1">
      <alignment horizontal="left" readingOrder="0" shrinkToFit="0" vertical="top" wrapText="0"/>
    </xf>
    <xf borderId="1" fillId="0" fontId="3" numFmtId="164" xfId="0" applyAlignment="1" applyBorder="1" applyFont="1" applyNumberFormat="1">
      <alignment horizontal="left" readingOrder="0" shrinkToFit="0" vertical="top" wrapText="0"/>
    </xf>
    <xf borderId="1" fillId="0" fontId="5" numFmtId="0" xfId="0" applyAlignment="1" applyBorder="1" applyFont="1">
      <alignment horizontal="left" readingOrder="0" shrinkToFit="0" vertical="top" wrapText="0"/>
    </xf>
    <xf borderId="1" fillId="0" fontId="6" numFmtId="166" xfId="0" applyAlignment="1" applyBorder="1" applyFont="1" applyNumberFormat="1">
      <alignment horizontal="center" readingOrder="0" shrinkToFit="0" vertical="top" wrapText="1"/>
    </xf>
    <xf borderId="0" fillId="0" fontId="6" numFmtId="0" xfId="0" applyAlignment="1" applyFont="1">
      <alignment horizontal="left" readingOrder="0" shrinkToFit="0" vertical="top" wrapText="0"/>
    </xf>
    <xf borderId="1" fillId="0" fontId="15" numFmtId="0" xfId="0" applyAlignment="1" applyBorder="1" applyFont="1">
      <alignment vertical="top"/>
    </xf>
    <xf borderId="1" fillId="0" fontId="3" numFmtId="165" xfId="0" applyAlignment="1" applyBorder="1" applyFont="1" applyNumberFormat="1">
      <alignment horizontal="left" readingOrder="0" shrinkToFit="0" vertical="top" wrapText="1"/>
    </xf>
    <xf borderId="4" fillId="0" fontId="6" numFmtId="0" xfId="0" applyAlignment="1" applyBorder="1" applyFont="1">
      <alignment vertical="top"/>
    </xf>
    <xf borderId="5" fillId="0" fontId="3" numFmtId="0" xfId="0" applyAlignment="1" applyBorder="1" applyFont="1">
      <alignment horizontal="left" readingOrder="0" shrinkToFit="0" vertical="top" wrapText="0"/>
    </xf>
    <xf borderId="1" fillId="0" fontId="3" numFmtId="167" xfId="0" applyAlignment="1" applyBorder="1" applyFont="1" applyNumberFormat="1">
      <alignment horizontal="left" shrinkToFit="0" vertical="top" wrapText="0"/>
    </xf>
    <xf borderId="4" fillId="0" fontId="6" numFmtId="0" xfId="0" applyAlignment="1" applyBorder="1" applyFont="1">
      <alignment horizontal="center" vertical="top"/>
    </xf>
    <xf borderId="4" fillId="0" fontId="15" numFmtId="0" xfId="0" applyAlignment="1" applyBorder="1" applyFont="1">
      <alignment vertical="top"/>
    </xf>
    <xf borderId="4" fillId="0" fontId="6" numFmtId="0" xfId="0" applyAlignment="1" applyBorder="1" applyFont="1">
      <alignment shrinkToFit="0" vertical="top" wrapText="0"/>
    </xf>
    <xf borderId="4" fillId="0" fontId="16" numFmtId="0" xfId="0" applyAlignment="1" applyBorder="1" applyFont="1">
      <alignment vertical="top"/>
    </xf>
    <xf borderId="4" fillId="4" fontId="6" numFmtId="0" xfId="0" applyAlignment="1" applyBorder="1" applyFont="1">
      <alignment shrinkToFit="0" vertical="top" wrapText="0"/>
    </xf>
    <xf borderId="1" fillId="0" fontId="3" numFmtId="4" xfId="0" applyAlignment="1" applyBorder="1" applyFont="1" applyNumberFormat="1">
      <alignment horizontal="left" readingOrder="0" shrinkToFit="0" vertical="top" wrapText="0"/>
    </xf>
    <xf borderId="1" fillId="0" fontId="3" numFmtId="167" xfId="0" applyAlignment="1" applyBorder="1" applyFont="1" applyNumberFormat="1">
      <alignment horizontal="left" readingOrder="0" shrinkToFit="0" vertical="top" wrapText="0"/>
    </xf>
    <xf borderId="4" fillId="0" fontId="17" numFmtId="0" xfId="0" applyAlignment="1" applyBorder="1" applyFont="1">
      <alignment shrinkToFit="0" vertical="top" wrapText="0"/>
    </xf>
    <xf borderId="4" fillId="0" fontId="6" numFmtId="166" xfId="0" applyAlignment="1" applyBorder="1" applyFont="1" applyNumberFormat="1">
      <alignment horizontal="center" shrinkToFit="0" vertical="top" wrapText="1"/>
    </xf>
    <xf borderId="1" fillId="4" fontId="18" numFmtId="0" xfId="0" applyAlignment="1" applyBorder="1" applyFont="1">
      <alignment horizontal="left" readingOrder="0" vertical="top"/>
    </xf>
    <xf borderId="0" fillId="0" fontId="19" numFmtId="0" xfId="0" applyAlignment="1" applyFont="1">
      <alignment shrinkToFit="0" vertical="top" wrapText="0"/>
    </xf>
    <xf borderId="0" fillId="0" fontId="3" numFmtId="0" xfId="0" applyAlignment="1" applyFont="1">
      <alignment readingOrder="0" shrinkToFit="0" vertical="top" wrapText="0"/>
    </xf>
    <xf borderId="4" fillId="0" fontId="6" numFmtId="0" xfId="0" applyAlignment="1" applyBorder="1" applyFont="1">
      <alignment readingOrder="0" vertical="top"/>
    </xf>
    <xf borderId="1" fillId="4" fontId="6" numFmtId="0" xfId="0" applyAlignment="1" applyBorder="1" applyFont="1">
      <alignment horizontal="left" shrinkToFit="0" vertical="top" wrapText="0"/>
    </xf>
    <xf borderId="0" fillId="0" fontId="20" numFmtId="0" xfId="0" applyAlignment="1" applyFont="1">
      <alignment readingOrder="0" vertical="top"/>
    </xf>
    <xf borderId="4" fillId="0" fontId="6" numFmtId="0" xfId="0" applyAlignment="1" applyBorder="1" applyFont="1">
      <alignment horizontal="center" readingOrder="0" vertical="top"/>
    </xf>
    <xf borderId="1" fillId="4" fontId="21" numFmtId="164" xfId="0" applyAlignment="1" applyBorder="1" applyFont="1" applyNumberFormat="1">
      <alignment horizontal="center" shrinkToFit="0" vertical="top" wrapText="0"/>
    </xf>
    <xf borderId="4" fillId="0" fontId="6" numFmtId="0" xfId="0" applyAlignment="1" applyBorder="1" applyFont="1">
      <alignment readingOrder="0" shrinkToFit="0" vertical="top" wrapText="0"/>
    </xf>
    <xf borderId="4" fillId="0" fontId="15" numFmtId="0" xfId="0" applyAlignment="1" applyBorder="1" applyFont="1">
      <alignment readingOrder="0" vertical="top"/>
    </xf>
    <xf borderId="1" fillId="4" fontId="22" numFmtId="0" xfId="0" applyAlignment="1" applyBorder="1" applyFont="1">
      <alignment horizontal="left" readingOrder="0" shrinkToFit="0" vertical="top" wrapText="0"/>
    </xf>
    <xf borderId="4" fillId="0" fontId="23" numFmtId="0" xfId="0" applyAlignment="1" applyBorder="1" applyFont="1">
      <alignment readingOrder="0" vertical="top"/>
    </xf>
    <xf borderId="1" fillId="4" fontId="6" numFmtId="0" xfId="0" applyAlignment="1" applyBorder="1" applyFont="1">
      <alignment readingOrder="0" vertical="top"/>
    </xf>
    <xf borderId="4" fillId="4" fontId="6" numFmtId="0" xfId="0" applyAlignment="1" applyBorder="1" applyFont="1">
      <alignment readingOrder="0" shrinkToFit="0" vertical="top" wrapText="0"/>
    </xf>
    <xf borderId="4" fillId="0" fontId="24" numFmtId="0" xfId="0" applyAlignment="1" applyBorder="1" applyFont="1">
      <alignment readingOrder="0" shrinkToFit="0" vertical="top" wrapText="0"/>
    </xf>
    <xf borderId="4" fillId="0" fontId="6" numFmtId="166" xfId="0" applyAlignment="1" applyBorder="1" applyFont="1" applyNumberFormat="1">
      <alignment horizontal="center" readingOrder="0" shrinkToFit="0" vertical="top" wrapText="1"/>
    </xf>
    <xf borderId="0" fillId="0" fontId="25" numFmtId="0" xfId="0" applyAlignment="1" applyFont="1">
      <alignment readingOrder="0" shrinkToFit="0" vertical="top" wrapText="0"/>
    </xf>
    <xf borderId="1" fillId="4" fontId="26" numFmtId="164" xfId="0" applyAlignment="1" applyBorder="1" applyFont="1" applyNumberFormat="1">
      <alignment horizontal="center" shrinkToFit="0" vertical="top" wrapText="0"/>
    </xf>
    <xf borderId="1" fillId="0" fontId="6" numFmtId="14" xfId="0" applyAlignment="1" applyBorder="1" applyFont="1" applyNumberFormat="1">
      <alignment horizontal="left" shrinkToFit="0" vertical="top" wrapText="0"/>
    </xf>
    <xf borderId="0" fillId="0" fontId="13" numFmtId="0" xfId="0" applyAlignment="1" applyFont="1">
      <alignment readingOrder="0" shrinkToFit="0" vertical="top" wrapText="0"/>
    </xf>
    <xf borderId="1" fillId="0" fontId="6" numFmtId="0" xfId="0" applyAlignment="1" applyBorder="1" applyFont="1">
      <alignment horizontal="center" readingOrder="0" vertical="top"/>
    </xf>
    <xf borderId="1" fillId="0" fontId="6" numFmtId="0" xfId="0" applyAlignment="1" applyBorder="1" applyFont="1">
      <alignment readingOrder="0" vertical="top"/>
    </xf>
    <xf borderId="1" fillId="0" fontId="6" numFmtId="0" xfId="0" applyAlignment="1" applyBorder="1" applyFont="1">
      <alignment shrinkToFit="0" vertical="top" wrapText="0"/>
    </xf>
    <xf borderId="1" fillId="0" fontId="6" numFmtId="0" xfId="0" applyAlignment="1" applyBorder="1" applyFont="1">
      <alignment readingOrder="0" shrinkToFit="0" vertical="top" wrapText="0"/>
    </xf>
    <xf borderId="1" fillId="4" fontId="6" numFmtId="0" xfId="0" applyAlignment="1" applyBorder="1" applyFont="1">
      <alignment horizontal="left" shrinkToFit="0" vertical="top" wrapText="0"/>
    </xf>
    <xf borderId="1" fillId="4" fontId="6" numFmtId="14" xfId="0" applyAlignment="1" applyBorder="1" applyFont="1" applyNumberFormat="1">
      <alignment horizontal="left" shrinkToFit="0" vertical="top" wrapText="0"/>
    </xf>
    <xf borderId="1" fillId="0" fontId="3" numFmtId="1" xfId="0" applyAlignment="1" applyBorder="1" applyFont="1" applyNumberFormat="1">
      <alignment horizontal="left" readingOrder="0" shrinkToFit="0" vertical="top" wrapText="0"/>
    </xf>
    <xf borderId="1" fillId="0" fontId="3" numFmtId="168" xfId="0" applyAlignment="1" applyBorder="1" applyFont="1" applyNumberFormat="1">
      <alignment horizontal="left" readingOrder="0" shrinkToFit="0" vertical="top" wrapText="0"/>
    </xf>
    <xf borderId="1" fillId="0" fontId="6" numFmtId="0" xfId="0" applyAlignment="1" applyBorder="1" applyFont="1">
      <alignment horizontal="center" readingOrder="0" shrinkToFit="0" vertical="top" wrapText="0"/>
    </xf>
    <xf borderId="1" fillId="0" fontId="3" numFmtId="167" xfId="0" applyAlignment="1" applyBorder="1" applyFont="1" applyNumberFormat="1">
      <alignment horizontal="left" readingOrder="0" shrinkToFit="0" vertical="top" wrapText="0"/>
    </xf>
    <xf borderId="1" fillId="0" fontId="3" numFmtId="164" xfId="0" applyAlignment="1" applyBorder="1" applyFont="1" applyNumberFormat="1">
      <alignment horizontal="left" readingOrder="0" shrinkToFit="0" vertical="top" wrapText="0"/>
    </xf>
    <xf borderId="1" fillId="0" fontId="3" numFmtId="166" xfId="0" applyAlignment="1" applyBorder="1" applyFont="1" applyNumberFormat="1">
      <alignment horizontal="center" readingOrder="0" shrinkToFit="0" vertical="top" wrapText="0"/>
    </xf>
    <xf borderId="1" fillId="0" fontId="5" numFmtId="0" xfId="0" applyAlignment="1" applyBorder="1" applyFont="1">
      <alignment horizontal="left" readingOrder="0" shrinkToFit="0" vertical="top" wrapText="0"/>
    </xf>
    <xf borderId="1" fillId="0" fontId="6" numFmtId="166" xfId="0" applyAlignment="1" applyBorder="1" applyFont="1" applyNumberFormat="1">
      <alignment horizontal="center" vertical="top"/>
    </xf>
    <xf borderId="1" fillId="0" fontId="6" numFmtId="0" xfId="0" applyAlignment="1" applyBorder="1" applyFont="1">
      <alignment horizontal="center" readingOrder="0" shrinkToFit="0" vertical="top" wrapText="1"/>
    </xf>
    <xf borderId="0" fillId="4" fontId="3" numFmtId="0" xfId="0" applyAlignment="1" applyFont="1">
      <alignment shrinkToFit="0" vertical="bottom" wrapText="0"/>
    </xf>
    <xf borderId="0" fillId="0" fontId="27" numFmtId="0" xfId="0" applyAlignment="1" applyFont="1">
      <alignment shrinkToFit="0" wrapText="0"/>
    </xf>
    <xf borderId="1" fillId="0" fontId="6" numFmtId="164" xfId="0" applyAlignment="1" applyBorder="1" applyFont="1" applyNumberFormat="1">
      <alignment horizontal="right" readingOrder="0" shrinkToFit="0" vertical="top" wrapText="1"/>
    </xf>
    <xf borderId="1" fillId="0" fontId="6" numFmtId="14" xfId="0" applyAlignment="1" applyBorder="1" applyFont="1" applyNumberFormat="1">
      <alignment horizontal="center" shrinkToFit="0" vertical="top" wrapText="1"/>
    </xf>
    <xf borderId="1" fillId="0" fontId="3" numFmtId="168" xfId="0" applyAlignment="1" applyBorder="1" applyFont="1" applyNumberFormat="1">
      <alignment horizontal="left" readingOrder="0" shrinkToFit="0" vertical="top" wrapText="0"/>
    </xf>
    <xf borderId="1" fillId="0" fontId="6" numFmtId="0" xfId="0" applyAlignment="1" applyBorder="1" applyFont="1">
      <alignment horizontal="left" readingOrder="0" vertical="top"/>
    </xf>
    <xf borderId="1" fillId="0" fontId="3" numFmtId="169" xfId="0" applyAlignment="1" applyBorder="1" applyFont="1" applyNumberFormat="1">
      <alignment horizontal="left" shrinkToFit="0" vertical="top" wrapText="0"/>
    </xf>
    <xf borderId="1" fillId="0" fontId="28" numFmtId="170" xfId="0" applyAlignment="1" applyBorder="1" applyFont="1" applyNumberFormat="1">
      <alignment horizontal="center" readingOrder="0" shrinkToFit="0" vertical="top" wrapText="0"/>
    </xf>
    <xf borderId="1" fillId="0" fontId="6" numFmtId="0" xfId="0" applyAlignment="1" applyBorder="1" applyFont="1">
      <alignment horizontal="center" vertical="top"/>
    </xf>
    <xf borderId="1" fillId="0" fontId="12" numFmtId="0" xfId="0" applyAlignment="1" applyBorder="1" applyFont="1">
      <alignment horizontal="center" readingOrder="0" shrinkToFit="0" vertical="top" wrapText="0"/>
    </xf>
    <xf borderId="1" fillId="4" fontId="29" numFmtId="0" xfId="0" applyAlignment="1" applyBorder="1" applyFont="1">
      <alignment horizontal="left" readingOrder="0" shrinkToFit="0" vertical="top" wrapText="0"/>
    </xf>
    <xf borderId="1" fillId="0" fontId="30" numFmtId="0" xfId="0" applyAlignment="1" applyBorder="1" applyFont="1">
      <alignment readingOrder="0" vertical="top"/>
    </xf>
    <xf borderId="1" fillId="0" fontId="3" numFmtId="171" xfId="0" applyAlignment="1" applyBorder="1" applyFont="1" applyNumberFormat="1">
      <alignment horizontal="left" shrinkToFit="0" vertical="top" wrapText="0"/>
    </xf>
    <xf borderId="1" fillId="0" fontId="6" numFmtId="0" xfId="0" applyAlignment="1" applyBorder="1" applyFont="1">
      <alignment horizontal="left" readingOrder="0" shrinkToFit="0" vertical="top" wrapText="1"/>
    </xf>
    <xf borderId="1" fillId="0" fontId="1" numFmtId="0" xfId="0" applyAlignment="1" applyBorder="1" applyFont="1">
      <alignment horizontal="center" shrinkToFit="0" vertical="top" wrapText="0"/>
    </xf>
    <xf borderId="1" fillId="4" fontId="6" numFmtId="0" xfId="0" applyAlignment="1" applyBorder="1" applyFont="1">
      <alignment horizontal="left" readingOrder="0" vertical="top"/>
    </xf>
    <xf borderId="1" fillId="0" fontId="6" numFmtId="164" xfId="0" applyAlignment="1" applyBorder="1" applyFont="1" applyNumberFormat="1">
      <alignment vertical="top"/>
    </xf>
    <xf borderId="1" fillId="0" fontId="31" numFmtId="0" xfId="0" applyAlignment="1" applyBorder="1" applyFont="1">
      <alignment horizontal="left" shrinkToFit="0" vertical="top" wrapText="0"/>
    </xf>
    <xf borderId="1" fillId="4" fontId="32" numFmtId="0" xfId="0" applyAlignment="1" applyBorder="1" applyFont="1">
      <alignment horizontal="left" readingOrder="0" vertical="top"/>
    </xf>
    <xf borderId="1" fillId="0" fontId="6" numFmtId="164" xfId="0" applyAlignment="1" applyBorder="1" applyFont="1" applyNumberFormat="1">
      <alignment horizontal="right" vertical="top"/>
    </xf>
    <xf borderId="1" fillId="4" fontId="6" numFmtId="164" xfId="0" applyAlignment="1" applyBorder="1" applyFont="1" applyNumberFormat="1">
      <alignment horizontal="center" readingOrder="0" shrinkToFit="0" vertical="top" wrapText="0"/>
    </xf>
    <xf borderId="1" fillId="0" fontId="6" numFmtId="166" xfId="0" applyAlignment="1" applyBorder="1" applyFont="1" applyNumberFormat="1">
      <alignment horizontal="center" readingOrder="0" vertical="top"/>
    </xf>
    <xf borderId="1" fillId="0" fontId="3" numFmtId="166" xfId="0" applyAlignment="1" applyBorder="1" applyFont="1" applyNumberFormat="1">
      <alignment horizontal="left" readingOrder="0" shrinkToFit="0" vertical="top" wrapText="0"/>
    </xf>
    <xf borderId="4" fillId="0" fontId="6" numFmtId="0" xfId="0" applyAlignment="1" applyBorder="1" applyFont="1">
      <alignment horizontal="center" readingOrder="0" shrinkToFit="0" vertical="top" wrapText="0"/>
    </xf>
    <xf borderId="0" fillId="0" fontId="33" numFmtId="1" xfId="0" applyAlignment="1" applyFont="1" applyNumberFormat="1">
      <alignment vertical="top"/>
    </xf>
    <xf borderId="0" fillId="0" fontId="33" numFmtId="0" xfId="0" applyAlignment="1" applyFont="1">
      <alignment vertical="top"/>
    </xf>
    <xf borderId="0" fillId="0" fontId="33" numFmtId="164" xfId="0" applyAlignment="1" applyFont="1" applyNumberFormat="1">
      <alignment vertical="top"/>
    </xf>
    <xf borderId="0" fillId="0" fontId="33" numFmtId="164" xfId="0" applyAlignment="1" applyFont="1" applyNumberFormat="1">
      <alignment horizontal="center" vertical="top"/>
    </xf>
    <xf borderId="0" fillId="0" fontId="33" numFmtId="0" xfId="0" applyAlignment="1" applyFont="1">
      <alignment horizontal="center" vertical="top"/>
    </xf>
    <xf borderId="0" fillId="0" fontId="33" numFmtId="0" xfId="0" applyAlignment="1" applyFont="1">
      <alignment horizontal="left" vertical="top"/>
    </xf>
    <xf borderId="1" fillId="0" fontId="34" numFmtId="0" xfId="0" applyAlignment="1" applyBorder="1" applyFont="1">
      <alignment horizontal="left" readingOrder="0" shrinkToFit="0" vertical="top" wrapText="0"/>
    </xf>
    <xf borderId="0" fillId="0" fontId="33" numFmtId="0" xfId="0" applyAlignment="1" applyFont="1">
      <alignment shrinkToFit="0" vertical="top" wrapText="0"/>
    </xf>
    <xf borderId="0" fillId="0" fontId="33" numFmtId="0" xfId="0" applyAlignment="1" applyFont="1">
      <alignment readingOrder="0" vertical="top"/>
    </xf>
    <xf borderId="0" fillId="0" fontId="3" numFmtId="0" xfId="0" applyAlignment="1" applyFont="1">
      <alignment horizontal="left" shrinkToFit="0" vertical="top" wrapText="1"/>
    </xf>
    <xf borderId="1" fillId="0" fontId="6" numFmtId="0" xfId="0" applyAlignment="1" applyBorder="1" applyFont="1">
      <alignment shrinkToFit="0" vertical="top" wrapText="0"/>
    </xf>
    <xf borderId="0" fillId="0" fontId="30" numFmtId="0" xfId="0" applyAlignment="1" applyFont="1">
      <alignment readingOrder="0" vertical="top"/>
    </xf>
    <xf borderId="0" fillId="0" fontId="30" numFmtId="0" xfId="0" applyAlignment="1" applyFont="1">
      <alignment horizontal="center" vertical="top"/>
    </xf>
    <xf borderId="1" fillId="0" fontId="6" numFmtId="0" xfId="0" applyAlignment="1" applyBorder="1" applyFont="1">
      <alignment horizontal="left" shrinkToFit="0" vertical="top" wrapText="1"/>
    </xf>
    <xf borderId="1" fillId="4" fontId="6" numFmtId="0" xfId="0" applyAlignment="1" applyBorder="1" applyFont="1">
      <alignment readingOrder="0" vertical="top"/>
    </xf>
    <xf borderId="0" fillId="0" fontId="27" numFmtId="164" xfId="0" applyFont="1" applyNumberFormat="1"/>
    <xf borderId="0" fillId="0" fontId="27" numFmtId="164" xfId="0" applyAlignment="1" applyFont="1" applyNumberFormat="1">
      <alignment horizontal="center"/>
    </xf>
    <xf borderId="0" fillId="0" fontId="27" numFmtId="0" xfId="0" applyAlignment="1" applyFont="1">
      <alignment horizontal="center"/>
    </xf>
    <xf borderId="0" fillId="0" fontId="6" numFmtId="0" xfId="0" applyAlignment="1" applyFont="1">
      <alignment horizontal="left" shrinkToFit="0" vertical="top" wrapText="1"/>
    </xf>
    <xf borderId="1" fillId="4" fontId="6" numFmtId="0" xfId="0" applyAlignment="1" applyBorder="1" applyFont="1">
      <alignment horizontal="center" shrinkToFit="0" vertical="top" wrapText="0"/>
    </xf>
    <xf borderId="0" fillId="0" fontId="27" numFmtId="0" xfId="0" applyAlignment="1" applyFont="1">
      <alignment vertical="top"/>
    </xf>
    <xf borderId="0" fillId="0" fontId="27" numFmtId="0" xfId="0" applyAlignment="1" applyFont="1">
      <alignment horizontal="left"/>
    </xf>
    <xf borderId="1" fillId="0" fontId="6" numFmtId="0" xfId="0" applyAlignment="1" applyBorder="1" applyFont="1">
      <alignment horizontal="center" readingOrder="0" shrinkToFit="0" vertical="top" wrapText="1"/>
    </xf>
    <xf borderId="1" fillId="0" fontId="6" numFmtId="0" xfId="0" applyAlignment="1" applyBorder="1" applyFont="1">
      <alignment horizontal="left" readingOrder="0" shrinkToFit="0" vertical="top" wrapText="0"/>
    </xf>
    <xf borderId="1" fillId="0" fontId="6" numFmtId="166" xfId="0" applyAlignment="1" applyBorder="1" applyFont="1" applyNumberFormat="1">
      <alignment horizontal="center" shrinkToFit="0" vertical="top" wrapText="1"/>
    </xf>
    <xf borderId="1" fillId="0" fontId="6" numFmtId="0" xfId="0" applyAlignment="1" applyBorder="1" applyFont="1">
      <alignment horizontal="left" readingOrder="0" shrinkToFit="0" vertical="top" wrapText="1"/>
    </xf>
    <xf borderId="0" fillId="0" fontId="6" numFmtId="0" xfId="0" applyAlignment="1" applyFont="1">
      <alignment horizontal="left" readingOrder="0" shrinkToFit="0" vertical="top" wrapText="1"/>
    </xf>
    <xf borderId="1" fillId="0" fontId="35" numFmtId="0" xfId="0" applyAlignment="1" applyBorder="1" applyFont="1">
      <alignment horizontal="center" shrinkToFit="0" vertical="top" wrapText="0"/>
    </xf>
    <xf borderId="1" fillId="0" fontId="15" numFmtId="0" xfId="0" applyAlignment="1" applyBorder="1" applyFont="1">
      <alignment horizontal="left" readingOrder="0" shrinkToFit="0" vertical="top" wrapText="0"/>
    </xf>
    <xf borderId="1" fillId="0" fontId="15" numFmtId="0" xfId="0" applyAlignment="1" applyBorder="1" applyFont="1">
      <alignment horizontal="center" readingOrder="0" shrinkToFit="0" vertical="top" wrapText="0"/>
    </xf>
    <xf borderId="1" fillId="0" fontId="15" numFmtId="0" xfId="0" applyAlignment="1" applyBorder="1" applyFont="1">
      <alignment readingOrder="0" shrinkToFit="0" vertical="top" wrapText="0"/>
    </xf>
    <xf borderId="1" fillId="0" fontId="15" numFmtId="164" xfId="0" applyAlignment="1" applyBorder="1" applyFont="1" applyNumberFormat="1">
      <alignment horizontal="center" shrinkToFit="0" vertical="top" wrapText="0"/>
    </xf>
    <xf borderId="1" fillId="0" fontId="15" numFmtId="0" xfId="0" applyAlignment="1" applyBorder="1" applyFont="1">
      <alignment shrinkToFit="0" vertical="top" wrapText="0"/>
    </xf>
    <xf borderId="1" fillId="0" fontId="15" numFmtId="164" xfId="0" applyAlignment="1" applyBorder="1" applyFont="1" applyNumberFormat="1">
      <alignment horizontal="center" readingOrder="0" shrinkToFit="0" vertical="top" wrapText="0"/>
    </xf>
    <xf borderId="1" fillId="0" fontId="6" numFmtId="166" xfId="0" applyAlignment="1" applyBorder="1" applyFont="1" applyNumberFormat="1">
      <alignment horizontal="right" readingOrder="0" shrinkToFit="0" vertical="top" wrapText="1"/>
    </xf>
    <xf borderId="1" fillId="4" fontId="6" numFmtId="0" xfId="0" applyAlignment="1" applyBorder="1" applyFont="1">
      <alignment horizontal="left" readingOrder="0" shrinkToFit="0" vertical="top" wrapText="1"/>
    </xf>
    <xf borderId="1" fillId="0" fontId="15" numFmtId="0" xfId="0" applyAlignment="1" applyBorder="1" applyFont="1">
      <alignment shrinkToFit="0" vertical="top" wrapText="0"/>
    </xf>
    <xf borderId="1" fillId="0" fontId="15" numFmtId="0" xfId="0" applyAlignment="1" applyBorder="1" applyFont="1">
      <alignment horizontal="right" shrinkToFit="0" vertical="top" wrapText="1"/>
    </xf>
    <xf borderId="1" fillId="0" fontId="15" numFmtId="0" xfId="0" applyAlignment="1" applyBorder="1" applyFont="1">
      <alignment shrinkToFit="0" vertical="top" wrapText="1"/>
    </xf>
    <xf borderId="1" fillId="0" fontId="15" numFmtId="0" xfId="0" applyAlignment="1" applyBorder="1" applyFont="1">
      <alignment horizontal="center" shrinkToFit="0" vertical="top" wrapText="1"/>
    </xf>
    <xf borderId="1" fillId="4" fontId="6" numFmtId="0" xfId="0" applyAlignment="1" applyBorder="1" applyFont="1">
      <alignment horizontal="left" readingOrder="0" vertical="top"/>
    </xf>
    <xf borderId="1" fillId="0" fontId="15" numFmtId="166" xfId="0" applyAlignment="1" applyBorder="1" applyFont="1" applyNumberFormat="1">
      <alignment horizontal="center" readingOrder="0" shrinkToFit="0" vertical="top" wrapText="1"/>
    </xf>
    <xf borderId="1" fillId="0" fontId="6" numFmtId="0" xfId="0" applyAlignment="1" applyBorder="1" applyFont="1">
      <alignment horizontal="center" readingOrder="0" shrinkToFit="0" vertical="top" wrapText="0"/>
    </xf>
    <xf borderId="1" fillId="0" fontId="6" numFmtId="14" xfId="0" applyAlignment="1" applyBorder="1" applyFont="1" applyNumberFormat="1">
      <alignment shrinkToFit="0" vertical="top" wrapText="0"/>
    </xf>
    <xf borderId="1" fillId="0" fontId="36" numFmtId="0" xfId="0" applyAlignment="1" applyBorder="1" applyFont="1">
      <alignment horizontal="left" readingOrder="0" vertical="top"/>
    </xf>
    <xf borderId="1" fillId="4" fontId="37" numFmtId="0" xfId="0" applyAlignment="1" applyBorder="1" applyFont="1">
      <alignment readingOrder="0" shrinkToFit="0" vertical="top" wrapText="0"/>
    </xf>
    <xf borderId="0" fillId="0" fontId="38" numFmtId="0" xfId="0" applyAlignment="1" applyFont="1">
      <alignment horizontal="center" readingOrder="0" shrinkToFit="0" wrapText="0"/>
    </xf>
    <xf borderId="0" fillId="0" fontId="39" numFmtId="0" xfId="0" applyAlignment="1" applyFont="1">
      <alignment readingOrder="0" shrinkToFit="0" wrapText="0"/>
    </xf>
    <xf borderId="0" fillId="0" fontId="27" numFmtId="0" xfId="0" applyAlignment="1" applyFont="1">
      <alignment shrinkToFit="0" wrapText="1"/>
    </xf>
    <xf borderId="0" fillId="0" fontId="40" numFmtId="0" xfId="0" applyAlignment="1" applyFont="1">
      <alignment horizontal="center" shrinkToFit="0" wrapText="1"/>
    </xf>
    <xf borderId="0" fillId="0" fontId="41" numFmtId="0" xfId="0" applyAlignment="1" applyFont="1">
      <alignment shrinkToFit="0" wrapText="1"/>
    </xf>
    <xf borderId="0" fillId="5" fontId="42" numFmtId="0" xfId="0" applyAlignment="1" applyFill="1" applyFont="1">
      <alignment horizontal="center" readingOrder="0" shrinkToFit="0" vertical="top" wrapText="1"/>
    </xf>
    <xf borderId="0" fillId="5" fontId="43" numFmtId="0" xfId="0" applyAlignment="1" applyFont="1">
      <alignment horizontal="center" readingOrder="0" shrinkToFit="0" vertical="top" wrapText="1"/>
    </xf>
    <xf borderId="0" fillId="5" fontId="44" numFmtId="0" xfId="0" applyAlignment="1" applyFont="1">
      <alignment horizontal="center" readingOrder="0" shrinkToFit="0" vertical="top" wrapText="1"/>
    </xf>
    <xf borderId="0" fillId="0" fontId="27" numFmtId="0" xfId="0" applyAlignment="1" applyFont="1">
      <alignment shrinkToFit="0" vertical="top" wrapText="1"/>
    </xf>
    <xf borderId="0" fillId="0" fontId="45" numFmtId="0" xfId="0" applyAlignment="1" applyFont="1">
      <alignment horizontal="center" readingOrder="0" shrinkToFit="0" vertical="top" wrapText="1"/>
    </xf>
    <xf borderId="0" fillId="0" fontId="46" numFmtId="0" xfId="0" applyAlignment="1" applyFont="1">
      <alignment readingOrder="0" shrinkToFit="0" vertical="top" wrapText="1"/>
    </xf>
    <xf borderId="0" fillId="0" fontId="47" numFmtId="0" xfId="0" applyAlignment="1" applyFont="1">
      <alignment readingOrder="0" shrinkToFit="0" vertical="top" wrapText="1"/>
    </xf>
    <xf borderId="1" fillId="0" fontId="1" numFmtId="14" xfId="0" applyAlignment="1" applyBorder="1" applyFont="1" applyNumberFormat="1">
      <alignment horizontal="center" shrinkToFit="0" vertical="top" wrapText="1"/>
    </xf>
    <xf borderId="0" fillId="0" fontId="47" numFmtId="0" xfId="0" applyAlignment="1" applyFont="1">
      <alignment horizontal="center" readingOrder="0" shrinkToFit="0" vertical="top" wrapText="1"/>
    </xf>
    <xf borderId="0" fillId="4" fontId="48" numFmtId="0" xfId="0" applyAlignment="1" applyFont="1">
      <alignment horizontal="left" readingOrder="0" shrinkToFit="0" vertical="top" wrapText="1"/>
    </xf>
    <xf borderId="0" fillId="4" fontId="48" numFmtId="0" xfId="0" applyAlignment="1" applyFont="1">
      <alignment readingOrder="0" shrinkToFit="0" vertical="top" wrapText="1"/>
    </xf>
    <xf borderId="0" fillId="0" fontId="46" numFmtId="0" xfId="0" applyAlignment="1" applyFont="1">
      <alignment shrinkToFit="0" vertical="top" wrapText="1"/>
    </xf>
    <xf borderId="0" fillId="0" fontId="47" numFmtId="0" xfId="0" applyAlignment="1" applyFont="1">
      <alignment shrinkToFit="0" vertical="top" wrapText="1"/>
    </xf>
    <xf borderId="0" fillId="0" fontId="46" numFmtId="0" xfId="0" applyAlignment="1" applyFont="1">
      <alignment shrinkToFit="0" vertical="top" wrapText="1"/>
    </xf>
    <xf borderId="0" fillId="0" fontId="47" numFmtId="0" xfId="0" applyAlignment="1" applyFont="1">
      <alignment horizontal="center" shrinkToFit="0" vertical="top" wrapText="1"/>
    </xf>
    <xf borderId="0" fillId="0" fontId="45" numFmtId="0" xfId="0" applyAlignment="1" applyFont="1">
      <alignment horizontal="center" shrinkToFit="0" vertical="top" wrapText="1"/>
    </xf>
    <xf borderId="1" fillId="0" fontId="6" numFmtId="164" xfId="0" applyAlignment="1" applyBorder="1" applyFont="1" applyNumberFormat="1">
      <alignment shrinkToFit="0" vertical="top" wrapText="0"/>
    </xf>
    <xf borderId="1" fillId="0" fontId="49" numFmtId="0" xfId="0" applyAlignment="1" applyBorder="1" applyFont="1">
      <alignment shrinkToFit="0" vertical="top" wrapText="0"/>
    </xf>
    <xf borderId="1" fillId="0" fontId="6" numFmtId="164" xfId="0" applyAlignment="1" applyBorder="1" applyFont="1" applyNumberFormat="1">
      <alignment shrinkToFit="0" vertical="top" wrapText="0"/>
    </xf>
    <xf borderId="0" fillId="0" fontId="46" numFmtId="0" xfId="0" applyAlignment="1" applyFont="1">
      <alignment horizontal="center" readingOrder="0" shrinkToFit="0" vertical="top" wrapText="1"/>
    </xf>
    <xf borderId="0" fillId="0" fontId="46" numFmtId="0" xfId="0" applyAlignment="1" applyFont="1">
      <alignment horizontal="center" shrinkToFit="0" vertical="top" wrapText="1"/>
    </xf>
    <xf borderId="0" fillId="0" fontId="27" numFmtId="0" xfId="0" applyAlignment="1" applyFont="1">
      <alignment horizontal="center" shrinkToFit="0" wrapText="1"/>
    </xf>
    <xf borderId="1" fillId="0" fontId="6" numFmtId="14" xfId="0" applyAlignment="1" applyBorder="1" applyFont="1" applyNumberFormat="1">
      <alignment horizontal="center" shrinkToFit="0" vertical="top" wrapText="1"/>
    </xf>
    <xf borderId="1" fillId="4" fontId="6" numFmtId="164" xfId="0" applyAlignment="1" applyBorder="1" applyFont="1" applyNumberFormat="1">
      <alignment horizontal="center" shrinkToFit="0" vertical="top" wrapText="0"/>
    </xf>
    <xf borderId="1" fillId="0" fontId="50" numFmtId="0" xfId="0" applyAlignment="1" applyBorder="1" applyFont="1">
      <alignment readingOrder="0" shrinkToFit="0" vertical="top" wrapText="0"/>
    </xf>
    <xf borderId="0" fillId="0" fontId="48" numFmtId="0" xfId="0" applyAlignment="1" applyFont="1">
      <alignment shrinkToFit="0" wrapText="0"/>
    </xf>
    <xf borderId="0" fillId="3" fontId="51" numFmtId="0" xfId="0" applyAlignment="1" applyFont="1">
      <alignment shrinkToFit="0" wrapText="0"/>
    </xf>
    <xf borderId="6" fillId="3" fontId="51" numFmtId="0" xfId="0" applyAlignment="1" applyBorder="1" applyFont="1">
      <alignment shrinkToFit="0" wrapText="0"/>
    </xf>
    <xf borderId="0" fillId="3" fontId="51" numFmtId="0" xfId="0" applyAlignment="1" applyFont="1">
      <alignment readingOrder="0" shrinkToFit="0" wrapText="0"/>
    </xf>
    <xf borderId="1" fillId="0" fontId="1" numFmtId="0" xfId="0" applyAlignment="1" applyBorder="1" applyFont="1">
      <alignment horizontal="center" readingOrder="0" shrinkToFit="0" vertical="top" wrapText="0"/>
    </xf>
    <xf borderId="0" fillId="6" fontId="48" numFmtId="0" xfId="0" applyAlignment="1" applyFill="1" applyFont="1">
      <alignment shrinkToFit="0" wrapText="0"/>
    </xf>
    <xf borderId="0" fillId="4" fontId="48" numFmtId="0" xfId="0" applyAlignment="1" applyFont="1">
      <alignment shrinkToFit="0" wrapText="0"/>
    </xf>
    <xf borderId="0" fillId="7" fontId="52" numFmtId="0" xfId="0" applyAlignment="1" applyFill="1" applyFont="1">
      <alignment shrinkToFit="0" wrapText="0"/>
    </xf>
    <xf borderId="0" fillId="7" fontId="48" numFmtId="0" xfId="0" applyAlignment="1" applyFont="1">
      <alignment shrinkToFit="0" wrapText="0"/>
    </xf>
    <xf borderId="7" fillId="8" fontId="48" numFmtId="0" xfId="0" applyAlignment="1" applyBorder="1" applyFill="1" applyFont="1">
      <alignment shrinkToFit="0" wrapText="0"/>
    </xf>
    <xf borderId="0" fillId="5" fontId="53" numFmtId="0" xfId="0" applyAlignment="1" applyFont="1">
      <alignment shrinkToFit="0" wrapText="0"/>
    </xf>
    <xf borderId="0" fillId="0" fontId="48" numFmtId="0" xfId="0" applyAlignment="1" applyFont="1">
      <alignment readingOrder="0" shrinkToFit="0" wrapText="0"/>
    </xf>
    <xf borderId="0" fillId="6" fontId="52" numFmtId="0" xfId="0" applyAlignment="1" applyFont="1">
      <alignment shrinkToFit="0" wrapText="0"/>
    </xf>
    <xf borderId="7" fillId="6" fontId="48" numFmtId="0" xfId="0" applyAlignment="1" applyBorder="1" applyFont="1">
      <alignment shrinkToFit="0" wrapText="0"/>
    </xf>
    <xf borderId="0" fillId="4" fontId="54" numFmtId="0" xfId="0" applyFont="1"/>
    <xf borderId="0" fillId="0" fontId="52" numFmtId="0" xfId="0" applyAlignment="1" applyFont="1">
      <alignment shrinkToFit="0" wrapText="0"/>
    </xf>
    <xf borderId="1" fillId="0" fontId="6" numFmtId="0" xfId="0" applyAlignment="1" applyBorder="1" applyFont="1">
      <alignment horizontal="left" shrinkToFit="0" vertical="top" wrapText="0"/>
    </xf>
    <xf borderId="0" fillId="0" fontId="27" numFmtId="0" xfId="0" applyAlignment="1" applyFont="1">
      <alignment readingOrder="0"/>
    </xf>
    <xf borderId="0" fillId="0" fontId="55" numFmtId="0" xfId="0" applyAlignment="1" applyFont="1">
      <alignment readingOrder="0" shrinkToFit="0" vertical="bottom" wrapText="0"/>
    </xf>
    <xf borderId="0" fillId="5" fontId="48" numFmtId="0" xfId="0" applyAlignment="1" applyFont="1">
      <alignment shrinkToFit="0" wrapText="0"/>
    </xf>
    <xf borderId="1" fillId="0" fontId="56" numFmtId="0" xfId="0" applyAlignment="1" applyBorder="1" applyFont="1">
      <alignment readingOrder="0" vertical="top"/>
    </xf>
    <xf borderId="1" fillId="9" fontId="6" numFmtId="0" xfId="0" applyAlignment="1" applyBorder="1" applyFill="1" applyFont="1">
      <alignment readingOrder="0" shrinkToFit="0" vertical="top" wrapText="0"/>
    </xf>
    <xf borderId="0" fillId="0" fontId="57" numFmtId="0" xfId="0" applyAlignment="1" applyFont="1">
      <alignment shrinkToFit="0" wrapText="0"/>
    </xf>
    <xf borderId="1" fillId="4" fontId="6" numFmtId="164" xfId="0" applyAlignment="1" applyBorder="1" applyFont="1" applyNumberFormat="1">
      <alignment horizontal="right" readingOrder="0" shrinkToFit="0" vertical="top" wrapText="0"/>
    </xf>
    <xf borderId="0" fillId="6" fontId="48" numFmtId="0" xfId="0" applyAlignment="1" applyFont="1">
      <alignment readingOrder="0" shrinkToFit="0" wrapText="0"/>
    </xf>
    <xf borderId="1" fillId="0" fontId="6" numFmtId="14" xfId="0" applyAlignment="1" applyBorder="1" applyFont="1" applyNumberFormat="1">
      <alignment horizontal="left" shrinkToFit="0" vertical="top" wrapText="0"/>
    </xf>
    <xf borderId="1" fillId="4" fontId="6" numFmtId="0" xfId="0" applyAlignment="1" applyBorder="1" applyFont="1">
      <alignment readingOrder="0" shrinkToFit="0" vertical="top" wrapText="1"/>
    </xf>
    <xf borderId="1" fillId="0" fontId="6" numFmtId="166" xfId="0" applyAlignment="1" applyBorder="1" applyFont="1" applyNumberFormat="1">
      <alignment horizontal="right" readingOrder="0" vertical="top"/>
    </xf>
    <xf borderId="1" fillId="0" fontId="6" numFmtId="0" xfId="0" applyAlignment="1" applyBorder="1" applyFont="1">
      <alignment vertical="top"/>
    </xf>
    <xf borderId="1" fillId="0" fontId="6" numFmtId="0" xfId="0" applyAlignment="1" applyBorder="1" applyFont="1">
      <alignment readingOrder="0" vertical="top"/>
    </xf>
    <xf borderId="1" fillId="4" fontId="58" numFmtId="0" xfId="0" applyAlignment="1" applyBorder="1" applyFont="1">
      <alignment readingOrder="0" vertical="top"/>
    </xf>
    <xf borderId="1" fillId="0" fontId="6" numFmtId="172" xfId="0" applyAlignment="1" applyBorder="1" applyFont="1" applyNumberFormat="1">
      <alignment horizontal="center" readingOrder="0" shrinkToFit="0" vertical="top" wrapText="0"/>
    </xf>
    <xf borderId="1" fillId="0" fontId="6" numFmtId="0" xfId="0" applyAlignment="1" applyBorder="1" applyFont="1">
      <alignment horizontal="center" shrinkToFit="0" vertical="top" wrapText="0"/>
    </xf>
    <xf borderId="1" fillId="0" fontId="6" numFmtId="0" xfId="0" applyAlignment="1" applyBorder="1" applyFont="1">
      <alignment horizontal="left" readingOrder="0" shrinkToFit="0" vertical="top" wrapText="0"/>
    </xf>
    <xf borderId="1" fillId="0" fontId="6" numFmtId="166" xfId="0" applyAlignment="1" applyBorder="1" applyFont="1" applyNumberFormat="1">
      <alignment horizontal="center" readingOrder="0" shrinkToFit="0" vertical="top" wrapText="0"/>
    </xf>
    <xf borderId="1" fillId="10" fontId="6" numFmtId="0" xfId="0" applyAlignment="1" applyBorder="1" applyFill="1" applyFont="1">
      <alignment horizontal="left" readingOrder="0" vertical="top"/>
    </xf>
    <xf borderId="1" fillId="4" fontId="6" numFmtId="0" xfId="0" applyAlignment="1" applyBorder="1" applyFont="1">
      <alignment horizontal="center" readingOrder="0" vertical="top"/>
    </xf>
    <xf borderId="1" fillId="0" fontId="6" numFmtId="164" xfId="0" applyAlignment="1" applyBorder="1" applyFont="1" applyNumberFormat="1">
      <alignment horizontal="left" shrinkToFit="0" vertical="top" wrapText="0"/>
    </xf>
    <xf borderId="1" fillId="0" fontId="6" numFmtId="0" xfId="0" applyAlignment="1" applyBorder="1" applyFont="1">
      <alignment horizontal="center" readingOrder="0" shrinkToFit="0" vertical="top" wrapText="0"/>
    </xf>
    <xf borderId="1" fillId="0" fontId="6" numFmtId="166" xfId="0" applyAlignment="1" applyBorder="1" applyFont="1" applyNumberFormat="1">
      <alignment horizontal="right" readingOrder="0" shrinkToFit="0" vertical="top" wrapText="0"/>
    </xf>
    <xf borderId="0" fillId="0" fontId="35" numFmtId="0" xfId="0" applyAlignment="1" applyFont="1">
      <alignment horizontal="center" readingOrder="0" shrinkToFit="0" vertical="top" wrapText="0"/>
    </xf>
    <xf borderId="1" fillId="0" fontId="15" numFmtId="0" xfId="0" applyAlignment="1" applyBorder="1" applyFont="1">
      <alignment horizontal="left" readingOrder="0" shrinkToFit="0" vertical="top" wrapText="0"/>
    </xf>
    <xf borderId="1" fillId="0" fontId="15" numFmtId="0" xfId="0" applyAlignment="1" applyBorder="1" applyFont="1">
      <alignment horizontal="center" readingOrder="0" shrinkToFit="0" vertical="top" wrapText="0"/>
    </xf>
    <xf borderId="1" fillId="0" fontId="15" numFmtId="0" xfId="0" applyAlignment="1" applyBorder="1" applyFont="1">
      <alignment readingOrder="0" shrinkToFit="0" vertical="top" wrapText="0"/>
    </xf>
    <xf borderId="0" fillId="0" fontId="15" numFmtId="0" xfId="0" applyAlignment="1" applyFont="1">
      <alignment readingOrder="0" shrinkToFit="0" vertical="top" wrapText="0"/>
    </xf>
    <xf borderId="0" fillId="0" fontId="15" numFmtId="0" xfId="0" applyAlignment="1" applyFont="1">
      <alignment readingOrder="0" shrinkToFit="0" vertical="top" wrapText="0"/>
    </xf>
    <xf borderId="0" fillId="0" fontId="6" numFmtId="0" xfId="0" applyAlignment="1" applyFont="1">
      <alignment shrinkToFit="0" vertical="top" wrapText="0"/>
    </xf>
    <xf borderId="1" fillId="4" fontId="6" numFmtId="0" xfId="0" applyAlignment="1" applyBorder="1" applyFont="1">
      <alignment horizontal="left" readingOrder="0" shrinkToFit="0" vertical="top" wrapText="0"/>
    </xf>
    <xf borderId="1" fillId="0" fontId="15" numFmtId="166" xfId="0" applyAlignment="1" applyBorder="1" applyFont="1" applyNumberFormat="1">
      <alignment horizontal="right" readingOrder="0" shrinkToFit="0" vertical="top" wrapText="1"/>
    </xf>
    <xf borderId="1" fillId="0" fontId="15" numFmtId="0" xfId="0" applyAlignment="1" applyBorder="1" applyFont="1">
      <alignment readingOrder="0" shrinkToFit="0" vertical="top" wrapText="1"/>
    </xf>
    <xf borderId="1" fillId="0" fontId="15" numFmtId="0" xfId="0" applyAlignment="1" applyBorder="1" applyFont="1">
      <alignment horizontal="center" readingOrder="0" shrinkToFit="0" vertical="top" wrapText="1"/>
    </xf>
    <xf borderId="0" fillId="0" fontId="59" numFmtId="0" xfId="0" applyAlignment="1" applyFont="1">
      <alignment horizontal="left" readingOrder="0" shrinkToFit="0" vertical="top" wrapText="0"/>
    </xf>
    <xf borderId="1" fillId="0" fontId="1" numFmtId="0" xfId="0" applyAlignment="1" applyBorder="1" applyFont="1">
      <alignment horizontal="center" readingOrder="0" shrinkToFit="0" vertical="top" wrapText="1"/>
    </xf>
    <xf borderId="4" fillId="0" fontId="15" numFmtId="0" xfId="0" applyAlignment="1" applyBorder="1" applyFont="1">
      <alignment vertical="bottom"/>
    </xf>
    <xf borderId="4" fillId="0" fontId="15" numFmtId="166" xfId="0" applyAlignment="1" applyBorder="1" applyFont="1" applyNumberFormat="1">
      <alignment vertical="bottom"/>
    </xf>
    <xf borderId="4" fillId="0" fontId="15" numFmtId="0" xfId="0" applyAlignment="1" applyBorder="1" applyFont="1">
      <alignment vertical="bottom"/>
    </xf>
    <xf borderId="4" fillId="0" fontId="6" numFmtId="166" xfId="0" applyAlignment="1" applyBorder="1" applyFont="1" applyNumberFormat="1">
      <alignment horizontal="center" vertical="top"/>
    </xf>
    <xf borderId="1" fillId="0" fontId="6" numFmtId="166" xfId="0" applyAlignment="1" applyBorder="1" applyFont="1" applyNumberFormat="1">
      <alignment readingOrder="0" vertical="top"/>
    </xf>
    <xf borderId="4" fillId="4" fontId="60" numFmtId="0" xfId="0" applyAlignment="1" applyBorder="1" applyFont="1">
      <alignment vertical="bottom"/>
    </xf>
    <xf borderId="0" fillId="4" fontId="61" numFmtId="0" xfId="0" applyAlignment="1" applyFont="1">
      <alignment readingOrder="0"/>
    </xf>
    <xf borderId="4" fillId="0" fontId="6" numFmtId="0" xfId="0" applyAlignment="1" applyBorder="1" applyFont="1">
      <alignment readingOrder="0" vertical="top"/>
    </xf>
    <xf borderId="4" fillId="0" fontId="6" numFmtId="0" xfId="0" applyAlignment="1" applyBorder="1" applyFont="1">
      <alignment horizontal="center" readingOrder="0" vertical="top"/>
    </xf>
    <xf borderId="4" fillId="0" fontId="6" numFmtId="0" xfId="0" applyAlignment="1" applyBorder="1" applyFont="1">
      <alignment shrinkToFit="0" vertical="top" wrapText="0"/>
    </xf>
    <xf borderId="4" fillId="0" fontId="6" numFmtId="0" xfId="0" applyAlignment="1" applyBorder="1" applyFont="1">
      <alignment horizontal="center" shrinkToFit="0" vertical="top" wrapText="0"/>
    </xf>
    <xf borderId="4" fillId="0" fontId="6" numFmtId="0" xfId="0" applyAlignment="1" applyBorder="1" applyFont="1">
      <alignment vertical="top"/>
    </xf>
    <xf borderId="4" fillId="0" fontId="62" numFmtId="0" xfId="0" applyAlignment="1" applyBorder="1" applyFont="1">
      <alignment readingOrder="0" vertical="top"/>
    </xf>
    <xf borderId="4" fillId="0" fontId="6" numFmtId="0" xfId="0" applyAlignment="1" applyBorder="1" applyFont="1">
      <alignment horizontal="center" vertical="top"/>
    </xf>
    <xf borderId="4" fillId="0" fontId="6" numFmtId="166" xfId="0" applyAlignment="1" applyBorder="1" applyFont="1" applyNumberFormat="1">
      <alignment horizontal="right" readingOrder="0" vertical="top"/>
    </xf>
    <xf borderId="4" fillId="0" fontId="15" numFmtId="0" xfId="0" applyAlignment="1" applyBorder="1" applyFont="1">
      <alignment vertical="top"/>
    </xf>
    <xf borderId="4" fillId="0" fontId="15" numFmtId="166" xfId="0" applyAlignment="1" applyBorder="1" applyFont="1" applyNumberFormat="1">
      <alignment vertical="top"/>
    </xf>
    <xf borderId="4" fillId="0" fontId="63" numFmtId="0" xfId="0" applyAlignment="1" applyBorder="1" applyFont="1">
      <alignment shrinkToFit="0" vertical="top" wrapText="0"/>
    </xf>
    <xf borderId="1" fillId="4" fontId="6" numFmtId="0" xfId="0" applyAlignment="1" applyBorder="1" applyFont="1">
      <alignment horizontal="left" vertical="top"/>
    </xf>
    <xf borderId="1" fillId="0" fontId="6" numFmtId="164" xfId="0" applyAlignment="1" applyBorder="1" applyFont="1" applyNumberFormat="1">
      <alignment horizontal="right" readingOrder="0" vertical="top"/>
    </xf>
    <xf borderId="1" fillId="0" fontId="6" numFmtId="166" xfId="0" applyAlignment="1" applyBorder="1" applyFont="1" applyNumberFormat="1">
      <alignment horizontal="center" shrinkToFit="0" vertical="top" wrapText="0"/>
    </xf>
    <xf borderId="4" fillId="0" fontId="6" numFmtId="166" xfId="0" applyAlignment="1" applyBorder="1" applyFont="1" applyNumberFormat="1">
      <alignment shrinkToFit="0" vertical="top" wrapText="0"/>
    </xf>
    <xf borderId="4" fillId="0" fontId="64" numFmtId="0" xfId="0" applyAlignment="1" applyBorder="1" applyFont="1">
      <alignment vertical="top"/>
    </xf>
    <xf borderId="4" fillId="4" fontId="6" numFmtId="0" xfId="0" applyAlignment="1" applyBorder="1" applyFont="1">
      <alignment vertical="top"/>
    </xf>
    <xf borderId="4" fillId="0" fontId="6" numFmtId="0" xfId="0" applyAlignment="1" applyBorder="1" applyFont="1">
      <alignment readingOrder="0" shrinkToFit="0" vertical="top" wrapText="0"/>
    </xf>
    <xf borderId="4" fillId="0" fontId="15" numFmtId="166" xfId="0" applyAlignment="1" applyBorder="1" applyFont="1" applyNumberFormat="1">
      <alignment horizontal="right" readingOrder="0" vertical="top"/>
    </xf>
    <xf borderId="4" fillId="0" fontId="15" numFmtId="0" xfId="0" applyAlignment="1" applyBorder="1" applyFont="1">
      <alignment readingOrder="0" vertical="top"/>
    </xf>
    <xf borderId="4" fillId="0" fontId="6" numFmtId="0" xfId="0" applyAlignment="1" applyBorder="1" applyFont="1">
      <alignment horizontal="left" vertical="top"/>
    </xf>
    <xf borderId="4" fillId="0" fontId="6" numFmtId="166" xfId="0" applyAlignment="1" applyBorder="1" applyFont="1" applyNumberFormat="1">
      <alignment horizontal="center" readingOrder="0" shrinkToFit="0" vertical="top" wrapText="0"/>
    </xf>
    <xf borderId="1" fillId="0" fontId="65" numFmtId="0" xfId="0" applyAlignment="1" applyBorder="1" applyFont="1">
      <alignment horizontal="left" readingOrder="0" shrinkToFit="0" vertical="top" wrapText="0"/>
    </xf>
    <xf borderId="1" fillId="0" fontId="66" numFmtId="0" xfId="0" applyAlignment="1" applyBorder="1" applyFont="1">
      <alignment horizontal="left" shrinkToFit="0" vertical="top" wrapText="0"/>
    </xf>
    <xf borderId="1" fillId="0" fontId="27" numFmtId="0" xfId="0" applyBorder="1" applyFont="1"/>
    <xf borderId="0" fillId="0" fontId="6" numFmtId="0" xfId="0" applyAlignment="1" applyFont="1">
      <alignment readingOrder="0" shrinkToFit="0" vertical="top" wrapText="0"/>
    </xf>
    <xf borderId="1" fillId="0" fontId="15" numFmtId="0" xfId="0" applyAlignment="1" applyBorder="1" applyFont="1">
      <alignment horizontal="center" readingOrder="0" shrinkToFit="0" vertical="top" wrapText="1"/>
    </xf>
    <xf borderId="1" fillId="0" fontId="15" numFmtId="0" xfId="0" applyAlignment="1" applyBorder="1" applyFont="1">
      <alignment readingOrder="0" shrinkToFit="0" vertical="top" wrapText="1"/>
    </xf>
    <xf borderId="1" fillId="0" fontId="67" numFmtId="0" xfId="0" applyAlignment="1" applyBorder="1" applyFont="1">
      <alignment readingOrder="0" vertical="top"/>
    </xf>
    <xf borderId="1" fillId="0" fontId="68" numFmtId="0" xfId="0" applyAlignment="1" applyBorder="1" applyFont="1">
      <alignment shrinkToFit="0" vertical="top" wrapText="0"/>
    </xf>
    <xf borderId="1" fillId="0" fontId="6" numFmtId="170" xfId="0" applyAlignment="1" applyBorder="1" applyFont="1" applyNumberFormat="1">
      <alignment horizontal="center" readingOrder="0" shrinkToFit="0" vertical="top" wrapText="0"/>
    </xf>
    <xf borderId="0" fillId="4" fontId="27" numFmtId="0" xfId="0" applyFont="1"/>
    <xf borderId="0" fillId="0" fontId="69" numFmtId="0" xfId="0" applyAlignment="1" applyFont="1">
      <alignment readingOrder="0" vertical="top"/>
    </xf>
    <xf borderId="0" fillId="4" fontId="6" numFmtId="0" xfId="0" applyAlignment="1" applyFont="1">
      <alignment readingOrder="0" vertical="top"/>
    </xf>
    <xf borderId="0" fillId="0" fontId="35" numFmtId="0" xfId="0" applyAlignment="1" applyFont="1">
      <alignment horizontal="center" shrinkToFit="0" vertical="top" wrapText="0"/>
    </xf>
    <xf borderId="0" fillId="0" fontId="15" numFmtId="0" xfId="0" applyAlignment="1" applyFont="1">
      <alignment horizontal="left" shrinkToFit="0" vertical="top" wrapText="0"/>
    </xf>
    <xf borderId="0" fillId="4" fontId="6" numFmtId="0" xfId="0" applyAlignment="1" applyFont="1">
      <alignment horizontal="left" readingOrder="0" vertical="top"/>
    </xf>
    <xf borderId="0" fillId="0" fontId="15" numFmtId="0" xfId="0" applyAlignment="1" applyFont="1">
      <alignment horizontal="center" shrinkToFit="0" vertical="top" wrapText="0"/>
    </xf>
    <xf borderId="0" fillId="0" fontId="15" numFmtId="0" xfId="0" applyAlignment="1" applyFont="1">
      <alignment shrinkToFit="0" vertical="top" wrapText="0"/>
    </xf>
    <xf borderId="0" fillId="0" fontId="15" numFmtId="164" xfId="0" applyAlignment="1" applyFont="1" applyNumberFormat="1">
      <alignment horizontal="center" shrinkToFit="0" vertical="top" wrapText="0"/>
    </xf>
    <xf borderId="0" fillId="0" fontId="6" numFmtId="0" xfId="0" applyAlignment="1" applyFont="1">
      <alignment horizontal="center" shrinkToFit="0" vertical="top" wrapText="0"/>
    </xf>
    <xf borderId="0" fillId="4" fontId="6" numFmtId="0" xfId="0" applyAlignment="1" applyFont="1">
      <alignment horizontal="left" shrinkToFit="0" vertical="top" wrapText="0"/>
    </xf>
    <xf borderId="0" fillId="0" fontId="15" numFmtId="0" xfId="0" applyAlignment="1" applyFont="1">
      <alignment horizontal="right" shrinkToFit="0" vertical="top" wrapText="1"/>
    </xf>
    <xf borderId="0" fillId="0" fontId="15" numFmtId="0" xfId="0" applyAlignment="1" applyFont="1">
      <alignment shrinkToFit="0" vertical="top" wrapText="1"/>
    </xf>
    <xf borderId="0" fillId="0" fontId="15" numFmtId="0" xfId="0" applyAlignment="1" applyFont="1">
      <alignment horizontal="center" shrinkToFit="0" vertical="top" wrapText="1"/>
    </xf>
    <xf borderId="0" fillId="0" fontId="15" numFmtId="0" xfId="0" applyAlignment="1" applyFont="1">
      <alignment horizontal="left" shrinkToFit="0" vertical="top" wrapText="1"/>
    </xf>
    <xf borderId="0" fillId="0" fontId="6" numFmtId="0" xfId="0" applyAlignment="1" applyFont="1">
      <alignment horizontal="left" shrinkToFit="0" vertical="top" wrapText="0"/>
    </xf>
    <xf borderId="0" fillId="0" fontId="15" numFmtId="166" xfId="0" applyAlignment="1" applyFont="1" applyNumberFormat="1">
      <alignment horizontal="righ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s://community.max.gov/download/attachments/1115488742/ATO.Letter_AWS.EW_DOE_11.25.14.pdf?api=v2" TargetMode="External"/><Relationship Id="rId391" Type="http://schemas.openxmlformats.org/officeDocument/2006/relationships/hyperlink" Target="https://community.max.gov/x/DpBJK" TargetMode="External"/><Relationship Id="rId390" Type="http://schemas.openxmlformats.org/officeDocument/2006/relationships/hyperlink" Target="https://marketplace.fedramp.gov/img/logos/Agency_logos/US-DeptOfTheTreasury-Seal.png" TargetMode="External"/><Relationship Id="rId2180" Type="http://schemas.openxmlformats.org/officeDocument/2006/relationships/hyperlink" Target="https://community.max.gov/download/attachments/1197709114/ATO.Letter_18F_FDIC_03.01.17.pdf?api=v2" TargetMode="External"/><Relationship Id="rId2181" Type="http://schemas.openxmlformats.org/officeDocument/2006/relationships/hyperlink" Target="http://www.cloud.gov" TargetMode="External"/><Relationship Id="rId2182" Type="http://schemas.openxmlformats.org/officeDocument/2006/relationships/hyperlink" Target="https://marketplace.fedramp.gov/img/logos/CSP_logos/Cloud.gov%20Logo.jpg" TargetMode="External"/><Relationship Id="rId2183" Type="http://schemas.openxmlformats.org/officeDocument/2006/relationships/hyperlink" Target="https://marketplace.fedramp.gov/img/logos/Agency_logos/FDIC%20Logo.jpg" TargetMode="External"/><Relationship Id="rId385" Type="http://schemas.openxmlformats.org/officeDocument/2006/relationships/hyperlink" Target="https://marketplace.fedramp.gov/img/logos/Agency_logos/US-DeptOfEnergy-Seal.png" TargetMode="External"/><Relationship Id="rId2184" Type="http://schemas.openxmlformats.org/officeDocument/2006/relationships/hyperlink" Target="https://community.max.gov/x/FgnEJg" TargetMode="External"/><Relationship Id="rId384" Type="http://schemas.openxmlformats.org/officeDocument/2006/relationships/hyperlink" Target="https://marketplace.fedramp.gov/img/logos/CSP_logos/Akamai%20Logo.jpg" TargetMode="External"/><Relationship Id="rId2185" Type="http://schemas.openxmlformats.org/officeDocument/2006/relationships/hyperlink" Target="https://community.max.gov/download/attachments/992346622/ATO.Letter_AINS_HUD_01.18.17.pdf?api=v2" TargetMode="External"/><Relationship Id="rId383" Type="http://schemas.openxmlformats.org/officeDocument/2006/relationships/hyperlink" Target="http://www.akamai.com" TargetMode="External"/><Relationship Id="rId2186" Type="http://schemas.openxmlformats.org/officeDocument/2006/relationships/hyperlink" Target="http://www.ains.com" TargetMode="External"/><Relationship Id="rId382" Type="http://schemas.openxmlformats.org/officeDocument/2006/relationships/hyperlink" Target="https://community.max.gov/download/attachments/1116602815/ATO.Letter_Akamai_DOE_09.30.15.pdf?api=v2" TargetMode="External"/><Relationship Id="rId2187" Type="http://schemas.openxmlformats.org/officeDocument/2006/relationships/hyperlink" Target="https://marketplace.fedramp.gov/img/logos/CSP_logos/AINS%20Logo.jpg" TargetMode="External"/><Relationship Id="rId389" Type="http://schemas.openxmlformats.org/officeDocument/2006/relationships/hyperlink" Target="https://marketplace.fedramp.gov/img/logos/CSP_logos/Amazon%20Logo.jpg" TargetMode="External"/><Relationship Id="rId2188" Type="http://schemas.openxmlformats.org/officeDocument/2006/relationships/hyperlink" Target="https://marketplace.fedramp.gov/img/logos/Agency_logos/US-DeptOfHUD-Seal.png" TargetMode="External"/><Relationship Id="rId388" Type="http://schemas.openxmlformats.org/officeDocument/2006/relationships/hyperlink" Target="http://www.aws.amazon.com" TargetMode="External"/><Relationship Id="rId2189" Type="http://schemas.openxmlformats.org/officeDocument/2006/relationships/hyperlink" Target="https://community.max.gov/x/GAugKw" TargetMode="External"/><Relationship Id="rId387" Type="http://schemas.openxmlformats.org/officeDocument/2006/relationships/hyperlink" Target="https://community.max.gov/download/attachments/1115488742/ATO.Letter_AWSEW_Treasury_10.30.14.pdf?api=v2" TargetMode="External"/><Relationship Id="rId386" Type="http://schemas.openxmlformats.org/officeDocument/2006/relationships/hyperlink" Target="https://community.max.gov/x/DpBJK" TargetMode="External"/><Relationship Id="rId381" Type="http://schemas.openxmlformats.org/officeDocument/2006/relationships/hyperlink" Target="https://community.max.gov/x/wgmOJQ" TargetMode="External"/><Relationship Id="rId380" Type="http://schemas.openxmlformats.org/officeDocument/2006/relationships/hyperlink" Target="https://marketplace.fedramp.gov/img/logos/Agency_logos/United_States_Department_of_Defense_Seal.png" TargetMode="External"/><Relationship Id="rId379" Type="http://schemas.openxmlformats.org/officeDocument/2006/relationships/hyperlink" Target="https://marketplace.fedramp.gov/img/logos/CSP_logos/Akamai%20Logo.jpg" TargetMode="External"/><Relationship Id="rId2170" Type="http://schemas.openxmlformats.org/officeDocument/2006/relationships/hyperlink" Target="https://community.max.gov/download/attachments/992346706/ATO.Letter_MSO365_FDIC_03.31.17.pdf?api=v2" TargetMode="External"/><Relationship Id="rId2171" Type="http://schemas.openxmlformats.org/officeDocument/2006/relationships/hyperlink" Target="http://www.microsoft.office.com" TargetMode="External"/><Relationship Id="rId2172" Type="http://schemas.openxmlformats.org/officeDocument/2006/relationships/hyperlink" Target="https://marketplace.fedramp.gov/img/logos/CSP_logos/Microsoft%20Logo.jpg" TargetMode="External"/><Relationship Id="rId374" Type="http://schemas.openxmlformats.org/officeDocument/2006/relationships/hyperlink" Target="https://marketplace.fedramp.gov/img/logos/CSP_logos/Akamai%20Logo.jpg" TargetMode="External"/><Relationship Id="rId2173" Type="http://schemas.openxmlformats.org/officeDocument/2006/relationships/hyperlink" Target="https://marketplace.fedramp.gov/img/logos/Agency_logos/FDIC%20Logo.jpg" TargetMode="External"/><Relationship Id="rId373" Type="http://schemas.openxmlformats.org/officeDocument/2006/relationships/hyperlink" Target="http://www.akamai.com" TargetMode="External"/><Relationship Id="rId2174" Type="http://schemas.openxmlformats.org/officeDocument/2006/relationships/hyperlink" Target="https://community.max.gov/x/nAG9PQ" TargetMode="External"/><Relationship Id="rId372" Type="http://schemas.openxmlformats.org/officeDocument/2006/relationships/hyperlink" Target="https://community.max.gov/download/attachments/1256457901/ATO.Letter_Akamai_DOI_12.16.14.pdf?api=v2" TargetMode="External"/><Relationship Id="rId2175" Type="http://schemas.openxmlformats.org/officeDocument/2006/relationships/hyperlink" Target="https://community.max.gov/download/attachments/1179582858/ATO.Letter_MSCRMOL_VA_03.06.17.pdf?api=v2" TargetMode="External"/><Relationship Id="rId371" Type="http://schemas.openxmlformats.org/officeDocument/2006/relationships/hyperlink" Target="https://community.max.gov/x/wgmOJQ" TargetMode="External"/><Relationship Id="rId2176" Type="http://schemas.openxmlformats.org/officeDocument/2006/relationships/hyperlink" Target="https://www.microsoft.com/en-us/dynamics/public-sector.aspx" TargetMode="External"/><Relationship Id="rId378" Type="http://schemas.openxmlformats.org/officeDocument/2006/relationships/hyperlink" Target="http://www.akamai.com" TargetMode="External"/><Relationship Id="rId2177" Type="http://schemas.openxmlformats.org/officeDocument/2006/relationships/hyperlink" Target="https://marketplace.fedramp.gov/img/logos/CSP_logos/Microsoft%20Logo.jpg" TargetMode="External"/><Relationship Id="rId377" Type="http://schemas.openxmlformats.org/officeDocument/2006/relationships/hyperlink" Target="https://community.max.gov/download/attachments/1256457901/ATO.Letter_Akamai_DOD.DISA_3.26.15.pdf?api=v2" TargetMode="External"/><Relationship Id="rId2178" Type="http://schemas.openxmlformats.org/officeDocument/2006/relationships/hyperlink" Target="https://marketplace.fedramp.gov/img/logos/Agency_logos/Seal_of_the_United_States_Department_of_Veterans_Affairs_(1989-2012).png" TargetMode="External"/><Relationship Id="rId376" Type="http://schemas.openxmlformats.org/officeDocument/2006/relationships/hyperlink" Target="https://community.max.gov/x/wgmOJQ" TargetMode="External"/><Relationship Id="rId2179" Type="http://schemas.openxmlformats.org/officeDocument/2006/relationships/hyperlink" Target="https://community.max.gov/x/GwCsPQ" TargetMode="External"/><Relationship Id="rId375" Type="http://schemas.openxmlformats.org/officeDocument/2006/relationships/hyperlink" Target="https://marketplace.fedramp.gov/img/logos/Agency_logos/US-DeptOfTheInterior-Seal.png" TargetMode="External"/><Relationship Id="rId2190" Type="http://schemas.openxmlformats.org/officeDocument/2006/relationships/hyperlink" Target="https://community.max.gov/download/attachments/936118328/ATO.Letter_Acquia_DoC_NIST_02.22.17.pdf?api=v2" TargetMode="External"/><Relationship Id="rId2191" Type="http://schemas.openxmlformats.org/officeDocument/2006/relationships/hyperlink" Target="http://www.acquia.com" TargetMode="External"/><Relationship Id="rId2192" Type="http://schemas.openxmlformats.org/officeDocument/2006/relationships/hyperlink" Target="https://marketplace.fedramp.gov/img/logos/CSP_logos/Acquia%20Logo.jpg" TargetMode="External"/><Relationship Id="rId2193" Type="http://schemas.openxmlformats.org/officeDocument/2006/relationships/hyperlink" Target="https://marketplace.fedramp.gov/img/logos/Agency_logos/US-DeptOfCommerce-Seal.png" TargetMode="External"/><Relationship Id="rId2194" Type="http://schemas.openxmlformats.org/officeDocument/2006/relationships/hyperlink" Target="https://community.max.gov/x/ApBJK" TargetMode="External"/><Relationship Id="rId396" Type="http://schemas.openxmlformats.org/officeDocument/2006/relationships/hyperlink" Target="https://community.max.gov/x/DpBJK" TargetMode="External"/><Relationship Id="rId2195" Type="http://schemas.openxmlformats.org/officeDocument/2006/relationships/hyperlink" Target="https://community.max.gov/download/attachments/1113425425/ATO.Letter_AWSGC_DoT_IRS_03.28.17.pdf?api=v2" TargetMode="External"/><Relationship Id="rId395" Type="http://schemas.openxmlformats.org/officeDocument/2006/relationships/hyperlink" Target="https://marketplace.fedramp.gov/img/logos/Agency_logos/US-DeptOfEnergy-Seal.png" TargetMode="External"/><Relationship Id="rId2196" Type="http://schemas.openxmlformats.org/officeDocument/2006/relationships/hyperlink" Target="http://www.aws.amazon.com" TargetMode="External"/><Relationship Id="rId394" Type="http://schemas.openxmlformats.org/officeDocument/2006/relationships/hyperlink" Target="https://marketplace.fedramp.gov/img/logos/CSP_logos/Amazon%20Logo.jpg" TargetMode="External"/><Relationship Id="rId2197" Type="http://schemas.openxmlformats.org/officeDocument/2006/relationships/hyperlink" Target="https://marketplace.fedramp.gov/img/logos/CSP_logos/Amazon%20Logo.jpg" TargetMode="External"/><Relationship Id="rId393" Type="http://schemas.openxmlformats.org/officeDocument/2006/relationships/hyperlink" Target="http://www.aws.amazon.com" TargetMode="External"/><Relationship Id="rId2198" Type="http://schemas.openxmlformats.org/officeDocument/2006/relationships/hyperlink" Target="https://marketplace.fedramp.gov/img/logos/Agency_logos/US-DeptOfTheTreasury-Seal.png" TargetMode="External"/><Relationship Id="rId2199" Type="http://schemas.openxmlformats.org/officeDocument/2006/relationships/hyperlink" Target="https://community.max.gov/x/GATJO" TargetMode="External"/><Relationship Id="rId399" Type="http://schemas.openxmlformats.org/officeDocument/2006/relationships/hyperlink" Target="https://marketplace.fedramp.gov/img/logos/CSP_logos/Amazon%20Logo.jpg" TargetMode="External"/><Relationship Id="rId398" Type="http://schemas.openxmlformats.org/officeDocument/2006/relationships/hyperlink" Target="http://www.aws.amazon.com" TargetMode="External"/><Relationship Id="rId397" Type="http://schemas.openxmlformats.org/officeDocument/2006/relationships/hyperlink" Target="https://community.max.gov/download/attachments/1115488742/ATO.Letter_AWS.EW_HUD_12.24.14.pdf?api=v2" TargetMode="External"/><Relationship Id="rId1730" Type="http://schemas.openxmlformats.org/officeDocument/2006/relationships/hyperlink" Target="https://marketplace.fedramp.gov/img/logos/Agency_logos/US-DeptOfEducation-Seal.png" TargetMode="External"/><Relationship Id="rId1731" Type="http://schemas.openxmlformats.org/officeDocument/2006/relationships/hyperlink" Target="https://community.max.gov/x/VJM5JQ" TargetMode="External"/><Relationship Id="rId1732" Type="http://schemas.openxmlformats.org/officeDocument/2006/relationships/hyperlink" Target="https://community.max.gov/download/attachments/1116602747/ATO.Letter_CGI_DoE_06.08.16.pdf?api=v2" TargetMode="External"/><Relationship Id="rId1733" Type="http://schemas.openxmlformats.org/officeDocument/2006/relationships/hyperlink" Target="http://www.cgi.com" TargetMode="External"/><Relationship Id="rId1734" Type="http://schemas.openxmlformats.org/officeDocument/2006/relationships/hyperlink" Target="https://marketplace.fedramp.gov/img/logos/CSP_logos/CGI%20Federal.jpg" TargetMode="External"/><Relationship Id="rId1735" Type="http://schemas.openxmlformats.org/officeDocument/2006/relationships/hyperlink" Target="https://marketplace.fedramp.gov/img/logos/Agency_logos/US-DeptOfEducation-Seal.png" TargetMode="External"/><Relationship Id="rId1736" Type="http://schemas.openxmlformats.org/officeDocument/2006/relationships/hyperlink" Target="https://community.max.gov/x/_gPNKw" TargetMode="External"/><Relationship Id="rId1737" Type="http://schemas.openxmlformats.org/officeDocument/2006/relationships/hyperlink" Target="https://community.max.gov/download/attachments/1155203438/ATO.Letter_GDIT_DoE_FSA_04.06.16.pdf?api=v2" TargetMode="External"/><Relationship Id="rId1738" Type="http://schemas.openxmlformats.org/officeDocument/2006/relationships/hyperlink" Target="http://www.gdit.com/cloudsolutions" TargetMode="External"/><Relationship Id="rId1739" Type="http://schemas.openxmlformats.org/officeDocument/2006/relationships/hyperlink" Target="https://marketplace.fedramp.gov/img/logos/CSP_logos/GDIT%20Logo.jpg" TargetMode="External"/><Relationship Id="rId1720" Type="http://schemas.openxmlformats.org/officeDocument/2006/relationships/hyperlink" Target="https://marketplace.fedramp.gov/img/logos/Agency_logos/US-DeptOfEducation-Seal.png" TargetMode="External"/><Relationship Id="rId1721" Type="http://schemas.openxmlformats.org/officeDocument/2006/relationships/hyperlink" Target="https://community.max.gov/x/ApBJK" TargetMode="External"/><Relationship Id="rId1722" Type="http://schemas.openxmlformats.org/officeDocument/2006/relationships/hyperlink" Target="https://community.max.gov/download/attachments/1113425425/ATO.Letter_AWSGC_DoE_03.30.16.pdf?api=v2" TargetMode="External"/><Relationship Id="rId1723" Type="http://schemas.openxmlformats.org/officeDocument/2006/relationships/hyperlink" Target="http://www.aws.amazon.com" TargetMode="External"/><Relationship Id="rId1724" Type="http://schemas.openxmlformats.org/officeDocument/2006/relationships/hyperlink" Target="https://marketplace.fedramp.gov/img/logos/CSP_logos/Amazon%20Logo.jpg" TargetMode="External"/><Relationship Id="rId1725" Type="http://schemas.openxmlformats.org/officeDocument/2006/relationships/hyperlink" Target="https://marketplace.fedramp.gov/img/logos/Agency_logos/US-DeptOfEducation-Seal.png" TargetMode="External"/><Relationship Id="rId1726" Type="http://schemas.openxmlformats.org/officeDocument/2006/relationships/hyperlink" Target="https://community.max.gov/x/ApBJK" TargetMode="External"/><Relationship Id="rId1727" Type="http://schemas.openxmlformats.org/officeDocument/2006/relationships/hyperlink" Target="https://community.max.gov/download/attachments/1113425425/ATO.Letter_AWSGC_DoE_08.10.16.pdf?api=v2" TargetMode="External"/><Relationship Id="rId1728" Type="http://schemas.openxmlformats.org/officeDocument/2006/relationships/hyperlink" Target="http://www.aws.amazon.com" TargetMode="External"/><Relationship Id="rId1729" Type="http://schemas.openxmlformats.org/officeDocument/2006/relationships/hyperlink" Target="https://marketplace.fedramp.gov/img/logos/CSP_logos/Amazon%20Logo.jpg" TargetMode="External"/><Relationship Id="rId1752" Type="http://schemas.openxmlformats.org/officeDocument/2006/relationships/hyperlink" Target="https://community.max.gov/download/attachments/1129612893/ATO.Letter_Accellion_DoE_06.14.16.pdf?api=v2" TargetMode="External"/><Relationship Id="rId1753" Type="http://schemas.openxmlformats.org/officeDocument/2006/relationships/hyperlink" Target="http://www.accellion.com/government" TargetMode="External"/><Relationship Id="rId1754" Type="http://schemas.openxmlformats.org/officeDocument/2006/relationships/hyperlink" Target="https://marketplace.fedramp.gov/img/logos/CSP_logos/Accellion%20Logo.jpg" TargetMode="External"/><Relationship Id="rId1755" Type="http://schemas.openxmlformats.org/officeDocument/2006/relationships/hyperlink" Target="https://marketplace.fedramp.gov/img/logos/Agency_logos/US-DeptOfEnergy-Seal.png" TargetMode="External"/><Relationship Id="rId1756" Type="http://schemas.openxmlformats.org/officeDocument/2006/relationships/hyperlink" Target="https://community.max.gov/x/FgQpLg" TargetMode="External"/><Relationship Id="rId1757" Type="http://schemas.openxmlformats.org/officeDocument/2006/relationships/hyperlink" Target="https://community.max.gov/download/attachments/1257046585/ATO.Letter_GovDelivery_DoC_USPTO_05.02.16.pdf?api=v2" TargetMode="External"/><Relationship Id="rId1758" Type="http://schemas.openxmlformats.org/officeDocument/2006/relationships/hyperlink" Target="http://www.granicus.com" TargetMode="External"/><Relationship Id="rId1759" Type="http://schemas.openxmlformats.org/officeDocument/2006/relationships/hyperlink" Target="https://marketplace.fedramp.gov/img/logos/CSP_logos/Granicus%20Logo.jpg" TargetMode="External"/><Relationship Id="rId1750" Type="http://schemas.openxmlformats.org/officeDocument/2006/relationships/hyperlink" Target="https://marketplace.fedramp.gov/img/logos/Agency_logos/US-DeptOfEducation-Seal.png" TargetMode="External"/><Relationship Id="rId1751" Type="http://schemas.openxmlformats.org/officeDocument/2006/relationships/hyperlink" Target="https://community.max.gov/x/0h0kSQ" TargetMode="External"/><Relationship Id="rId1741" Type="http://schemas.openxmlformats.org/officeDocument/2006/relationships/hyperlink" Target="https://community.max.gov/x/nAG9PQ" TargetMode="External"/><Relationship Id="rId1742" Type="http://schemas.openxmlformats.org/officeDocument/2006/relationships/hyperlink" Target="https://community.max.gov/download/attachments/1179582858/ATO.Letter_MSCRMOL_DoE_FSA_04.06.16.pdf?api=v2" TargetMode="External"/><Relationship Id="rId1743" Type="http://schemas.openxmlformats.org/officeDocument/2006/relationships/hyperlink" Target="https://www.microsoft.com/en-us/dynamics/public-sector.aspx" TargetMode="External"/><Relationship Id="rId1744" Type="http://schemas.openxmlformats.org/officeDocument/2006/relationships/hyperlink" Target="https://marketplace.fedramp.gov/img/logos/CSP_logos/Microsoft%20Logo.jpg" TargetMode="External"/><Relationship Id="rId1745" Type="http://schemas.openxmlformats.org/officeDocument/2006/relationships/hyperlink" Target="https://marketplace.fedramp.gov/img/logos/Agency_logos/US-DeptOfEducation-Seal.png" TargetMode="External"/><Relationship Id="rId1746" Type="http://schemas.openxmlformats.org/officeDocument/2006/relationships/hyperlink" Target="https://community.max.gov/x/3JC6L" TargetMode="External"/><Relationship Id="rId1747" Type="http://schemas.openxmlformats.org/officeDocument/2006/relationships/hyperlink" Target="https://community.max.gov/download/attachments/992346706/ATO.Letter_MSO365_DoE_07.13.16.pdf?api=v2" TargetMode="External"/><Relationship Id="rId1748" Type="http://schemas.openxmlformats.org/officeDocument/2006/relationships/hyperlink" Target="http://www.microsoft.office.com" TargetMode="External"/><Relationship Id="rId1749" Type="http://schemas.openxmlformats.org/officeDocument/2006/relationships/hyperlink" Target="https://marketplace.fedramp.gov/img/logos/CSP_logos/Microsoft%20Logo.jpg" TargetMode="External"/><Relationship Id="rId1740" Type="http://schemas.openxmlformats.org/officeDocument/2006/relationships/hyperlink" Target="https://marketplace.fedramp.gov/img/logos/Agency_logos/US-DeptOfEducation-Seal.png" TargetMode="External"/><Relationship Id="rId1710" Type="http://schemas.openxmlformats.org/officeDocument/2006/relationships/hyperlink" Target="https://marketplace.fedramp.gov/img/logos/Agency_logos/US-DeptOfCommerce-Seal.png" TargetMode="External"/><Relationship Id="rId1711" Type="http://schemas.openxmlformats.org/officeDocument/2006/relationships/hyperlink" Target="https://community.max.gov/x/GBU6Jg" TargetMode="External"/><Relationship Id="rId1712" Type="http://schemas.openxmlformats.org/officeDocument/2006/relationships/hyperlink" Target="https://community.max.gov/download/attachments/1256458199/ATO.Letter_MaaS360_DOC_NTIA_08.30.16.pdf?api=v2" TargetMode="External"/><Relationship Id="rId1713" Type="http://schemas.openxmlformats.org/officeDocument/2006/relationships/hyperlink" Target="http://www.maas360.com" TargetMode="External"/><Relationship Id="rId1714" Type="http://schemas.openxmlformats.org/officeDocument/2006/relationships/hyperlink" Target="https://marketplace.fedramp.gov/img/logos/CSP_logos/MaaS360%20Logo.jpg" TargetMode="External"/><Relationship Id="rId1715" Type="http://schemas.openxmlformats.org/officeDocument/2006/relationships/hyperlink" Target="https://marketplace.fedramp.gov/img/logos/Agency_logos/US-DeptOfCommerce-Seal.png" TargetMode="External"/><Relationship Id="rId1716" Type="http://schemas.openxmlformats.org/officeDocument/2006/relationships/hyperlink" Target="https://community.max.gov/x/bwBCMg" TargetMode="External"/><Relationship Id="rId1717" Type="http://schemas.openxmlformats.org/officeDocument/2006/relationships/hyperlink" Target="https://community.max.gov/download/attachments/976290520/ATO.Letter_Airwatch_DoE_07.13.16.pdf?api=v2" TargetMode="External"/><Relationship Id="rId1718" Type="http://schemas.openxmlformats.org/officeDocument/2006/relationships/hyperlink" Target="http://www.air-watch.com" TargetMode="External"/><Relationship Id="rId1719" Type="http://schemas.openxmlformats.org/officeDocument/2006/relationships/hyperlink" Target="https://marketplace.fedramp.gov/img/logos/CSP_logos/Airwatch%20Logo.jpg" TargetMode="External"/><Relationship Id="rId1700" Type="http://schemas.openxmlformats.org/officeDocument/2006/relationships/hyperlink" Target="https://marketplace.fedramp.gov/img/logos/Agency_logos/DoS%20Logo.png" TargetMode="External"/><Relationship Id="rId1701" Type="http://schemas.openxmlformats.org/officeDocument/2006/relationships/hyperlink" Target="https://community.max.gov/x/3JC6L" TargetMode="External"/><Relationship Id="rId1702" Type="http://schemas.openxmlformats.org/officeDocument/2006/relationships/hyperlink" Target="https://community.max.gov/download/attachments/992346706/ATO.Letter_MSO365_DoS_OIG_07.26.16.pdf?api=v2" TargetMode="External"/><Relationship Id="rId1703" Type="http://schemas.openxmlformats.org/officeDocument/2006/relationships/hyperlink" Target="http://www.microsoft.office.com" TargetMode="External"/><Relationship Id="rId1704" Type="http://schemas.openxmlformats.org/officeDocument/2006/relationships/hyperlink" Target="https://marketplace.fedramp.gov/img/logos/CSP_logos/Microsoft%20Logo.jpg" TargetMode="External"/><Relationship Id="rId1705" Type="http://schemas.openxmlformats.org/officeDocument/2006/relationships/hyperlink" Target="https://marketplace.fedramp.gov/img/logos/Agency_logos/DoS%20Logo.png" TargetMode="External"/><Relationship Id="rId1706" Type="http://schemas.openxmlformats.org/officeDocument/2006/relationships/hyperlink" Target="https://community.max.gov/x/3JC6L" TargetMode="External"/><Relationship Id="rId1707" Type="http://schemas.openxmlformats.org/officeDocument/2006/relationships/hyperlink" Target="https://community.max.gov/download/attachments/780173411/ATO.Letter_MSO365_DOC_NTIA_08.30.16.pdf?api=v2" TargetMode="External"/><Relationship Id="rId1708" Type="http://schemas.openxmlformats.org/officeDocument/2006/relationships/hyperlink" Target="http://www.microsoft.office.com" TargetMode="External"/><Relationship Id="rId1709" Type="http://schemas.openxmlformats.org/officeDocument/2006/relationships/hyperlink" Target="https://marketplace.fedramp.gov/img/logos/CSP_logos/Microsoft%20Logo.jpg" TargetMode="External"/><Relationship Id="rId40" Type="http://schemas.openxmlformats.org/officeDocument/2006/relationships/hyperlink" Target="http://www.autonomicresources.com" TargetMode="External"/><Relationship Id="rId3513" Type="http://schemas.openxmlformats.org/officeDocument/2006/relationships/hyperlink" Target="https://community.max.gov/download/attachments/1440777222/ATO.Letter_AdobeCC_BBG_5.14.18.pdf?api=v2" TargetMode="External"/><Relationship Id="rId3512" Type="http://schemas.openxmlformats.org/officeDocument/2006/relationships/hyperlink" Target="https://community.max.gov/x/XIPgVQ" TargetMode="External"/><Relationship Id="rId42" Type="http://schemas.openxmlformats.org/officeDocument/2006/relationships/hyperlink" Target="https://community.max.gov/x/bI5VJQ" TargetMode="External"/><Relationship Id="rId3515" Type="http://schemas.openxmlformats.org/officeDocument/2006/relationships/hyperlink" Target="https://marketplace.fedramp.gov/img/logos/CSP_logos/Adobe%20Logo.jpg" TargetMode="External"/><Relationship Id="rId41" Type="http://schemas.openxmlformats.org/officeDocument/2006/relationships/hyperlink" Target="https://marketplace.fedramp.gov/img/logos/CSP_logos/ARC-P%20Logo.jpg" TargetMode="External"/><Relationship Id="rId3514" Type="http://schemas.openxmlformats.org/officeDocument/2006/relationships/hyperlink" Target="https://www.adobe.com/creativecloud/business.html" TargetMode="External"/><Relationship Id="rId44" Type="http://schemas.openxmlformats.org/officeDocument/2006/relationships/hyperlink" Target="http://www.autonomicresources.com" TargetMode="External"/><Relationship Id="rId3517" Type="http://schemas.openxmlformats.org/officeDocument/2006/relationships/hyperlink" Target="https://community.max.gov/x/j4WnW" TargetMode="External"/><Relationship Id="rId43" Type="http://schemas.openxmlformats.org/officeDocument/2006/relationships/hyperlink" Target="https://community.max.gov/download/attachments/1155204092/ATO.Letter_ARCP_DOI_07.19.13.pdf?api=v2" TargetMode="External"/><Relationship Id="rId3516" Type="http://schemas.openxmlformats.org/officeDocument/2006/relationships/hyperlink" Target="https://marketplace.fedramp.gov/img/logos/Agency_logos/BBG%20Logo.jpg" TargetMode="External"/><Relationship Id="rId46" Type="http://schemas.openxmlformats.org/officeDocument/2006/relationships/hyperlink" Target="https://marketplace.fedramp.gov/img/logos/Agency_logos/US-DeptOfTheInterior-Seal.png" TargetMode="External"/><Relationship Id="rId3519" Type="http://schemas.openxmlformats.org/officeDocument/2006/relationships/hyperlink" Target="https://acrobat.adobe.com" TargetMode="External"/><Relationship Id="rId45" Type="http://schemas.openxmlformats.org/officeDocument/2006/relationships/hyperlink" Target="https://marketplace.fedramp.gov/img/logos/CSP_logos/ARC-P%20Logo.jpg" TargetMode="External"/><Relationship Id="rId3518" Type="http://schemas.openxmlformats.org/officeDocument/2006/relationships/hyperlink" Target="https://community.max.gov/download/attachments/767132828/ATO.Letter_AdobeDC_BBG_5.14.18.pdf?api=v2" TargetMode="External"/><Relationship Id="rId48" Type="http://schemas.openxmlformats.org/officeDocument/2006/relationships/hyperlink" Target="https://community.max.gov/download/attachments/1116602747/P-ATO_CGI_01.31.13.pdf?api=v2" TargetMode="External"/><Relationship Id="rId47" Type="http://schemas.openxmlformats.org/officeDocument/2006/relationships/hyperlink" Target="https://community.max.gov/x/VJM5JQ" TargetMode="External"/><Relationship Id="rId49" Type="http://schemas.openxmlformats.org/officeDocument/2006/relationships/hyperlink" Target="http://www.cgi.com" TargetMode="External"/><Relationship Id="rId3511" Type="http://schemas.openxmlformats.org/officeDocument/2006/relationships/hyperlink" Target="https://marketplace.fedramp.gov/img/logos/Agency_logos/US-DeptOfCommerce-Seal.png" TargetMode="External"/><Relationship Id="rId3510" Type="http://schemas.openxmlformats.org/officeDocument/2006/relationships/hyperlink" Target="https://marketplace.fedramp.gov/img/logos/CSP_logos/Granicus%20Logo.jpg" TargetMode="External"/><Relationship Id="rId3502" Type="http://schemas.openxmlformats.org/officeDocument/2006/relationships/hyperlink" Target="https://community.max.gov/x/eQs3Kw" TargetMode="External"/><Relationship Id="rId3501" Type="http://schemas.openxmlformats.org/officeDocument/2006/relationships/hyperlink" Target="https://marketplace.fedramp.gov/img/logos/Agency_logos/US-FederalTradeCommission-Seal.png" TargetMode="External"/><Relationship Id="rId31" Type="http://schemas.openxmlformats.org/officeDocument/2006/relationships/hyperlink" Target="https://community.max.gov/x/aY5VJQ" TargetMode="External"/><Relationship Id="rId3504" Type="http://schemas.openxmlformats.org/officeDocument/2006/relationships/hyperlink" Target="http://www.salesforce.com/industries/public-sector" TargetMode="External"/><Relationship Id="rId30" Type="http://schemas.openxmlformats.org/officeDocument/2006/relationships/hyperlink" Target="https://marketplace.fedramp.gov/img/logos/Agency_logos/US-MillenniumChallengeCorporation-Seal.png" TargetMode="External"/><Relationship Id="rId3503" Type="http://schemas.openxmlformats.org/officeDocument/2006/relationships/hyperlink" Target="https://community.max.gov/download/attachments/992346725/ATO.Letter_Salesforce_NSF_5.3.18.pdf?api=v2" TargetMode="External"/><Relationship Id="rId33" Type="http://schemas.openxmlformats.org/officeDocument/2006/relationships/hyperlink" Target="https://www.synaptic.att.com/clouduser/" TargetMode="External"/><Relationship Id="rId3506" Type="http://schemas.openxmlformats.org/officeDocument/2006/relationships/hyperlink" Target="https://marketplace.fedramp.gov/img/logos/Agency_logos/NSF.png" TargetMode="External"/><Relationship Id="rId32" Type="http://schemas.openxmlformats.org/officeDocument/2006/relationships/hyperlink" Target="https://community.max.gov/download/attachments/1116602812/P-ATO_ATT_07.18.13.pdf?api=v2" TargetMode="External"/><Relationship Id="rId3505" Type="http://schemas.openxmlformats.org/officeDocument/2006/relationships/hyperlink" Target="https://marketplace.fedramp.gov/img/logos/CSP_logos/Salesforce%20Logo.jpg" TargetMode="External"/><Relationship Id="rId35" Type="http://schemas.openxmlformats.org/officeDocument/2006/relationships/hyperlink" Target="https://community.max.gov/download/attachments/1155204077/ATO.Letter_ATTAGC_DOI_07.19.13.pdf?api=v2" TargetMode="External"/><Relationship Id="rId3508" Type="http://schemas.openxmlformats.org/officeDocument/2006/relationships/hyperlink" Target="https://community.max.gov/download/attachments/1155203545/ATO.Letter_GovDelivery_DoC_USPTO_4.17.18.pdf?api=v2" TargetMode="External"/><Relationship Id="rId34" Type="http://schemas.openxmlformats.org/officeDocument/2006/relationships/hyperlink" Target="https://community.max.gov/x/aY5VJQ" TargetMode="External"/><Relationship Id="rId3507" Type="http://schemas.openxmlformats.org/officeDocument/2006/relationships/hyperlink" Target="https://community.max.gov/x/FgQpLg" TargetMode="External"/><Relationship Id="rId3509" Type="http://schemas.openxmlformats.org/officeDocument/2006/relationships/hyperlink" Target="http://www.granicus.com" TargetMode="External"/><Relationship Id="rId37" Type="http://schemas.openxmlformats.org/officeDocument/2006/relationships/hyperlink" Target="https://marketplace.fedramp.gov/img/logos/Agency_logos/US-DeptOfTheInterior-Seal.png" TargetMode="External"/><Relationship Id="rId36" Type="http://schemas.openxmlformats.org/officeDocument/2006/relationships/hyperlink" Target="https://www.synaptic.att.com/clouduser/" TargetMode="External"/><Relationship Id="rId39" Type="http://schemas.openxmlformats.org/officeDocument/2006/relationships/hyperlink" Target="https://community.max.gov/download/attachments/1155204092/P-ATO_ARC-P_12.26.12.pdf?api=v2" TargetMode="External"/><Relationship Id="rId38" Type="http://schemas.openxmlformats.org/officeDocument/2006/relationships/hyperlink" Target="https://community.max.gov/x/bI5VJQ" TargetMode="External"/><Relationship Id="rId3500" Type="http://schemas.openxmlformats.org/officeDocument/2006/relationships/hyperlink" Target="https://marketplace.fedramp.gov/img/logos/CSP_logos/Amazon%20Logo.jpg" TargetMode="External"/><Relationship Id="rId2203" Type="http://schemas.openxmlformats.org/officeDocument/2006/relationships/hyperlink" Target="https://marketplace.fedramp.gov/img/logos/Agency_logos/US-DeptOfTheTreasury-Seal.png" TargetMode="External"/><Relationship Id="rId3535" Type="http://schemas.openxmlformats.org/officeDocument/2006/relationships/hyperlink" Target="https://marketplace.fedramp.gov/img/logos/CSP_logos/AINS%20Logo.jpg" TargetMode="External"/><Relationship Id="rId2204" Type="http://schemas.openxmlformats.org/officeDocument/2006/relationships/hyperlink" Target="https://community.max.gov/x/GATJO" TargetMode="External"/><Relationship Id="rId3534" Type="http://schemas.openxmlformats.org/officeDocument/2006/relationships/hyperlink" Target="http://www.ains.com" TargetMode="External"/><Relationship Id="rId20" Type="http://schemas.openxmlformats.org/officeDocument/2006/relationships/hyperlink" Target="https://marketplace.fedramp.gov/img/logos/Agency_logos/US-DeptOfTheInterior-Seal.png" TargetMode="External"/><Relationship Id="rId2205" Type="http://schemas.openxmlformats.org/officeDocument/2006/relationships/hyperlink" Target="https://community.max.gov/download/attachments/1153174344/ATO.Letter_Datapipe_NSF_03.30.17.pdf?api=v2" TargetMode="External"/><Relationship Id="rId3537" Type="http://schemas.openxmlformats.org/officeDocument/2006/relationships/hyperlink" Target="https://community.max.gov/x/XofzRQ" TargetMode="External"/><Relationship Id="rId2206" Type="http://schemas.openxmlformats.org/officeDocument/2006/relationships/hyperlink" Target="http://www.rackspace.com/government" TargetMode="External"/><Relationship Id="rId3536" Type="http://schemas.openxmlformats.org/officeDocument/2006/relationships/hyperlink" Target="https://marketplace.fedramp.gov/img/logos/Agency_logos/US-DeptOfAgriculture-Seal2.png" TargetMode="External"/><Relationship Id="rId22" Type="http://schemas.openxmlformats.org/officeDocument/2006/relationships/hyperlink" Target="https://community.max.gov/download/attachments/1113425425/ATO.Letter_AWS.GC_DOD_08.16.13.pdf?api=v2" TargetMode="External"/><Relationship Id="rId2207" Type="http://schemas.openxmlformats.org/officeDocument/2006/relationships/hyperlink" Target="https://marketplace.fedramp.gov/img/logos/CSP_logos/Rackspace%20Logo.jpg" TargetMode="External"/><Relationship Id="rId3539" Type="http://schemas.openxmlformats.org/officeDocument/2006/relationships/hyperlink" Target="http://mlinqs.net" TargetMode="External"/><Relationship Id="rId21" Type="http://schemas.openxmlformats.org/officeDocument/2006/relationships/hyperlink" Target="https://community.max.gov/x/ApBJK" TargetMode="External"/><Relationship Id="rId2208" Type="http://schemas.openxmlformats.org/officeDocument/2006/relationships/hyperlink" Target="https://marketplace.fedramp.gov/img/logos/Agency_logos/NSF.png" TargetMode="External"/><Relationship Id="rId3538" Type="http://schemas.openxmlformats.org/officeDocument/2006/relationships/hyperlink" Target="https://community.max.gov/download/attachments/1094157332/ATO.Letter_mLINQS_USDA_10.11.17.pdf?api=v2" TargetMode="External"/><Relationship Id="rId24" Type="http://schemas.openxmlformats.org/officeDocument/2006/relationships/hyperlink" Target="https://marketplace.fedramp.gov/img/logos/CSP_logos/Amazon%20Logo.jpg" TargetMode="External"/><Relationship Id="rId2209" Type="http://schemas.openxmlformats.org/officeDocument/2006/relationships/hyperlink" Target="https://community.max.gov/x/3JC6L" TargetMode="External"/><Relationship Id="rId23" Type="http://schemas.openxmlformats.org/officeDocument/2006/relationships/hyperlink" Target="http://www.aws.amazon.com" TargetMode="External"/><Relationship Id="rId26" Type="http://schemas.openxmlformats.org/officeDocument/2006/relationships/hyperlink" Target="https://community.max.gov/x/ApBJK" TargetMode="External"/><Relationship Id="rId25" Type="http://schemas.openxmlformats.org/officeDocument/2006/relationships/hyperlink" Target="https://marketplace.fedramp.gov/img/logos/Agency_logos/United_States_Department_of_Defense_Seal.png" TargetMode="External"/><Relationship Id="rId28" Type="http://schemas.openxmlformats.org/officeDocument/2006/relationships/hyperlink" Target="http://www.aws.amazon.com" TargetMode="External"/><Relationship Id="rId27" Type="http://schemas.openxmlformats.org/officeDocument/2006/relationships/hyperlink" Target="https://community.max.gov/download/attachments/1113425425/ATO.Letter_AWS.GC_MCC_05.01.13.pdf?api=v2" TargetMode="External"/><Relationship Id="rId3531" Type="http://schemas.openxmlformats.org/officeDocument/2006/relationships/hyperlink" Target="https://marketplace.fedramp.gov/img/logos/Agency_logos/US-DeptOfAgriculture-Seal2.png" TargetMode="External"/><Relationship Id="rId29" Type="http://schemas.openxmlformats.org/officeDocument/2006/relationships/hyperlink" Target="https://marketplace.fedramp.gov/img/logos/CSP_logos/Amazon%20Logo.jpg" TargetMode="External"/><Relationship Id="rId2200" Type="http://schemas.openxmlformats.org/officeDocument/2006/relationships/hyperlink" Target="https://community.max.gov/download/attachments/1153174344/ATO.Letter_Datapipe_DoT_IRS_03.29.17.pdf?api=v2" TargetMode="External"/><Relationship Id="rId3530" Type="http://schemas.openxmlformats.org/officeDocument/2006/relationships/hyperlink" Target="https://marketplace.fedramp.gov/img/logos/CSP_logos/Microsoft%20Logo.jpg" TargetMode="External"/><Relationship Id="rId2201" Type="http://schemas.openxmlformats.org/officeDocument/2006/relationships/hyperlink" Target="http://www.rackspace.com/government" TargetMode="External"/><Relationship Id="rId3533" Type="http://schemas.openxmlformats.org/officeDocument/2006/relationships/hyperlink" Target="https://community.max.gov/download/attachments/992346622/ATO.Letter_AINS_USDA_1.9.18.pdf?api=v2" TargetMode="External"/><Relationship Id="rId2202" Type="http://schemas.openxmlformats.org/officeDocument/2006/relationships/hyperlink" Target="https://marketplace.fedramp.gov/img/logos/CSP_logos/Rackspace%20Logo.jpg" TargetMode="External"/><Relationship Id="rId3532" Type="http://schemas.openxmlformats.org/officeDocument/2006/relationships/hyperlink" Target="https://community.max.gov/x/FgnEJg" TargetMode="External"/><Relationship Id="rId3524" Type="http://schemas.openxmlformats.org/officeDocument/2006/relationships/hyperlink" Target="http://www.socrata.com" TargetMode="External"/><Relationship Id="rId3523" Type="http://schemas.openxmlformats.org/officeDocument/2006/relationships/hyperlink" Target="https://community.max.gov/download/attachments/1077020007/ATO.Letter_Socrata_FCC_4.27.18.pdf?api=v2" TargetMode="External"/><Relationship Id="rId3526" Type="http://schemas.openxmlformats.org/officeDocument/2006/relationships/hyperlink" Target="https://marketplace.fedramp.gov/img/logos/Agency_logos/US-FCC-Seal.png" TargetMode="External"/><Relationship Id="rId3525" Type="http://schemas.openxmlformats.org/officeDocument/2006/relationships/hyperlink" Target="https://marketplace.fedramp.gov/img/logos/CSP_logos/Socrata%20Logo%201.jpg" TargetMode="External"/><Relationship Id="rId11" Type="http://schemas.openxmlformats.org/officeDocument/2006/relationships/hyperlink" Target="https://community.max.gov/x/DpBJK" TargetMode="External"/><Relationship Id="rId3528" Type="http://schemas.openxmlformats.org/officeDocument/2006/relationships/hyperlink" Target="https://community.max.gov/download/attachments/1155204218/ATO.Letter_MSAzure_USDA_1.9.18.pdf?api=v2" TargetMode="External"/><Relationship Id="rId10" Type="http://schemas.openxmlformats.org/officeDocument/2006/relationships/hyperlink" Target="https://marketplace.fedramp.gov/img/logos/Agency_logos/Seal_of_the_United_States_Department_of_Homeland_Security.png" TargetMode="External"/><Relationship Id="rId3527" Type="http://schemas.openxmlformats.org/officeDocument/2006/relationships/hyperlink" Target="https://community.max.gov/display/FedRAMPExternal/MS+Azure+ATO+Letters" TargetMode="External"/><Relationship Id="rId13" Type="http://schemas.openxmlformats.org/officeDocument/2006/relationships/hyperlink" Target="http://www.aws.amazon.com" TargetMode="External"/><Relationship Id="rId12" Type="http://schemas.openxmlformats.org/officeDocument/2006/relationships/hyperlink" Target="https://community.max.gov/download/attachments/956630881/MyUSAID%20Tibbr%20Certification%202017%20signed.pdf?api=v2" TargetMode="External"/><Relationship Id="rId3529" Type="http://schemas.openxmlformats.org/officeDocument/2006/relationships/hyperlink" Target="http://azure.microsoft.com/en-us/" TargetMode="External"/><Relationship Id="rId15" Type="http://schemas.openxmlformats.org/officeDocument/2006/relationships/hyperlink" Target="https://marketplace.fedramp.gov/img/logos/Agency_logos/US-DeptOfHHS-Seal.png" TargetMode="External"/><Relationship Id="rId14" Type="http://schemas.openxmlformats.org/officeDocument/2006/relationships/hyperlink" Target="https://marketplace.fedramp.gov/img/logos/CSP_logos/Amazon%20Logo.jpg" TargetMode="External"/><Relationship Id="rId17" Type="http://schemas.openxmlformats.org/officeDocument/2006/relationships/hyperlink" Target="https://community.max.gov/download/attachments/1113425425/ATO.Letter_AWSGC_DOI_07.19.13.pdf?api=v2" TargetMode="External"/><Relationship Id="rId16" Type="http://schemas.openxmlformats.org/officeDocument/2006/relationships/hyperlink" Target="https://community.max.gov/x/DpBJK" TargetMode="External"/><Relationship Id="rId19" Type="http://schemas.openxmlformats.org/officeDocument/2006/relationships/hyperlink" Target="https://marketplace.fedramp.gov/img/logos/CSP_logos/Amazon%20Logo.jpg" TargetMode="External"/><Relationship Id="rId3520" Type="http://schemas.openxmlformats.org/officeDocument/2006/relationships/hyperlink" Target="https://marketplace.fedramp.gov/img/logos/CSP_logos/Adobe%20Logo.jpg" TargetMode="External"/><Relationship Id="rId18" Type="http://schemas.openxmlformats.org/officeDocument/2006/relationships/hyperlink" Target="http://www.aws.amazon.com" TargetMode="External"/><Relationship Id="rId3522" Type="http://schemas.openxmlformats.org/officeDocument/2006/relationships/hyperlink" Target="https://community.max.gov/x/XQUyQ" TargetMode="External"/><Relationship Id="rId3521" Type="http://schemas.openxmlformats.org/officeDocument/2006/relationships/hyperlink" Target="https://marketplace.fedramp.gov/img/logos/Agency_logos/BBG%20Logo.jpg" TargetMode="External"/><Relationship Id="rId84" Type="http://schemas.openxmlformats.org/officeDocument/2006/relationships/hyperlink" Target="https://community.max.gov/x/cKF3Jg" TargetMode="External"/><Relationship Id="rId1774" Type="http://schemas.openxmlformats.org/officeDocument/2006/relationships/hyperlink" Target="http://www.fedhrnavigator.com/" TargetMode="External"/><Relationship Id="rId83" Type="http://schemas.openxmlformats.org/officeDocument/2006/relationships/hyperlink" Target="https://marketplace.fedramp.gov/img/logos/CSP_logos/DXC%20Logo.jpg" TargetMode="External"/><Relationship Id="rId1775" Type="http://schemas.openxmlformats.org/officeDocument/2006/relationships/hyperlink" Target="https://marketplace.fedramp.gov/img/logos/CSP_logos/EconSys%20Logo.jpg" TargetMode="External"/><Relationship Id="rId86" Type="http://schemas.openxmlformats.org/officeDocument/2006/relationships/hyperlink" Target="https://marketplace.fedramp.gov/img/logos/CSP_logos/DXC%20Logo.jpg" TargetMode="External"/><Relationship Id="rId1776" Type="http://schemas.openxmlformats.org/officeDocument/2006/relationships/hyperlink" Target="https://marketplace.fedramp.gov/img/logos/Agency_logos/US-DeptOfEnergy-Seal.png" TargetMode="External"/><Relationship Id="rId85" Type="http://schemas.openxmlformats.org/officeDocument/2006/relationships/hyperlink" Target="https://community.max.gov/download/attachments/1256458086/ATO.Letter_HPEHelion_DOI_07.19.13.pdf?api=v2" TargetMode="External"/><Relationship Id="rId1777" Type="http://schemas.openxmlformats.org/officeDocument/2006/relationships/hyperlink" Target="https://community.max.gov/x/GBU6Jg" TargetMode="External"/><Relationship Id="rId88" Type="http://schemas.openxmlformats.org/officeDocument/2006/relationships/hyperlink" Target="https://community.max.gov/x/AxXrJQ" TargetMode="External"/><Relationship Id="rId1778" Type="http://schemas.openxmlformats.org/officeDocument/2006/relationships/hyperlink" Target="https://community.max.gov/download/attachments/1155203596/ATO.Letter_IBMMaaS360_FDIC_08.25.16.pdf?api=v2" TargetMode="External"/><Relationship Id="rId87" Type="http://schemas.openxmlformats.org/officeDocument/2006/relationships/hyperlink" Target="https://marketplace.fedramp.gov/img/logos/Agency_logos/US-DeptOfTheInterior-Seal.png" TargetMode="External"/><Relationship Id="rId1779" Type="http://schemas.openxmlformats.org/officeDocument/2006/relationships/hyperlink" Target="http://www.maas360.com" TargetMode="External"/><Relationship Id="rId89" Type="http://schemas.openxmlformats.org/officeDocument/2006/relationships/hyperlink" Target="https://community.max.gov/download/attachments/1155203731/P-ATO_LM_06.05.13.pdf?api=v2" TargetMode="External"/><Relationship Id="rId80" Type="http://schemas.openxmlformats.org/officeDocument/2006/relationships/hyperlink" Target="https://marketplace.fedramp.gov/img/logos/Agency_logos/Seal_of_the_United_States_Department_of_Homeland_Security.png" TargetMode="External"/><Relationship Id="rId82" Type="http://schemas.openxmlformats.org/officeDocument/2006/relationships/hyperlink" Target="https://community.max.gov/download/attachments/1155203563/P-ATO_HPE.Helion_06.05.13.pdf?api=v2" TargetMode="External"/><Relationship Id="rId81" Type="http://schemas.openxmlformats.org/officeDocument/2006/relationships/hyperlink" Target="https://community.max.gov/x/cKF3Jg" TargetMode="External"/><Relationship Id="rId1770" Type="http://schemas.openxmlformats.org/officeDocument/2006/relationships/hyperlink" Target="https://marketplace.fedramp.gov/img/logos/CSP_logos/Cornerstone%20Logo.jpg" TargetMode="External"/><Relationship Id="rId1771" Type="http://schemas.openxmlformats.org/officeDocument/2006/relationships/hyperlink" Target="https://marketplace.fedramp.gov/img/logos/Agency_logos/US-DeptOfCommerce-Seal.png" TargetMode="External"/><Relationship Id="rId1772" Type="http://schemas.openxmlformats.org/officeDocument/2006/relationships/hyperlink" Target="https://community.max.gov/x/eoVSJw" TargetMode="External"/><Relationship Id="rId1773" Type="http://schemas.openxmlformats.org/officeDocument/2006/relationships/hyperlink" Target="https://community.max.gov/download/attachments/1155203360/ATO.Letter_EconSys_DoE_06.03.16.pdf?api=v2" TargetMode="External"/><Relationship Id="rId73" Type="http://schemas.openxmlformats.org/officeDocument/2006/relationships/hyperlink" Target="http://www.cgi.com" TargetMode="External"/><Relationship Id="rId1763" Type="http://schemas.openxmlformats.org/officeDocument/2006/relationships/hyperlink" Target="http://www.fedhrnavigator.com/" TargetMode="External"/><Relationship Id="rId72" Type="http://schemas.openxmlformats.org/officeDocument/2006/relationships/hyperlink" Target="https://community.max.gov/download/attachments/1116602747/ATO.Letter_CGI.FC_RRB_09.30.13.pdf?api=v2" TargetMode="External"/><Relationship Id="rId1764" Type="http://schemas.openxmlformats.org/officeDocument/2006/relationships/hyperlink" Target="https://marketplace.fedramp.gov/img/logos/CSP_logos/EconSys%20Logo.jpg" TargetMode="External"/><Relationship Id="rId75" Type="http://schemas.openxmlformats.org/officeDocument/2006/relationships/hyperlink" Target="https://marketplace.fedramp.gov/img/logos/Agency_logos/Railroadretirementboardlogo-color.png" TargetMode="External"/><Relationship Id="rId1765" Type="http://schemas.openxmlformats.org/officeDocument/2006/relationships/hyperlink" Target="https://marketplace.fedramp.gov/img/logos/Agency_logos/PBGC%20logo.png" TargetMode="External"/><Relationship Id="rId74" Type="http://schemas.openxmlformats.org/officeDocument/2006/relationships/hyperlink" Target="https://marketplace.fedramp.gov/img/logos/CSP_logos/CGI%20Federal.jpg" TargetMode="External"/><Relationship Id="rId1766" Type="http://schemas.openxmlformats.org/officeDocument/2006/relationships/hyperlink" Target="https://community.max.gov/x/fgIhMg" TargetMode="External"/><Relationship Id="rId77" Type="http://schemas.openxmlformats.org/officeDocument/2006/relationships/hyperlink" Target="https://community.max.gov/download/attachments/1256457959/ATO.Letter_CGI_DHS_7.22.13.pdf?api=v2" TargetMode="External"/><Relationship Id="rId1767" Type="http://schemas.openxmlformats.org/officeDocument/2006/relationships/hyperlink" Target="https://community.max.gov/download/attachments/779322013/ATO.Letter_Cornerstone_DoC_NTIS_05.12.16.pdf?api=v2" TargetMode="External"/><Relationship Id="rId76" Type="http://schemas.openxmlformats.org/officeDocument/2006/relationships/hyperlink" Target="https://community.max.gov/x/VJM5JQ" TargetMode="External"/><Relationship Id="rId1768" Type="http://schemas.openxmlformats.org/officeDocument/2006/relationships/hyperlink" Target="mailto:DToy@csod.com" TargetMode="External"/><Relationship Id="rId79" Type="http://schemas.openxmlformats.org/officeDocument/2006/relationships/hyperlink" Target="https://marketplace.fedramp.gov/img/logos/CSP_logos/CGI%20Federal.jpg" TargetMode="External"/><Relationship Id="rId1769" Type="http://schemas.openxmlformats.org/officeDocument/2006/relationships/hyperlink" Target="http://www.cornerstoneondemand.com/" TargetMode="External"/><Relationship Id="rId78" Type="http://schemas.openxmlformats.org/officeDocument/2006/relationships/hyperlink" Target="http://www.cgi.com" TargetMode="External"/><Relationship Id="rId71" Type="http://schemas.openxmlformats.org/officeDocument/2006/relationships/hyperlink" Target="https://community.max.gov/x/VJM5JQ" TargetMode="External"/><Relationship Id="rId70" Type="http://schemas.openxmlformats.org/officeDocument/2006/relationships/hyperlink" Target="https://marketplace.fedramp.gov/img/logos/Agency_logos/US-FederalTradeCommission-Seal.png" TargetMode="External"/><Relationship Id="rId1760" Type="http://schemas.openxmlformats.org/officeDocument/2006/relationships/hyperlink" Target="https://marketplace.fedramp.gov/img/logos/Agency_logos/US-DeptOfCommerce-Seal.png" TargetMode="External"/><Relationship Id="rId1761" Type="http://schemas.openxmlformats.org/officeDocument/2006/relationships/hyperlink" Target="https://community.max.gov/x/eoVSJw" TargetMode="External"/><Relationship Id="rId1762" Type="http://schemas.openxmlformats.org/officeDocument/2006/relationships/hyperlink" Target="https://community.max.gov/download/attachments/1256458014/ATO.Letter_EconSys_PBGC_03.29.16.pdf?api=v2" TargetMode="External"/><Relationship Id="rId62" Type="http://schemas.openxmlformats.org/officeDocument/2006/relationships/hyperlink" Target="https://community.max.gov/download/attachments/1256457959/ATO.Letter_CGI_DOI_07.19.13.pdf?api=v2" TargetMode="External"/><Relationship Id="rId1796" Type="http://schemas.openxmlformats.org/officeDocument/2006/relationships/hyperlink" Target="https://marketplace.fedramp.gov/img/logos/Agency_logos/US-DeptOfHUD-Seal.png" TargetMode="External"/><Relationship Id="rId61" Type="http://schemas.openxmlformats.org/officeDocument/2006/relationships/hyperlink" Target="https://community.max.gov/x/VJM5JQ" TargetMode="External"/><Relationship Id="rId1797" Type="http://schemas.openxmlformats.org/officeDocument/2006/relationships/hyperlink" Target="https://community.max.gov/x/RgLbR" TargetMode="External"/><Relationship Id="rId64" Type="http://schemas.openxmlformats.org/officeDocument/2006/relationships/hyperlink" Target="https://marketplace.fedramp.gov/img/logos/CSP_logos/CGI%20Federal.jpg" TargetMode="External"/><Relationship Id="rId1798" Type="http://schemas.openxmlformats.org/officeDocument/2006/relationships/hyperlink" Target="https://community.max.gov/download/attachments/1256458204/ATO.Letter_DoD_DHMS_07.09.16.pdf?api=v2" TargetMode="External"/><Relationship Id="rId63" Type="http://schemas.openxmlformats.org/officeDocument/2006/relationships/hyperlink" Target="http://www.cgi.com" TargetMode="External"/><Relationship Id="rId1799" Type="http://schemas.openxmlformats.org/officeDocument/2006/relationships/hyperlink" Target="http://www-01.ibm.com/software/lotus/cloud/government/" TargetMode="External"/><Relationship Id="rId66" Type="http://schemas.openxmlformats.org/officeDocument/2006/relationships/hyperlink" Target="https://community.max.gov/x/VJM5JQ" TargetMode="External"/><Relationship Id="rId65" Type="http://schemas.openxmlformats.org/officeDocument/2006/relationships/hyperlink" Target="https://marketplace.fedramp.gov/img/logos/Agency_logos/US-DeptOfTheInterior-Seal.png" TargetMode="External"/><Relationship Id="rId68" Type="http://schemas.openxmlformats.org/officeDocument/2006/relationships/hyperlink" Target="http://www.cgi.com" TargetMode="External"/><Relationship Id="rId67" Type="http://schemas.openxmlformats.org/officeDocument/2006/relationships/hyperlink" Target="https://community.max.gov/download/attachments/1116602747/ATO.Letter_CGI.FC_FTC_09.11.13.pdf?api=v2" TargetMode="External"/><Relationship Id="rId60" Type="http://schemas.openxmlformats.org/officeDocument/2006/relationships/hyperlink" Target="https://marketplace.fedramp.gov/img/logos/Agency_logos/Seal_of_the_United_States_Department_of_Homeland_Security.png" TargetMode="External"/><Relationship Id="rId69" Type="http://schemas.openxmlformats.org/officeDocument/2006/relationships/hyperlink" Target="https://marketplace.fedramp.gov/img/logos/CSP_logos/CGI%20Federal.jpg" TargetMode="External"/><Relationship Id="rId1790" Type="http://schemas.openxmlformats.org/officeDocument/2006/relationships/hyperlink" Target="https://marketplace.fedramp.gov/img/logos/CSP_logos/Salesforce%20Logo.jpg" TargetMode="External"/><Relationship Id="rId1791" Type="http://schemas.openxmlformats.org/officeDocument/2006/relationships/hyperlink" Target="https://marketplace.fedramp.gov/img/logos/Agency_logos/US-DeptOfHUD-Seal.png" TargetMode="External"/><Relationship Id="rId1792" Type="http://schemas.openxmlformats.org/officeDocument/2006/relationships/hyperlink" Target="https://community.max.gov/x/wgmOJQ" TargetMode="External"/><Relationship Id="rId1793" Type="http://schemas.openxmlformats.org/officeDocument/2006/relationships/hyperlink" Target="https://community.max.gov/download/attachments/1116602815/ATO.Letter_Akamai_HUD_02.15.16.pdf?api=v2" TargetMode="External"/><Relationship Id="rId1794" Type="http://schemas.openxmlformats.org/officeDocument/2006/relationships/hyperlink" Target="http://www.akamai.com" TargetMode="External"/><Relationship Id="rId1795" Type="http://schemas.openxmlformats.org/officeDocument/2006/relationships/hyperlink" Target="https://marketplace.fedramp.gov/img/logos/CSP_logos/Akamai%20Logo.jpg" TargetMode="External"/><Relationship Id="rId51" Type="http://schemas.openxmlformats.org/officeDocument/2006/relationships/hyperlink" Target="https://community.max.gov/x/VJM5JQ" TargetMode="External"/><Relationship Id="rId1785" Type="http://schemas.openxmlformats.org/officeDocument/2006/relationships/hyperlink" Target="https://marketplace.fedramp.gov/img/logos/CSP_logos/Microsoft%20Logo.jpg" TargetMode="External"/><Relationship Id="rId50" Type="http://schemas.openxmlformats.org/officeDocument/2006/relationships/hyperlink" Target="https://marketplace.fedramp.gov/img/logos/CSP_logos/CGI%20Federal.jpg" TargetMode="External"/><Relationship Id="rId1786" Type="http://schemas.openxmlformats.org/officeDocument/2006/relationships/hyperlink" Target="https://marketplace.fedramp.gov/img/logos/Agency_logos/768px-US-DeptOfTransportation-Seal.svg.png" TargetMode="External"/><Relationship Id="rId53" Type="http://schemas.openxmlformats.org/officeDocument/2006/relationships/hyperlink" Target="http://www.cgi.com" TargetMode="External"/><Relationship Id="rId1787" Type="http://schemas.openxmlformats.org/officeDocument/2006/relationships/hyperlink" Target="https://community.max.gov/x/eQs3Kw" TargetMode="External"/><Relationship Id="rId52" Type="http://schemas.openxmlformats.org/officeDocument/2006/relationships/hyperlink" Target="https://community.max.gov/download/attachments/1256457959/ATO.Letter_CGI.FC_USCFA_07.19.13.pdf?api=v2" TargetMode="External"/><Relationship Id="rId1788" Type="http://schemas.openxmlformats.org/officeDocument/2006/relationships/hyperlink" Target="https://community.max.gov/download/attachments/992346725/ATO.Letter_Salesforce_HUD_02.15.16.pdf?api=v2" TargetMode="External"/><Relationship Id="rId55" Type="http://schemas.openxmlformats.org/officeDocument/2006/relationships/hyperlink" Target="https://marketplace.fedramp.gov/img/logos/Agency_logos/United_States_Commission_of_Fine_Arts_-_seal.png" TargetMode="External"/><Relationship Id="rId1789" Type="http://schemas.openxmlformats.org/officeDocument/2006/relationships/hyperlink" Target="http://www.salesforce.com/industries/public-sector" TargetMode="External"/><Relationship Id="rId54" Type="http://schemas.openxmlformats.org/officeDocument/2006/relationships/hyperlink" Target="https://marketplace.fedramp.gov/img/logos/CSP_logos/CGI%20Federal.jpg" TargetMode="External"/><Relationship Id="rId57" Type="http://schemas.openxmlformats.org/officeDocument/2006/relationships/hyperlink" Target="https://community.max.gov/download/attachments/1116602747/ATO.Letter_CGI.FC_DHS_08.20.13.pdf?api=v2" TargetMode="External"/><Relationship Id="rId56" Type="http://schemas.openxmlformats.org/officeDocument/2006/relationships/hyperlink" Target="https://community.max.gov/x/VJM5JQ" TargetMode="External"/><Relationship Id="rId59" Type="http://schemas.openxmlformats.org/officeDocument/2006/relationships/hyperlink" Target="https://marketplace.fedramp.gov/img/logos/CSP_logos/CGI%20Federal.jpg" TargetMode="External"/><Relationship Id="rId58" Type="http://schemas.openxmlformats.org/officeDocument/2006/relationships/hyperlink" Target="http://www.cgi.com" TargetMode="External"/><Relationship Id="rId1780" Type="http://schemas.openxmlformats.org/officeDocument/2006/relationships/hyperlink" Target="https://marketplace.fedramp.gov/img/logos/CSP_logos/MaaS360%20Logo.jpg" TargetMode="External"/><Relationship Id="rId1781" Type="http://schemas.openxmlformats.org/officeDocument/2006/relationships/hyperlink" Target="https://marketplace.fedramp.gov/img/logos/Agency_logos/FDIC%20Logo.jpg" TargetMode="External"/><Relationship Id="rId1782" Type="http://schemas.openxmlformats.org/officeDocument/2006/relationships/hyperlink" Target="https://community.max.gov/x/3JC6L" TargetMode="External"/><Relationship Id="rId1783" Type="http://schemas.openxmlformats.org/officeDocument/2006/relationships/hyperlink" Target="https://community.max.gov/download/attachments/992346706/ATO.Letter_MSO365_DoT_06.29.16.pdf?api=v2" TargetMode="External"/><Relationship Id="rId1784" Type="http://schemas.openxmlformats.org/officeDocument/2006/relationships/hyperlink" Target="http://www.microsoft.office.com" TargetMode="External"/><Relationship Id="rId2269" Type="http://schemas.openxmlformats.org/officeDocument/2006/relationships/hyperlink" Target="https://marketplace.fedramp.gov/img/logos/CSP_logos/Huddle%20Logo.jpg" TargetMode="External"/><Relationship Id="rId349" Type="http://schemas.openxmlformats.org/officeDocument/2006/relationships/hyperlink" Target="https://marketplace.fedramp.gov/img/logos/CSP_logos/Adobe%20Logo.jpg" TargetMode="External"/><Relationship Id="rId348" Type="http://schemas.openxmlformats.org/officeDocument/2006/relationships/hyperlink" Target="http://www.adobe.com" TargetMode="External"/><Relationship Id="rId347" Type="http://schemas.openxmlformats.org/officeDocument/2006/relationships/hyperlink" Target="https://community.max.gov/download/attachments/921272705/ATO.Letter_Adobe.AEMMS.GC_HHS_07.09.15.pdf?api=v2" TargetMode="External"/><Relationship Id="rId346" Type="http://schemas.openxmlformats.org/officeDocument/2006/relationships/hyperlink" Target="https://community.max.gov/x/WIHpNg" TargetMode="External"/><Relationship Id="rId3591" Type="http://schemas.openxmlformats.org/officeDocument/2006/relationships/hyperlink" Target="https://marketplace.fedramp.gov/img/logos/Agency_logos/US-DeptOfTheTreasury-Seal.png" TargetMode="External"/><Relationship Id="rId2260" Type="http://schemas.openxmlformats.org/officeDocument/2006/relationships/hyperlink" Target="https://marketplace.fedramp.gov/img/logos/Agency_logos/US-DeptOfCommerce-Seal.png" TargetMode="External"/><Relationship Id="rId3590" Type="http://schemas.openxmlformats.org/officeDocument/2006/relationships/hyperlink" Target="https://marketplace.fedramp.gov/img/logos/CSP_logos/SAP%20NS2%20Logo1.jpg" TargetMode="External"/><Relationship Id="rId341" Type="http://schemas.openxmlformats.org/officeDocument/2006/relationships/hyperlink" Target="https://community.max.gov/x/nYHpNg" TargetMode="External"/><Relationship Id="rId2261" Type="http://schemas.openxmlformats.org/officeDocument/2006/relationships/hyperlink" Target="https://community.max.gov/x/nAG9PQ" TargetMode="External"/><Relationship Id="rId3593" Type="http://schemas.openxmlformats.org/officeDocument/2006/relationships/hyperlink" Target="https://community.max.gov/download/attachments/1516308433/ATO.Letter_ProjectHosts_FHFA_OIG_5.31.18.pdf?api=v2" TargetMode="External"/><Relationship Id="rId340" Type="http://schemas.openxmlformats.org/officeDocument/2006/relationships/hyperlink" Target="https://marketplace.fedramp.gov/img/logos/Agency_logos/US-DeptOfHHS-Seal.png" TargetMode="External"/><Relationship Id="rId2262" Type="http://schemas.openxmlformats.org/officeDocument/2006/relationships/hyperlink" Target="https://community.max.gov/download/attachments/1179582858/ATO.Letter_MSCRMOL_DoI_BIA_12.12.16.pdf?api=v2" TargetMode="External"/><Relationship Id="rId3592" Type="http://schemas.openxmlformats.org/officeDocument/2006/relationships/hyperlink" Target="https://community.max.gov/x/EYGKLQ" TargetMode="External"/><Relationship Id="rId2263" Type="http://schemas.openxmlformats.org/officeDocument/2006/relationships/hyperlink" Target="https://www.microsoft.com/en-us/dynamics/public-sector.aspx" TargetMode="External"/><Relationship Id="rId3595" Type="http://schemas.openxmlformats.org/officeDocument/2006/relationships/hyperlink" Target="https://marketplace.fedramp.gov/img/logos/CSP_logos/Project%20Hosts%20Logo.jpg" TargetMode="External"/><Relationship Id="rId2264" Type="http://schemas.openxmlformats.org/officeDocument/2006/relationships/hyperlink" Target="https://marketplace.fedramp.gov/img/logos/CSP_logos/Microsoft%20Logo.jpg" TargetMode="External"/><Relationship Id="rId3594" Type="http://schemas.openxmlformats.org/officeDocument/2006/relationships/hyperlink" Target="http://www.projecthosts.com" TargetMode="External"/><Relationship Id="rId345" Type="http://schemas.openxmlformats.org/officeDocument/2006/relationships/hyperlink" Target="https://marketplace.fedramp.gov/img/logos/Agency_logos/US-DeptOfHHS-Seal.png" TargetMode="External"/><Relationship Id="rId2265" Type="http://schemas.openxmlformats.org/officeDocument/2006/relationships/hyperlink" Target="https://marketplace.fedramp.gov/img/logos/Agency_logos/US-DeptOfTheInterior-Seal.png" TargetMode="External"/><Relationship Id="rId3597" Type="http://schemas.openxmlformats.org/officeDocument/2006/relationships/hyperlink" Target="https://community.max.gov/x/3JC6L" TargetMode="External"/><Relationship Id="rId344" Type="http://schemas.openxmlformats.org/officeDocument/2006/relationships/hyperlink" Target="https://marketplace.fedramp.gov/img/logos/CSP_logos/Adobe%20Logo.jpg" TargetMode="External"/><Relationship Id="rId2266" Type="http://schemas.openxmlformats.org/officeDocument/2006/relationships/hyperlink" Target="https://community.max.gov/x/KoE7Mw" TargetMode="External"/><Relationship Id="rId3596" Type="http://schemas.openxmlformats.org/officeDocument/2006/relationships/hyperlink" Target="https://marketplace.fedramp.gov/img/logos/Agency_logos/FHFA%20Logo.jpg" TargetMode="External"/><Relationship Id="rId343" Type="http://schemas.openxmlformats.org/officeDocument/2006/relationships/hyperlink" Target="http://www.adobe.com" TargetMode="External"/><Relationship Id="rId2267" Type="http://schemas.openxmlformats.org/officeDocument/2006/relationships/hyperlink" Target="https://community.max.gov/download/attachments/992346693/ATO.Letter_Huddle_DoC_NIST_03.03.17.pdf?api=v2" TargetMode="External"/><Relationship Id="rId3599" Type="http://schemas.openxmlformats.org/officeDocument/2006/relationships/hyperlink" Target="http://www.microsoft.office.com" TargetMode="External"/><Relationship Id="rId342" Type="http://schemas.openxmlformats.org/officeDocument/2006/relationships/hyperlink" Target="https://community.max.gov/download/attachments/921272752/ATO.Letter_Adobe.AEMMS.EW_HHS_07.09.15.pdf?api=v2" TargetMode="External"/><Relationship Id="rId2268" Type="http://schemas.openxmlformats.org/officeDocument/2006/relationships/hyperlink" Target="http://www.huddle.com" TargetMode="External"/><Relationship Id="rId3598" Type="http://schemas.openxmlformats.org/officeDocument/2006/relationships/hyperlink" Target="https://community.max.gov/download/attachments/992346706/ATO.Letter_MSO365_DoT_OCC_5.24.18.pdf?api=v2" TargetMode="External"/><Relationship Id="rId2258" Type="http://schemas.openxmlformats.org/officeDocument/2006/relationships/hyperlink" Target="http://azure.microsoft.com/en-us/" TargetMode="External"/><Relationship Id="rId2259" Type="http://schemas.openxmlformats.org/officeDocument/2006/relationships/hyperlink" Target="https://marketplace.fedramp.gov/img/logos/CSP_logos/Microsoft%20Logo.jpg" TargetMode="External"/><Relationship Id="rId3589" Type="http://schemas.openxmlformats.org/officeDocument/2006/relationships/hyperlink" Target="https://www.sapns2.com/cloud/" TargetMode="External"/><Relationship Id="rId338" Type="http://schemas.openxmlformats.org/officeDocument/2006/relationships/hyperlink" Target="http://www.adobe.com" TargetMode="External"/><Relationship Id="rId337" Type="http://schemas.openxmlformats.org/officeDocument/2006/relationships/hyperlink" Target="https://community.max.gov/download/attachments/921272709/ATO.Letter_Adobe.ACMS.GC_HHS_07.09.15.pdf?api=v2" TargetMode="External"/><Relationship Id="rId336" Type="http://schemas.openxmlformats.org/officeDocument/2006/relationships/hyperlink" Target="https://community.max.gov/x/U4HpNg" TargetMode="External"/><Relationship Id="rId335" Type="http://schemas.openxmlformats.org/officeDocument/2006/relationships/hyperlink" Target="https://marketplace.fedramp.gov/img/logos/Agency_logos/US-DeptOfHHS-Seal.png" TargetMode="External"/><Relationship Id="rId3580" Type="http://schemas.openxmlformats.org/officeDocument/2006/relationships/hyperlink" Target="https://marketplace.fedramp.gov/img/logos/CSP_logos/Okta%20Logo.jpg" TargetMode="External"/><Relationship Id="rId339" Type="http://schemas.openxmlformats.org/officeDocument/2006/relationships/hyperlink" Target="https://marketplace.fedramp.gov/img/logos/CSP_logos/Adobe%20Logo.jpg" TargetMode="External"/><Relationship Id="rId330" Type="http://schemas.openxmlformats.org/officeDocument/2006/relationships/hyperlink" Target="https://marketplace.fedramp.gov/img/logos/Agency_logos/US-DeptOfLabor-Seal-AltColors.svg.png" TargetMode="External"/><Relationship Id="rId2250" Type="http://schemas.openxmlformats.org/officeDocument/2006/relationships/hyperlink" Target="https://community.max.gov/x/GBU6Jg" TargetMode="External"/><Relationship Id="rId3582" Type="http://schemas.openxmlformats.org/officeDocument/2006/relationships/hyperlink" Target="https://community.max.gov/x/ZgK0LQ" TargetMode="External"/><Relationship Id="rId2251" Type="http://schemas.openxmlformats.org/officeDocument/2006/relationships/hyperlink" Target="https://community.max.gov/download/attachments/1256458199/ATO.Letter_IBMMaaS360_DoC_NOAA_03.22.17.pdf?api=v2" TargetMode="External"/><Relationship Id="rId3581" Type="http://schemas.openxmlformats.org/officeDocument/2006/relationships/hyperlink" Target="https://marketplace.fedramp.gov/img/logos/Agency_logos/Seal_of_the_United_States_Department_of_Justice.png" TargetMode="External"/><Relationship Id="rId2252" Type="http://schemas.openxmlformats.org/officeDocument/2006/relationships/hyperlink" Target="http://www.maas360.com" TargetMode="External"/><Relationship Id="rId3584" Type="http://schemas.openxmlformats.org/officeDocument/2006/relationships/hyperlink" Target="http://www.mis-sciences.com" TargetMode="External"/><Relationship Id="rId2253" Type="http://schemas.openxmlformats.org/officeDocument/2006/relationships/hyperlink" Target="https://marketplace.fedramp.gov/img/logos/CSP_logos/MaaS360%20Logo.jpg" TargetMode="External"/><Relationship Id="rId3583" Type="http://schemas.openxmlformats.org/officeDocument/2006/relationships/hyperlink" Target="https://community.max.gov/download/attachments/1155203349/ATO.Letter_MIS_DoT_FRA_5.23.18.pdf?api=v2" TargetMode="External"/><Relationship Id="rId334" Type="http://schemas.openxmlformats.org/officeDocument/2006/relationships/hyperlink" Target="https://marketplace.fedramp.gov/img/logos/CSP_logos/Adobe%20Logo.jpg" TargetMode="External"/><Relationship Id="rId2254" Type="http://schemas.openxmlformats.org/officeDocument/2006/relationships/hyperlink" Target="https://marketplace.fedramp.gov/img/logos/Agency_logos/US-DeptOfCommerce-Seal.png" TargetMode="External"/><Relationship Id="rId3586" Type="http://schemas.openxmlformats.org/officeDocument/2006/relationships/hyperlink" Target="https://marketplace.fedramp.gov/img/logos/Agency_logos/768px-US-DeptOfTransportation-Seal.svg.png" TargetMode="External"/><Relationship Id="rId333" Type="http://schemas.openxmlformats.org/officeDocument/2006/relationships/hyperlink" Target="http://www.adobe.com" TargetMode="External"/><Relationship Id="rId2255" Type="http://schemas.openxmlformats.org/officeDocument/2006/relationships/hyperlink" Target="https://community.max.gov/display/FedRAMPExternal/MS+Azure+ATO+Letters" TargetMode="External"/><Relationship Id="rId3585" Type="http://schemas.openxmlformats.org/officeDocument/2006/relationships/hyperlink" Target="https://marketplace.fedramp.gov/img/logos/CSP_logos/MIS%20Sciences%20Logo.jpg" TargetMode="External"/><Relationship Id="rId332" Type="http://schemas.openxmlformats.org/officeDocument/2006/relationships/hyperlink" Target="https://community.max.gov/download/attachments/921272740/ATO.Letter_Adobe.ACMS.EW_HHS_07.09.15.pdf?api=v2" TargetMode="External"/><Relationship Id="rId2256" Type="http://schemas.openxmlformats.org/officeDocument/2006/relationships/hyperlink" Target="https://community.max.gov/download/attachments/1256458242/ATO.Letter_MSAzure_DoC_NOAA_03.22.17.pdf?api=v2" TargetMode="External"/><Relationship Id="rId3588" Type="http://schemas.openxmlformats.org/officeDocument/2006/relationships/hyperlink" Target="https://community.max.gov/download/attachments/1356301811/ATO.Letter_SAPNS2_DoT_IRS_1.12.18.pdf?api=v2" TargetMode="External"/><Relationship Id="rId331" Type="http://schemas.openxmlformats.org/officeDocument/2006/relationships/hyperlink" Target="https://community.max.gov/x/moHpNg" TargetMode="External"/><Relationship Id="rId2257" Type="http://schemas.openxmlformats.org/officeDocument/2006/relationships/hyperlink" Target="mailto:adamsoh@microsoft.com" TargetMode="External"/><Relationship Id="rId3587" Type="http://schemas.openxmlformats.org/officeDocument/2006/relationships/hyperlink" Target="https://community.max.gov/x/XYIVPQ" TargetMode="External"/><Relationship Id="rId370" Type="http://schemas.openxmlformats.org/officeDocument/2006/relationships/hyperlink" Target="https://marketplace.fedramp.gov/img/logos/Agency_logos/US-DeptOfTheTreasury-Seal.png" TargetMode="External"/><Relationship Id="rId369" Type="http://schemas.openxmlformats.org/officeDocument/2006/relationships/hyperlink" Target="https://marketplace.fedramp.gov/img/logos/CSP_logos/Akamai%20Logo.jpg" TargetMode="External"/><Relationship Id="rId368" Type="http://schemas.openxmlformats.org/officeDocument/2006/relationships/hyperlink" Target="http://www.akamai.com" TargetMode="External"/><Relationship Id="rId2280" Type="http://schemas.openxmlformats.org/officeDocument/2006/relationships/hyperlink" Target="https://marketplace.fedramp.gov/img/logos/Agency_logos/Seal_of_the_United_States_Department_of_Justice.png" TargetMode="External"/><Relationship Id="rId2281" Type="http://schemas.openxmlformats.org/officeDocument/2006/relationships/hyperlink" Target="https://community.max.gov/x/tYNBQg" TargetMode="External"/><Relationship Id="rId2282" Type="http://schemas.openxmlformats.org/officeDocument/2006/relationships/hyperlink" Target="https://community.max.gov/download/attachments/1111589860/TKP%20ATO%20Memo%20-2016.pdf?api=v2" TargetMode="External"/><Relationship Id="rId363" Type="http://schemas.openxmlformats.org/officeDocument/2006/relationships/hyperlink" Target="http://www.ains.com" TargetMode="External"/><Relationship Id="rId2283" Type="http://schemas.openxmlformats.org/officeDocument/2006/relationships/hyperlink" Target="http://www.powertrain.com" TargetMode="External"/><Relationship Id="rId362" Type="http://schemas.openxmlformats.org/officeDocument/2006/relationships/hyperlink" Target="https://community.max.gov/download/attachments/779322049/ATO.Letter_AINS_DOD.DISA_3.26.15.pdf?api=v2" TargetMode="External"/><Relationship Id="rId2284" Type="http://schemas.openxmlformats.org/officeDocument/2006/relationships/hyperlink" Target="https://marketplace.fedramp.gov/img/logos/CSP_logos/PowerTrain%20Logo.jpg" TargetMode="External"/><Relationship Id="rId361" Type="http://schemas.openxmlformats.org/officeDocument/2006/relationships/hyperlink" Target="https://community.max.gov/x/FgnEJg" TargetMode="External"/><Relationship Id="rId2285" Type="http://schemas.openxmlformats.org/officeDocument/2006/relationships/hyperlink" Target="https://marketplace.fedramp.gov/img/logos/Agency_logos/US-OfficeOfPersonnelManagement-Seal.png" TargetMode="External"/><Relationship Id="rId360" Type="http://schemas.openxmlformats.org/officeDocument/2006/relationships/hyperlink" Target="https://marketplace.fedramp.gov/img/logos/Agency_logos/US-DeptOfHHS-Seal.png" TargetMode="External"/><Relationship Id="rId2286" Type="http://schemas.openxmlformats.org/officeDocument/2006/relationships/hyperlink" Target="https://community.max.gov/x/FgQpLg" TargetMode="External"/><Relationship Id="rId367" Type="http://schemas.openxmlformats.org/officeDocument/2006/relationships/hyperlink" Target="https://community.max.gov/download/attachments/1256457901/ATO.Letter_Akamai_Treasury_10.30.14.pdf?api=v2" TargetMode="External"/><Relationship Id="rId2287" Type="http://schemas.openxmlformats.org/officeDocument/2006/relationships/hyperlink" Target="https://community.max.gov/download/attachments/1257046585/ATO.Letter_GovDelivery_USPTO_04.28.17.pdf?api=v2" TargetMode="External"/><Relationship Id="rId366" Type="http://schemas.openxmlformats.org/officeDocument/2006/relationships/hyperlink" Target="https://community.max.gov/x/wgmOJQ" TargetMode="External"/><Relationship Id="rId2288" Type="http://schemas.openxmlformats.org/officeDocument/2006/relationships/hyperlink" Target="http://www.granicus.com" TargetMode="External"/><Relationship Id="rId365" Type="http://schemas.openxmlformats.org/officeDocument/2006/relationships/hyperlink" Target="https://marketplace.fedramp.gov/img/logos/Agency_logos/United_States_Department_of_Defense_Seal.png" TargetMode="External"/><Relationship Id="rId2289" Type="http://schemas.openxmlformats.org/officeDocument/2006/relationships/hyperlink" Target="https://marketplace.fedramp.gov/img/logos/CSP_logos/Granicus%20Logo.jpg" TargetMode="External"/><Relationship Id="rId364" Type="http://schemas.openxmlformats.org/officeDocument/2006/relationships/hyperlink" Target="https://marketplace.fedramp.gov/img/logos/CSP_logos/AINS%20Logo.jpg" TargetMode="External"/><Relationship Id="rId95" Type="http://schemas.openxmlformats.org/officeDocument/2006/relationships/hyperlink" Target="https://community.max.gov/x/AxXrJQ" TargetMode="External"/><Relationship Id="rId94" Type="http://schemas.openxmlformats.org/officeDocument/2006/relationships/hyperlink" Target="https://marketplace.fedramp.gov/img/logos/Agency_logos/US-DeptOfTheInterior-Seal.png" TargetMode="External"/><Relationship Id="rId97" Type="http://schemas.openxmlformats.org/officeDocument/2006/relationships/hyperlink" Target="http://www.leidos.com" TargetMode="External"/><Relationship Id="rId96" Type="http://schemas.openxmlformats.org/officeDocument/2006/relationships/hyperlink" Target="https://community.max.gov/download/attachments/1155203731/ATO.Letter_LM_FTC_09.12.13.pdf?api=v2" TargetMode="External"/><Relationship Id="rId99" Type="http://schemas.openxmlformats.org/officeDocument/2006/relationships/hyperlink" Target="https://community.max.gov/x/GgwdJg" TargetMode="External"/><Relationship Id="rId98" Type="http://schemas.openxmlformats.org/officeDocument/2006/relationships/hyperlink" Target="https://marketplace.fedramp.gov/img/logos/Agency_logos/US-FederalTradeCommission-Seal.png" TargetMode="External"/><Relationship Id="rId91" Type="http://schemas.openxmlformats.org/officeDocument/2006/relationships/hyperlink" Target="https://community.max.gov/x/AxXrJQ" TargetMode="External"/><Relationship Id="rId90" Type="http://schemas.openxmlformats.org/officeDocument/2006/relationships/hyperlink" Target="http://www.leidos.com" TargetMode="External"/><Relationship Id="rId93" Type="http://schemas.openxmlformats.org/officeDocument/2006/relationships/hyperlink" Target="http://www.leidos.com" TargetMode="External"/><Relationship Id="rId92" Type="http://schemas.openxmlformats.org/officeDocument/2006/relationships/hyperlink" Target="https://community.max.gov/download/attachments/1256458223/ATO.Letter_Lockheed_DOI_07.19.13.pdf?api=v2" TargetMode="External"/><Relationship Id="rId359" Type="http://schemas.openxmlformats.org/officeDocument/2006/relationships/hyperlink" Target="https://marketplace.fedramp.gov/img/logos/CSP_logos/Adobe%20Logo.jpg" TargetMode="External"/><Relationship Id="rId358" Type="http://schemas.openxmlformats.org/officeDocument/2006/relationships/hyperlink" Target="http://www.adobe.com" TargetMode="External"/><Relationship Id="rId357" Type="http://schemas.openxmlformats.org/officeDocument/2006/relationships/hyperlink" Target="https://community.max.gov/download/attachments/896697770/ATO.Letter_Adobe.LCMS.GC_HHS_07.09.15.pdf?api=v2" TargetMode="External"/><Relationship Id="rId2270" Type="http://schemas.openxmlformats.org/officeDocument/2006/relationships/hyperlink" Target="https://marketplace.fedramp.gov/img/logos/Agency_logos/US-DeptOfCommerce-Seal.png" TargetMode="External"/><Relationship Id="rId2271" Type="http://schemas.openxmlformats.org/officeDocument/2006/relationships/hyperlink" Target="https://community.max.gov/x/eQs3Kw" TargetMode="External"/><Relationship Id="rId352" Type="http://schemas.openxmlformats.org/officeDocument/2006/relationships/hyperlink" Target="https://community.max.gov/download/attachments/921272703/ATO.Letter_Adobe.LCMS.EW_HHS_07.09.15.pdf?api=v2" TargetMode="External"/><Relationship Id="rId2272" Type="http://schemas.openxmlformats.org/officeDocument/2006/relationships/hyperlink" Target="https://community.max.gov/download/attachments/992346725/ATO.Letter_Salesforce_HHS_CMS_12.19.16.pdf?api=v2" TargetMode="External"/><Relationship Id="rId351" Type="http://schemas.openxmlformats.org/officeDocument/2006/relationships/hyperlink" Target="https://community.max.gov/x/XYHpNg" TargetMode="External"/><Relationship Id="rId2273" Type="http://schemas.openxmlformats.org/officeDocument/2006/relationships/hyperlink" Target="http://www.salesforce.com/industries/public-sector" TargetMode="External"/><Relationship Id="rId350" Type="http://schemas.openxmlformats.org/officeDocument/2006/relationships/hyperlink" Target="https://marketplace.fedramp.gov/img/logos/Agency_logos/US-DeptOfHHS-Seal.png" TargetMode="External"/><Relationship Id="rId2274" Type="http://schemas.openxmlformats.org/officeDocument/2006/relationships/hyperlink" Target="https://marketplace.fedramp.gov/img/logos/CSP_logos/Salesforce%20Logo.jpg" TargetMode="External"/><Relationship Id="rId2275" Type="http://schemas.openxmlformats.org/officeDocument/2006/relationships/hyperlink" Target="https://marketplace.fedramp.gov/img/logos/Agency_logos/US-DeptOfHHS-Seal.png" TargetMode="External"/><Relationship Id="rId356" Type="http://schemas.openxmlformats.org/officeDocument/2006/relationships/hyperlink" Target="https://community.max.gov/x/u4JsNQ" TargetMode="External"/><Relationship Id="rId2276" Type="http://schemas.openxmlformats.org/officeDocument/2006/relationships/hyperlink" Target="https://community.max.gov/x/-oSIOg" TargetMode="External"/><Relationship Id="rId355" Type="http://schemas.openxmlformats.org/officeDocument/2006/relationships/hyperlink" Target="https://marketplace.fedramp.gov/img/logos/Agency_logos/US-DeptOfHHS-Seal.png" TargetMode="External"/><Relationship Id="rId2277" Type="http://schemas.openxmlformats.org/officeDocument/2006/relationships/hyperlink" Target="https://community.max.gov/download/attachments/1506345586/ATO.Letter_Okta_DoJ_04.21.17.pdf?api=v2" TargetMode="External"/><Relationship Id="rId354" Type="http://schemas.openxmlformats.org/officeDocument/2006/relationships/hyperlink" Target="https://marketplace.fedramp.gov/img/logos/CSP_logos/Adobe%20Logo.jpg" TargetMode="External"/><Relationship Id="rId2278" Type="http://schemas.openxmlformats.org/officeDocument/2006/relationships/hyperlink" Target="https://www.okta.com/" TargetMode="External"/><Relationship Id="rId353" Type="http://schemas.openxmlformats.org/officeDocument/2006/relationships/hyperlink" Target="http://www.adobe.com" TargetMode="External"/><Relationship Id="rId2279" Type="http://schemas.openxmlformats.org/officeDocument/2006/relationships/hyperlink" Target="https://marketplace.fedramp.gov/img/logos/CSP_logos/Okta%20Logo.jpg" TargetMode="External"/><Relationship Id="rId2225" Type="http://schemas.openxmlformats.org/officeDocument/2006/relationships/hyperlink" Target="https://community.max.gov/x/34ngVQ" TargetMode="External"/><Relationship Id="rId3557" Type="http://schemas.openxmlformats.org/officeDocument/2006/relationships/hyperlink" Target="https://community.max.gov/x/cARBT" TargetMode="External"/><Relationship Id="rId2226" Type="http://schemas.openxmlformats.org/officeDocument/2006/relationships/hyperlink" Target="https://community.max.gov/download/attachments/1531087271/ATO.Letter_Google_VA_03.27.17.pdf?api=v2" TargetMode="External"/><Relationship Id="rId3556" Type="http://schemas.openxmlformats.org/officeDocument/2006/relationships/hyperlink" Target="https://marketplace.fedramp.gov/img/logos/Agency_logos/Seal_of_the_United_States_Department_of_Homeland_Security.png" TargetMode="External"/><Relationship Id="rId2227" Type="http://schemas.openxmlformats.org/officeDocument/2006/relationships/hyperlink" Target="https://gsuite.google.com/" TargetMode="External"/><Relationship Id="rId3559" Type="http://schemas.openxmlformats.org/officeDocument/2006/relationships/hyperlink" Target="https://www.sapns2.com/cloud/" TargetMode="External"/><Relationship Id="rId2228" Type="http://schemas.openxmlformats.org/officeDocument/2006/relationships/hyperlink" Target="https://marketplace.fedramp.gov/img/logos/CSP_logos/Google%20Logo.jpg" TargetMode="External"/><Relationship Id="rId3558" Type="http://schemas.openxmlformats.org/officeDocument/2006/relationships/hyperlink" Target="https://community.max.gov/download/attachments/1279329441/ATO.Letter_SAPNS2DoD_DoD_DISA_5.17.18.pdf?api=v2" TargetMode="External"/><Relationship Id="rId2229" Type="http://schemas.openxmlformats.org/officeDocument/2006/relationships/hyperlink" Target="https://marketplace.fedramp.gov/img/logos/Agency_logos/Seal_of_the_United_States_Department_of_Veterans_Affairs_(1989-2012).png" TargetMode="External"/><Relationship Id="rId305" Type="http://schemas.openxmlformats.org/officeDocument/2006/relationships/hyperlink" Target="https://marketplace.fedramp.gov/img/logos/Agency_logos/US-DeptOfLabor-Seal-AltColors.svg.png" TargetMode="External"/><Relationship Id="rId304" Type="http://schemas.openxmlformats.org/officeDocument/2006/relationships/hyperlink" Target="https://marketplace.fedramp.gov/img/logos/CSP_logos/USDA%20Logo.jpg" TargetMode="External"/><Relationship Id="rId303" Type="http://schemas.openxmlformats.org/officeDocument/2006/relationships/hyperlink" Target="http://www.ocio.usda.gov/about-ocio/data-center-operations/nitc-cloud-services" TargetMode="External"/><Relationship Id="rId302" Type="http://schemas.openxmlformats.org/officeDocument/2006/relationships/hyperlink" Target="https://community.max.gov/download/attachments/1131251347/ATO.Letter_USDANITC_DOL_03.11.14.pdf?api=v2" TargetMode="External"/><Relationship Id="rId309" Type="http://schemas.openxmlformats.org/officeDocument/2006/relationships/hyperlink" Target="https://marketplace.fedramp.gov/img/logos/CSP_logos/Akamai%20Logo.jpg" TargetMode="External"/><Relationship Id="rId308" Type="http://schemas.openxmlformats.org/officeDocument/2006/relationships/hyperlink" Target="http://www.akamai.com" TargetMode="External"/><Relationship Id="rId307" Type="http://schemas.openxmlformats.org/officeDocument/2006/relationships/hyperlink" Target="https://community.max.gov/download/attachments/1116602815/ATO.Letter_Akamai_DOC_ESA_04.1.14.PDF?api=v2" TargetMode="External"/><Relationship Id="rId306" Type="http://schemas.openxmlformats.org/officeDocument/2006/relationships/hyperlink" Target="https://community.max.gov/x/wgmOJQ" TargetMode="External"/><Relationship Id="rId3551" Type="http://schemas.openxmlformats.org/officeDocument/2006/relationships/hyperlink" Target="https://marketplace.fedramp.gov/img/logos/Agency_logos/PSA%20Logo.jpg" TargetMode="External"/><Relationship Id="rId2220" Type="http://schemas.openxmlformats.org/officeDocument/2006/relationships/hyperlink" Target="https://community.max.gov/x/XgZfJw" TargetMode="External"/><Relationship Id="rId3550" Type="http://schemas.openxmlformats.org/officeDocument/2006/relationships/hyperlink" Target="https://marketplace.fedramp.gov/img/logos/CSP_logos/MIS%20Sciences%20Logo.jpg" TargetMode="External"/><Relationship Id="rId301" Type="http://schemas.openxmlformats.org/officeDocument/2006/relationships/hyperlink" Target="https://community.max.gov/x/Pwu4Jg" TargetMode="External"/><Relationship Id="rId2221" Type="http://schemas.openxmlformats.org/officeDocument/2006/relationships/hyperlink" Target="https://community.max.gov/download/attachments/1155204180/ATO.Letter_MSGFS_NSF_03.31.17.pdf?api=v2" TargetMode="External"/><Relationship Id="rId3553" Type="http://schemas.openxmlformats.org/officeDocument/2006/relationships/hyperlink" Target="https://community.max.gov/download/attachments/1181254069/ATO.Letter_KPS_DHS_USCG_5.22.18.pdf?api=v2" TargetMode="External"/><Relationship Id="rId300" Type="http://schemas.openxmlformats.org/officeDocument/2006/relationships/hyperlink" Target="https://marketplace.fedramp.gov/img/logos/Agency_logos/US-DeptOfLabor-Seal-AltColors.svg.png" TargetMode="External"/><Relationship Id="rId2222" Type="http://schemas.openxmlformats.org/officeDocument/2006/relationships/hyperlink" Target="http://www.microsoft.com" TargetMode="External"/><Relationship Id="rId3552" Type="http://schemas.openxmlformats.org/officeDocument/2006/relationships/hyperlink" Target="https://community.max.gov/x/WwTOMg" TargetMode="External"/><Relationship Id="rId2223" Type="http://schemas.openxmlformats.org/officeDocument/2006/relationships/hyperlink" Target="https://marketplace.fedramp.gov/img/logos/CSP_logos/Microsoft%20Logo.jpg" TargetMode="External"/><Relationship Id="rId3555" Type="http://schemas.openxmlformats.org/officeDocument/2006/relationships/hyperlink" Target="https://marketplace.fedramp.gov/img/logos/CSP_logos/Knightpoint%20Logo.jpg" TargetMode="External"/><Relationship Id="rId2224" Type="http://schemas.openxmlformats.org/officeDocument/2006/relationships/hyperlink" Target="https://marketplace.fedramp.gov/img/logos/Agency_logos/NSF.png" TargetMode="External"/><Relationship Id="rId3554" Type="http://schemas.openxmlformats.org/officeDocument/2006/relationships/hyperlink" Target="http://www.knightpoint.com" TargetMode="External"/><Relationship Id="rId2214" Type="http://schemas.openxmlformats.org/officeDocument/2006/relationships/hyperlink" Target="https://community.max.gov/display/FedRAMPExternal/MS+Azure+ATO+Letters" TargetMode="External"/><Relationship Id="rId3546" Type="http://schemas.openxmlformats.org/officeDocument/2006/relationships/hyperlink" Target="https://marketplace.fedramp.gov/img/logos/Agency_logos/US-DeptOfHHS-Seal.png" TargetMode="External"/><Relationship Id="rId2215" Type="http://schemas.openxmlformats.org/officeDocument/2006/relationships/hyperlink" Target="https://community.max.gov/download/attachments/1155204218/ATO.Letter_MSAzure_NSF_03.31.17.pdf?api=v2" TargetMode="External"/><Relationship Id="rId3545" Type="http://schemas.openxmlformats.org/officeDocument/2006/relationships/hyperlink" Target="https://marketplace.fedramp.gov/img/logos/CSP_logos/Microsoft%20Logo.jpg" TargetMode="External"/><Relationship Id="rId2216" Type="http://schemas.openxmlformats.org/officeDocument/2006/relationships/hyperlink" Target="mailto:adamsoh@microsoft.com" TargetMode="External"/><Relationship Id="rId3548" Type="http://schemas.openxmlformats.org/officeDocument/2006/relationships/hyperlink" Target="https://community.max.gov/download/attachments/1155203349/ATO.Letter_MIS_PSA_5.17.18.pdf?api=v2" TargetMode="External"/><Relationship Id="rId2217" Type="http://schemas.openxmlformats.org/officeDocument/2006/relationships/hyperlink" Target="http://azure.microsoft.com/en-us/" TargetMode="External"/><Relationship Id="rId3547" Type="http://schemas.openxmlformats.org/officeDocument/2006/relationships/hyperlink" Target="https://community.max.gov/x/ZgK0LQ" TargetMode="External"/><Relationship Id="rId2218" Type="http://schemas.openxmlformats.org/officeDocument/2006/relationships/hyperlink" Target="https://marketplace.fedramp.gov/img/logos/CSP_logos/Microsoft%20Logo.jpg" TargetMode="External"/><Relationship Id="rId2219" Type="http://schemas.openxmlformats.org/officeDocument/2006/relationships/hyperlink" Target="https://marketplace.fedramp.gov/img/logos/Agency_logos/NSF.png" TargetMode="External"/><Relationship Id="rId3549" Type="http://schemas.openxmlformats.org/officeDocument/2006/relationships/hyperlink" Target="http://www.mis-sciences.com" TargetMode="External"/><Relationship Id="rId3540" Type="http://schemas.openxmlformats.org/officeDocument/2006/relationships/hyperlink" Target="https://marketplace.fedramp.gov/img/logos/CSP_logos/mLINQS%20Logo.jpg" TargetMode="External"/><Relationship Id="rId2210" Type="http://schemas.openxmlformats.org/officeDocument/2006/relationships/hyperlink" Target="https://community.max.gov/download/attachments/992346706/ATO.Letter_MSO365_EEOC_03.30.17.pdf?api=v2" TargetMode="External"/><Relationship Id="rId3542" Type="http://schemas.openxmlformats.org/officeDocument/2006/relationships/hyperlink" Target="https://community.max.gov/x/3JC6L" TargetMode="External"/><Relationship Id="rId2211" Type="http://schemas.openxmlformats.org/officeDocument/2006/relationships/hyperlink" Target="http://www.microsoft.office.com" TargetMode="External"/><Relationship Id="rId3541" Type="http://schemas.openxmlformats.org/officeDocument/2006/relationships/hyperlink" Target="https://marketplace.fedramp.gov/img/logos/Agency_logos/US-DeptOfAgriculture-Seal2.png" TargetMode="External"/><Relationship Id="rId2212" Type="http://schemas.openxmlformats.org/officeDocument/2006/relationships/hyperlink" Target="https://marketplace.fedramp.gov/img/logos/CSP_logos/Microsoft%20Logo.jpg" TargetMode="External"/><Relationship Id="rId3544" Type="http://schemas.openxmlformats.org/officeDocument/2006/relationships/hyperlink" Target="http://www.microsoft.office.com" TargetMode="External"/><Relationship Id="rId2213" Type="http://schemas.openxmlformats.org/officeDocument/2006/relationships/hyperlink" Target="https://marketplace.fedramp.gov/img/logos/Agency_logos/EEOC%20Logo.jpg" TargetMode="External"/><Relationship Id="rId3543" Type="http://schemas.openxmlformats.org/officeDocument/2006/relationships/hyperlink" Target="https://community.max.gov/download/attachments/992346706/ATO.Letter_MS%20O365_HHS_OIG_04.30.2018.pdf?api=v2" TargetMode="External"/><Relationship Id="rId2247" Type="http://schemas.openxmlformats.org/officeDocument/2006/relationships/hyperlink" Target="https://gsuite.google.com/" TargetMode="External"/><Relationship Id="rId3579" Type="http://schemas.openxmlformats.org/officeDocument/2006/relationships/hyperlink" Target="https://www.okta.com/" TargetMode="External"/><Relationship Id="rId2248" Type="http://schemas.openxmlformats.org/officeDocument/2006/relationships/hyperlink" Target="https://marketplace.fedramp.gov/img/logos/CSP_logos/Google%20Logo.jpg" TargetMode="External"/><Relationship Id="rId3578" Type="http://schemas.openxmlformats.org/officeDocument/2006/relationships/hyperlink" Target="https://community.max.gov/download/attachments/982025475/ATO.Letter_Okta_DOJ_05.11.17.pdf?api=v2" TargetMode="External"/><Relationship Id="rId2249" Type="http://schemas.openxmlformats.org/officeDocument/2006/relationships/hyperlink" Target="https://marketplace.fedramp.gov/img/logos/Agency_logos/US-DeptOfCommerce-Seal.png" TargetMode="External"/><Relationship Id="rId327" Type="http://schemas.openxmlformats.org/officeDocument/2006/relationships/hyperlink" Target="https://community.max.gov/download/attachments/1155203438/ATO.Letter_GDIT_DoL_06.13.14.pdf?api=v2" TargetMode="External"/><Relationship Id="rId326" Type="http://schemas.openxmlformats.org/officeDocument/2006/relationships/hyperlink" Target="https://community.max.gov/x/_gPNKw" TargetMode="External"/><Relationship Id="rId325" Type="http://schemas.openxmlformats.org/officeDocument/2006/relationships/hyperlink" Target="https://marketplace.fedramp.gov/img/logos/Agency_logos/US-DeptOfEducation-Seal.png" TargetMode="External"/><Relationship Id="rId324" Type="http://schemas.openxmlformats.org/officeDocument/2006/relationships/hyperlink" Target="https://marketplace.fedramp.gov/img/logos/CSP_logos/Amazon%20Logo.jpg" TargetMode="External"/><Relationship Id="rId329" Type="http://schemas.openxmlformats.org/officeDocument/2006/relationships/hyperlink" Target="https://marketplace.fedramp.gov/img/logos/CSP_logos/GDIT%20Logo.jpg" TargetMode="External"/><Relationship Id="rId328" Type="http://schemas.openxmlformats.org/officeDocument/2006/relationships/hyperlink" Target="http://www.gdit.com/cloudsolutions" TargetMode="External"/><Relationship Id="rId3571" Type="http://schemas.openxmlformats.org/officeDocument/2006/relationships/hyperlink" Target="https://marketplace.fedramp.gov/img/logos/Agency_logos/NASA_logo.png" TargetMode="External"/><Relationship Id="rId2240" Type="http://schemas.openxmlformats.org/officeDocument/2006/relationships/hyperlink" Target="https://community.max.gov/x/DpBJK" TargetMode="External"/><Relationship Id="rId3570" Type="http://schemas.openxmlformats.org/officeDocument/2006/relationships/hyperlink" Target="https://marketplace.fedramp.gov/img/logos/CSP_logos/SAP%20NS2%20Logo1.jpg" TargetMode="External"/><Relationship Id="rId2241" Type="http://schemas.openxmlformats.org/officeDocument/2006/relationships/hyperlink" Target="https://community.max.gov/download/attachments/1115488742/ATO.Letter_AWSEW_DoC_NOAA_03.22.17.pdf?api=v2" TargetMode="External"/><Relationship Id="rId3573" Type="http://schemas.openxmlformats.org/officeDocument/2006/relationships/hyperlink" Target="https://community.max.gov/download/attachments/1197709114/ATO.Letter_18F_USDA_USFS_12.11.17.pdf?api=v2" TargetMode="External"/><Relationship Id="rId2242" Type="http://schemas.openxmlformats.org/officeDocument/2006/relationships/hyperlink" Target="http://www.aws.amazon.com" TargetMode="External"/><Relationship Id="rId3572" Type="http://schemas.openxmlformats.org/officeDocument/2006/relationships/hyperlink" Target="https://community.max.gov/x/GwCsPQ" TargetMode="External"/><Relationship Id="rId323" Type="http://schemas.openxmlformats.org/officeDocument/2006/relationships/hyperlink" Target="http://www.aws.amazon.com" TargetMode="External"/><Relationship Id="rId2243" Type="http://schemas.openxmlformats.org/officeDocument/2006/relationships/hyperlink" Target="https://marketplace.fedramp.gov/img/logos/CSP_logos/Amazon%20Logo.jpg" TargetMode="External"/><Relationship Id="rId3575" Type="http://schemas.openxmlformats.org/officeDocument/2006/relationships/hyperlink" Target="https://marketplace.fedramp.gov/img/logos/CSP_logos/Cloud.gov%20Logo.jpg" TargetMode="External"/><Relationship Id="rId322" Type="http://schemas.openxmlformats.org/officeDocument/2006/relationships/hyperlink" Target="https://community.max.gov/download/attachments/1115488742/ATO.Letter_AWSEW_DoE_03.12.14.pdf?api=v2" TargetMode="External"/><Relationship Id="rId2244" Type="http://schemas.openxmlformats.org/officeDocument/2006/relationships/hyperlink" Target="https://marketplace.fedramp.gov/img/logos/Agency_logos/US-DeptOfCommerce-Seal.png" TargetMode="External"/><Relationship Id="rId3574" Type="http://schemas.openxmlformats.org/officeDocument/2006/relationships/hyperlink" Target="http://www.cloud.gov" TargetMode="External"/><Relationship Id="rId321" Type="http://schemas.openxmlformats.org/officeDocument/2006/relationships/hyperlink" Target="https://community.max.gov/x/DpBJK" TargetMode="External"/><Relationship Id="rId2245" Type="http://schemas.openxmlformats.org/officeDocument/2006/relationships/hyperlink" Target="https://community.max.gov/x/34ngVQ" TargetMode="External"/><Relationship Id="rId3577" Type="http://schemas.openxmlformats.org/officeDocument/2006/relationships/hyperlink" Target="https://community.max.gov/x/-oSIOg" TargetMode="External"/><Relationship Id="rId320" Type="http://schemas.openxmlformats.org/officeDocument/2006/relationships/hyperlink" Target="https://marketplace.fedramp.gov/img/logos/Agency_logos/US-DeptOfEducation-Seal.png" TargetMode="External"/><Relationship Id="rId2246" Type="http://schemas.openxmlformats.org/officeDocument/2006/relationships/hyperlink" Target="https://community.max.gov/download/attachments/1531087274/ATO.Letter_Google_DoC_NOAA_03.22.17.pdf?api=v2" TargetMode="External"/><Relationship Id="rId3576" Type="http://schemas.openxmlformats.org/officeDocument/2006/relationships/hyperlink" Target="https://marketplace.fedramp.gov/img/logos/Agency_logos/US-DeptOfAgriculture-Seal2.png" TargetMode="External"/><Relationship Id="rId2236" Type="http://schemas.openxmlformats.org/officeDocument/2006/relationships/hyperlink" Target="https://community.max.gov/download/attachments/1113425425/ATO.Letter_AWSGC_DoC_NOAA_03.22.17.pdf?api=v2" TargetMode="External"/><Relationship Id="rId3568" Type="http://schemas.openxmlformats.org/officeDocument/2006/relationships/hyperlink" Target="https://community.max.gov/download/attachments/1356301811/ATO.Letter_SAPNS2_NASA_5.24.18.pdf?api=v2" TargetMode="External"/><Relationship Id="rId2237" Type="http://schemas.openxmlformats.org/officeDocument/2006/relationships/hyperlink" Target="http://www.aws.amazon.com" TargetMode="External"/><Relationship Id="rId3567" Type="http://schemas.openxmlformats.org/officeDocument/2006/relationships/hyperlink" Target="https://community.max.gov/x/XYIVPQ" TargetMode="External"/><Relationship Id="rId2238" Type="http://schemas.openxmlformats.org/officeDocument/2006/relationships/hyperlink" Target="https://marketplace.fedramp.gov/img/logos/CSP_logos/Amazon%20Logo.jpg" TargetMode="External"/><Relationship Id="rId2239" Type="http://schemas.openxmlformats.org/officeDocument/2006/relationships/hyperlink" Target="https://marketplace.fedramp.gov/img/logos/Agency_logos/US-DeptOfCommerce-Seal.png" TargetMode="External"/><Relationship Id="rId3569" Type="http://schemas.openxmlformats.org/officeDocument/2006/relationships/hyperlink" Target="https://www.sapns2.com/cloud/" TargetMode="External"/><Relationship Id="rId316" Type="http://schemas.openxmlformats.org/officeDocument/2006/relationships/hyperlink" Target="https://community.max.gov/x/ApBJK" TargetMode="External"/><Relationship Id="rId315" Type="http://schemas.openxmlformats.org/officeDocument/2006/relationships/hyperlink" Target="https://marketplace.fedramp.gov/img/logos/Agency_logos/NARA_Logo.png" TargetMode="External"/><Relationship Id="rId314" Type="http://schemas.openxmlformats.org/officeDocument/2006/relationships/hyperlink" Target="https://marketplace.fedramp.gov/img/logos/CSP_logos/Salesforce%20Logo.jpg" TargetMode="External"/><Relationship Id="rId313" Type="http://schemas.openxmlformats.org/officeDocument/2006/relationships/hyperlink" Target="http://www.salesforce.com/industries/public-sector" TargetMode="External"/><Relationship Id="rId319" Type="http://schemas.openxmlformats.org/officeDocument/2006/relationships/hyperlink" Target="https://marketplace.fedramp.gov/img/logos/CSP_logos/Amazon%20Logo.jpg" TargetMode="External"/><Relationship Id="rId318" Type="http://schemas.openxmlformats.org/officeDocument/2006/relationships/hyperlink" Target="http://www.aws.amazon.com" TargetMode="External"/><Relationship Id="rId317" Type="http://schemas.openxmlformats.org/officeDocument/2006/relationships/hyperlink" Target="https://community.max.gov/download/attachments/1113425425/ATO.Letter_AWSGC_DoE_03.12.14.pdf?api=v2" TargetMode="External"/><Relationship Id="rId3560" Type="http://schemas.openxmlformats.org/officeDocument/2006/relationships/hyperlink" Target="https://marketplace.fedramp.gov/img/logos/CSP_logos/SAP%20NS2%20Logo1.jpg" TargetMode="External"/><Relationship Id="rId2230" Type="http://schemas.openxmlformats.org/officeDocument/2006/relationships/hyperlink" Target="https://community.max.gov/x/0h0kSQ" TargetMode="External"/><Relationship Id="rId3562" Type="http://schemas.openxmlformats.org/officeDocument/2006/relationships/hyperlink" Target="https://community.max.gov/x/U4HpNg" TargetMode="External"/><Relationship Id="rId2231" Type="http://schemas.openxmlformats.org/officeDocument/2006/relationships/hyperlink" Target="https://community.max.gov/download/attachments/779322061/ATO.Letter_Accellion_DoI_03.02.17.pdf?api=v2" TargetMode="External"/><Relationship Id="rId3561" Type="http://schemas.openxmlformats.org/officeDocument/2006/relationships/hyperlink" Target="https://marketplace.fedramp.gov/img/logos/Agency_logos/United_States_Department_of_Defense_Seal.png" TargetMode="External"/><Relationship Id="rId312" Type="http://schemas.openxmlformats.org/officeDocument/2006/relationships/hyperlink" Target="https://community.max.gov/download/attachments/992346725/ATO.Letter_Salesforce_NARA_01.29.14-no%20password.pdf?api=v2" TargetMode="External"/><Relationship Id="rId2232" Type="http://schemas.openxmlformats.org/officeDocument/2006/relationships/hyperlink" Target="http://www.accellion.com/government" TargetMode="External"/><Relationship Id="rId3564" Type="http://schemas.openxmlformats.org/officeDocument/2006/relationships/hyperlink" Target="http://www.adobe.com" TargetMode="External"/><Relationship Id="rId311" Type="http://schemas.openxmlformats.org/officeDocument/2006/relationships/hyperlink" Target="https://community.max.gov/x/eQs3Kw" TargetMode="External"/><Relationship Id="rId2233" Type="http://schemas.openxmlformats.org/officeDocument/2006/relationships/hyperlink" Target="https://marketplace.fedramp.gov/img/logos/CSP_logos/Accellion%20Logo.jpg" TargetMode="External"/><Relationship Id="rId3563" Type="http://schemas.openxmlformats.org/officeDocument/2006/relationships/hyperlink" Target="https://community.max.gov/download/attachments/921272709/ATO.Letter_ACMS-GC_DoED_5.18.18.pdf?api=v2" TargetMode="External"/><Relationship Id="rId310" Type="http://schemas.openxmlformats.org/officeDocument/2006/relationships/hyperlink" Target="https://marketplace.fedramp.gov/img/logos/Agency_logos/US-DeptOfCommerce-Seal.png" TargetMode="External"/><Relationship Id="rId2234" Type="http://schemas.openxmlformats.org/officeDocument/2006/relationships/hyperlink" Target="https://marketplace.fedramp.gov/img/logos/Agency_logos/US-DeptOfTheInterior-Seal.png" TargetMode="External"/><Relationship Id="rId3566" Type="http://schemas.openxmlformats.org/officeDocument/2006/relationships/hyperlink" Target="https://marketplace.fedramp.gov/img/logos/Agency_logos/US-DeptOfEducation-Seal.png" TargetMode="External"/><Relationship Id="rId2235" Type="http://schemas.openxmlformats.org/officeDocument/2006/relationships/hyperlink" Target="https://community.max.gov/x/ApBJK" TargetMode="External"/><Relationship Id="rId3565" Type="http://schemas.openxmlformats.org/officeDocument/2006/relationships/hyperlink" Target="https://marketplace.fedramp.gov/img/logos/CSP_logos/Adobe%20Logo.jpg" TargetMode="External"/><Relationship Id="rId4040" Type="http://schemas.openxmlformats.org/officeDocument/2006/relationships/hyperlink" Target="https://community.max.gov/x/7IjvWQ" TargetMode="External"/><Relationship Id="rId4042" Type="http://schemas.openxmlformats.org/officeDocument/2006/relationships/hyperlink" Target="https://marketplace.fedramp.gov/img/logos/CSP_logos/Teletrac%20Navman%20Logo.jpg" TargetMode="External"/><Relationship Id="rId4041" Type="http://schemas.openxmlformats.org/officeDocument/2006/relationships/hyperlink" Target="http://www.teletracnavman.com" TargetMode="External"/><Relationship Id="rId4044" Type="http://schemas.openxmlformats.org/officeDocument/2006/relationships/hyperlink" Target="http://www.newrelic.com" TargetMode="External"/><Relationship Id="rId4043" Type="http://schemas.openxmlformats.org/officeDocument/2006/relationships/hyperlink" Target="https://community.max.gov/x/GoL3Rg" TargetMode="External"/><Relationship Id="rId4046" Type="http://schemas.openxmlformats.org/officeDocument/2006/relationships/hyperlink" Target="https://marketplace.fedramp.gov/img/logos/Agency_logos/Seal_of_the_Executive_Office_of_the_President_of_the_United_States_2014.png" TargetMode="External"/><Relationship Id="rId4045" Type="http://schemas.openxmlformats.org/officeDocument/2006/relationships/hyperlink" Target="https://marketplace.fedramp.gov/img/logos/CSP_logos/New%20Relic%20Logo.jpg" TargetMode="External"/><Relationship Id="rId4048" Type="http://schemas.openxmlformats.org/officeDocument/2006/relationships/hyperlink" Target="http://cusp.nyu.edu/coleridge-initiative/" TargetMode="External"/><Relationship Id="rId4047" Type="http://schemas.openxmlformats.org/officeDocument/2006/relationships/hyperlink" Target="https://community.max.gov/x/fYOnW" TargetMode="External"/><Relationship Id="rId4049" Type="http://schemas.openxmlformats.org/officeDocument/2006/relationships/hyperlink" Target="https://marketplace.fedramp.gov/img/logos/CSP_logos/NYU%20Logo.jpg" TargetMode="External"/><Relationship Id="rId4031" Type="http://schemas.openxmlformats.org/officeDocument/2006/relationships/hyperlink" Target="http://www.microsoft.office.com" TargetMode="External"/><Relationship Id="rId4030" Type="http://schemas.openxmlformats.org/officeDocument/2006/relationships/hyperlink" Target="https://community.max.gov/x/xQIRNQ" TargetMode="External"/><Relationship Id="rId297" Type="http://schemas.openxmlformats.org/officeDocument/2006/relationships/hyperlink" Target="https://community.max.gov/download/attachments/1130635691/ATO.Letter_SalesForce_DOL_06.18.14.pdf?api=v2" TargetMode="External"/><Relationship Id="rId4033" Type="http://schemas.openxmlformats.org/officeDocument/2006/relationships/hyperlink" Target="https://marketplace.fedramp.gov/img/logos/Agency_logos/Seal_of_the_United_States_Department_of_Justice.png" TargetMode="External"/><Relationship Id="rId296" Type="http://schemas.openxmlformats.org/officeDocument/2006/relationships/hyperlink" Target="https://community.max.gov/x/eQs3Kw" TargetMode="External"/><Relationship Id="rId4032" Type="http://schemas.openxmlformats.org/officeDocument/2006/relationships/hyperlink" Target="https://marketplace.fedramp.gov/img/logos/CSP_logos/Microsoft%20Logo.jpg" TargetMode="External"/><Relationship Id="rId295" Type="http://schemas.openxmlformats.org/officeDocument/2006/relationships/hyperlink" Target="https://marketplace.fedramp.gov/img/logos/Agency_logos/NARA_Logo.png" TargetMode="External"/><Relationship Id="rId4035" Type="http://schemas.openxmlformats.org/officeDocument/2006/relationships/hyperlink" Target="https://www.monstergovernmentsolutions.com/" TargetMode="External"/><Relationship Id="rId294" Type="http://schemas.openxmlformats.org/officeDocument/2006/relationships/hyperlink" Target="https://marketplace.fedramp.gov/img/logos/CSP_logos/Google%20Logo.jpg" TargetMode="External"/><Relationship Id="rId4034" Type="http://schemas.openxmlformats.org/officeDocument/2006/relationships/hyperlink" Target="https://community.max.gov/x/m43ITg" TargetMode="External"/><Relationship Id="rId4037" Type="http://schemas.openxmlformats.org/officeDocument/2006/relationships/hyperlink" Target="http://www.mulesoft.com" TargetMode="External"/><Relationship Id="rId4036" Type="http://schemas.openxmlformats.org/officeDocument/2006/relationships/hyperlink" Target="https://marketplace.fedramp.gov/img/logos/CSP_logos/Monster%20Logo.jpg" TargetMode="External"/><Relationship Id="rId299" Type="http://schemas.openxmlformats.org/officeDocument/2006/relationships/hyperlink" Target="https://marketplace.fedramp.gov/img/logos/CSP_logos/Salesforce%20Logo.jpg" TargetMode="External"/><Relationship Id="rId4039" Type="http://schemas.openxmlformats.org/officeDocument/2006/relationships/hyperlink" Target="https://marketplace.fedramp.gov/img/logos/Agency_logos/US-FCC-Seal.png" TargetMode="External"/><Relationship Id="rId298" Type="http://schemas.openxmlformats.org/officeDocument/2006/relationships/hyperlink" Target="http://www.salesforce.com/industries/public-sector" TargetMode="External"/><Relationship Id="rId4038" Type="http://schemas.openxmlformats.org/officeDocument/2006/relationships/hyperlink" Target="https://marketplace.fedramp.gov/img/logos/CSP_logos/MuleSoft%20Logo.jpg" TargetMode="External"/><Relationship Id="rId4060" Type="http://schemas.openxmlformats.org/officeDocument/2006/relationships/hyperlink" Target="https://community.max.gov/x/ZYqdWg" TargetMode="External"/><Relationship Id="rId4062" Type="http://schemas.openxmlformats.org/officeDocument/2006/relationships/hyperlink" Target="http://www.oracle.com" TargetMode="External"/><Relationship Id="rId4061" Type="http://schemas.openxmlformats.org/officeDocument/2006/relationships/hyperlink" Target="https://community.max.gov/download/attachments/1520274048/ATO.Letter_OraclePBCS_FDIC_6.26.18.pdf?api=v2" TargetMode="External"/><Relationship Id="rId4064" Type="http://schemas.openxmlformats.org/officeDocument/2006/relationships/hyperlink" Target="https://marketplace.fedramp.gov/img/logos/Agency_logos/FDIC%20Logo.jpg" TargetMode="External"/><Relationship Id="rId4063" Type="http://schemas.openxmlformats.org/officeDocument/2006/relationships/hyperlink" Target="https://marketplace.fedramp.gov/img/logos/CSP_logos/Oracle%20Logo.jpg" TargetMode="External"/><Relationship Id="rId4066" Type="http://schemas.openxmlformats.org/officeDocument/2006/relationships/hyperlink" Target="https://marketplace.fedramp.gov/img/logos/Agency_logos/United_States_Department_of_Defense_Seal.png" TargetMode="External"/><Relationship Id="rId4065" Type="http://schemas.openxmlformats.org/officeDocument/2006/relationships/hyperlink" Target="https://marketplace.fedramp.gov/img/logos/CSP_logos/Palo%20Alto%20Logo.jpg" TargetMode="External"/><Relationship Id="rId4068" Type="http://schemas.openxmlformats.org/officeDocument/2006/relationships/hyperlink" Target="http://www.pega.com" TargetMode="External"/><Relationship Id="rId4067" Type="http://schemas.openxmlformats.org/officeDocument/2006/relationships/hyperlink" Target="https://community.max.gov/x/L4pkWQ" TargetMode="External"/><Relationship Id="rId4069" Type="http://schemas.openxmlformats.org/officeDocument/2006/relationships/hyperlink" Target="https://marketplace.fedramp.gov/img/logos/CSP_logos/PEGA%20Logo.jpg" TargetMode="External"/><Relationship Id="rId4051" Type="http://schemas.openxmlformats.org/officeDocument/2006/relationships/hyperlink" Target="http://www.onestreamsoftware.com" TargetMode="External"/><Relationship Id="rId4050" Type="http://schemas.openxmlformats.org/officeDocument/2006/relationships/hyperlink" Target="https://community.max.gov/x/kglAUw" TargetMode="External"/><Relationship Id="rId4053" Type="http://schemas.openxmlformats.org/officeDocument/2006/relationships/hyperlink" Target="https://marketplace.fedramp.gov/img/logos/Agency_logos/US-DeptOfTheTreasury-Seal.png" TargetMode="External"/><Relationship Id="rId4052" Type="http://schemas.openxmlformats.org/officeDocument/2006/relationships/hyperlink" Target="https://marketplace.fedramp.gov/img/logos/CSP_logos/OneStream%20Logo.jpg" TargetMode="External"/><Relationship Id="rId4055" Type="http://schemas.openxmlformats.org/officeDocument/2006/relationships/hyperlink" Target="https://marketplace.fedramp.gov/img/logos/CSP_logos/OnSolve%20Logo.jpg" TargetMode="External"/><Relationship Id="rId4054" Type="http://schemas.openxmlformats.org/officeDocument/2006/relationships/hyperlink" Target="https://www.onsolve.com/" TargetMode="External"/><Relationship Id="rId4057" Type="http://schemas.openxmlformats.org/officeDocument/2006/relationships/hyperlink" Target="http://www.oracle.com" TargetMode="External"/><Relationship Id="rId4056" Type="http://schemas.openxmlformats.org/officeDocument/2006/relationships/hyperlink" Target="https://marketplace.fedramp.gov/img/logos/Agency_logos/US-DeptOfTheInterior-Seal.png" TargetMode="External"/><Relationship Id="rId4059" Type="http://schemas.openxmlformats.org/officeDocument/2006/relationships/hyperlink" Target="https://marketplace.fedramp.gov/img/logos/Agency_logos/US-DeptOfHHS-Seal.png" TargetMode="External"/><Relationship Id="rId4058" Type="http://schemas.openxmlformats.org/officeDocument/2006/relationships/hyperlink" Target="https://marketplace.fedramp.gov/img/logos/CSP_logos/Oracle%20Logo.jpg" TargetMode="External"/><Relationship Id="rId4008" Type="http://schemas.openxmlformats.org/officeDocument/2006/relationships/hyperlink" Target="https://marketplace.fedramp.gov/img/logos/Agency_logos/US-DeptOfTheInterior-Seal.png" TargetMode="External"/><Relationship Id="rId4007" Type="http://schemas.openxmlformats.org/officeDocument/2006/relationships/hyperlink" Target="https://marketplace.fedramp.gov/img/logos/CSP_logos/Innovest%20Logo.jpg" TargetMode="External"/><Relationship Id="rId4009" Type="http://schemas.openxmlformats.org/officeDocument/2006/relationships/hyperlink" Target="https://www.ivanti.com/" TargetMode="External"/><Relationship Id="rId271" Type="http://schemas.openxmlformats.org/officeDocument/2006/relationships/hyperlink" Target="https://community.max.gov/x/WQOaLQ" TargetMode="External"/><Relationship Id="rId270" Type="http://schemas.openxmlformats.org/officeDocument/2006/relationships/hyperlink" Target="https://marketplace.fedramp.gov/img/logos/CSP_logos/Oracle%20Logo.jpg" TargetMode="External"/><Relationship Id="rId269" Type="http://schemas.openxmlformats.org/officeDocument/2006/relationships/hyperlink" Target="http://www.oracle.com/us/industries/public-sector/government-cloud/index.html" TargetMode="External"/><Relationship Id="rId264" Type="http://schemas.openxmlformats.org/officeDocument/2006/relationships/hyperlink" Target="https://www.MAX.gov" TargetMode="External"/><Relationship Id="rId4000" Type="http://schemas.openxmlformats.org/officeDocument/2006/relationships/hyperlink" Target="https://marketplace.fedramp.gov/img/logos/CSP_logos/IBM%20Logo.jpg" TargetMode="External"/><Relationship Id="rId263" Type="http://schemas.openxmlformats.org/officeDocument/2006/relationships/hyperlink" Target="https://community.max.gov/download/attachments/920093586/OMB%20MAX%20ATO%20Letter%202014-06-09.pdf?api=v2" TargetMode="External"/><Relationship Id="rId262" Type="http://schemas.openxmlformats.org/officeDocument/2006/relationships/hyperlink" Target="https://community.max.gov/x/4IEYLg" TargetMode="External"/><Relationship Id="rId4002" Type="http://schemas.openxmlformats.org/officeDocument/2006/relationships/hyperlink" Target="http://ID.me" TargetMode="External"/><Relationship Id="rId261" Type="http://schemas.openxmlformats.org/officeDocument/2006/relationships/hyperlink" Target="https://marketplace.fedramp.gov/img/logos/Agency_logos/Seal_of_the_Executive_Office_of_the_President_of_the_United_States_2014.png" TargetMode="External"/><Relationship Id="rId4001" Type="http://schemas.openxmlformats.org/officeDocument/2006/relationships/hyperlink" Target="https://marketplace.fedramp.gov/img/logos/Agency_logos/Peace%20Corps%20Logo.jpg" TargetMode="External"/><Relationship Id="rId268" Type="http://schemas.openxmlformats.org/officeDocument/2006/relationships/hyperlink" Target="https://community.max.gov/download/attachments/1155203762/P-ATO_Oracle.FMCS_02.24.14.pdf?api=v2" TargetMode="External"/><Relationship Id="rId4004" Type="http://schemas.openxmlformats.org/officeDocument/2006/relationships/hyperlink" Target="https://www.id.me" TargetMode="External"/><Relationship Id="rId267" Type="http://schemas.openxmlformats.org/officeDocument/2006/relationships/hyperlink" Target="https://community.max.gov/x/DgwdJg" TargetMode="External"/><Relationship Id="rId4003" Type="http://schemas.openxmlformats.org/officeDocument/2006/relationships/hyperlink" Target="https://community.max.gov/x/KBJBTw" TargetMode="External"/><Relationship Id="rId266" Type="http://schemas.openxmlformats.org/officeDocument/2006/relationships/hyperlink" Target="https://marketplace.fedramp.gov/img/logos/Agency_logos/Seal_of_the_Executive_Office_of_the_President_of_the_United_States_2014.png" TargetMode="External"/><Relationship Id="rId4006" Type="http://schemas.openxmlformats.org/officeDocument/2006/relationships/hyperlink" Target="http://www.innovestsystems.com/" TargetMode="External"/><Relationship Id="rId265" Type="http://schemas.openxmlformats.org/officeDocument/2006/relationships/hyperlink" Target="https://marketplace.fedramp.gov/img/logos/CSP_logos/OMB%20Logo.jpg" TargetMode="External"/><Relationship Id="rId4005" Type="http://schemas.openxmlformats.org/officeDocument/2006/relationships/hyperlink" Target="https://marketplace.fedramp.gov/img/logos/CSP_logos/ID.me%20Logo.jpg" TargetMode="External"/><Relationship Id="rId260" Type="http://schemas.openxmlformats.org/officeDocument/2006/relationships/hyperlink" Target="https://marketplace.fedramp.gov/img/logos/CSP_logos/OMB%20Logo.jpg" TargetMode="External"/><Relationship Id="rId259" Type="http://schemas.openxmlformats.org/officeDocument/2006/relationships/hyperlink" Target="https://www.MAX.gov" TargetMode="External"/><Relationship Id="rId258" Type="http://schemas.openxmlformats.org/officeDocument/2006/relationships/hyperlink" Target="https://community.max.gov/download/attachments/920093566/ATO.Letter_MAX.GSS_OMB_06.09.14.pdf?api=v2" TargetMode="External"/><Relationship Id="rId2290" Type="http://schemas.openxmlformats.org/officeDocument/2006/relationships/hyperlink" Target="https://marketplace.fedramp.gov/img/logos/Agency_logos/US-DeptOfCommerce-Seal.png" TargetMode="External"/><Relationship Id="rId2291" Type="http://schemas.openxmlformats.org/officeDocument/2006/relationships/hyperlink" Target="https://community.max.gov/x/WQOaLQ" TargetMode="External"/><Relationship Id="rId2292" Type="http://schemas.openxmlformats.org/officeDocument/2006/relationships/hyperlink" Target="https://community.max.gov/download/attachments/1155203796/ATO.Letter_OracleSC_VA_01.04.17.pdf?api=v2" TargetMode="External"/><Relationship Id="rId2293" Type="http://schemas.openxmlformats.org/officeDocument/2006/relationships/hyperlink" Target="http://cloud.oracle.com/public-sector-cloud" TargetMode="External"/><Relationship Id="rId253" Type="http://schemas.openxmlformats.org/officeDocument/2006/relationships/hyperlink" Target="https://community.max.gov/download/attachments/780173411/ATO.Letter_MS.O365_NSF_04.10.14.pdf?api=v2" TargetMode="External"/><Relationship Id="rId2294" Type="http://schemas.openxmlformats.org/officeDocument/2006/relationships/hyperlink" Target="https://marketplace.fedramp.gov/img/logos/CSP_logos/Oracle%20Logo.jpg" TargetMode="External"/><Relationship Id="rId252" Type="http://schemas.openxmlformats.org/officeDocument/2006/relationships/hyperlink" Target="https://community.max.gov/x/3JC6L" TargetMode="External"/><Relationship Id="rId2295" Type="http://schemas.openxmlformats.org/officeDocument/2006/relationships/hyperlink" Target="https://marketplace.fedramp.gov/img/logos/Agency_logos/Seal_of_the_United_States_Department_of_Veterans_Affairs_(1989-2012).png" TargetMode="External"/><Relationship Id="rId251" Type="http://schemas.openxmlformats.org/officeDocument/2006/relationships/hyperlink" Target="https://marketplace.fedramp.gov/img/logos/Agency_logos/US-DeptOfCommerce-Seal.png" TargetMode="External"/><Relationship Id="rId2296" Type="http://schemas.openxmlformats.org/officeDocument/2006/relationships/hyperlink" Target="https://community.max.gov/x/GwCsPQ" TargetMode="External"/><Relationship Id="rId250" Type="http://schemas.openxmlformats.org/officeDocument/2006/relationships/hyperlink" Target="https://marketplace.fedramp.gov/img/logos/CSP_logos/Microsoft%20Logo.jpg" TargetMode="External"/><Relationship Id="rId2297" Type="http://schemas.openxmlformats.org/officeDocument/2006/relationships/hyperlink" Target="https://community.max.gov/download/attachments/1197709114/ATO.Letter_18F_DoD_DISA_05.02.17.pdf?api=v2" TargetMode="External"/><Relationship Id="rId257" Type="http://schemas.openxmlformats.org/officeDocument/2006/relationships/hyperlink" Target="https://community.max.gov/x/3YEYLg" TargetMode="External"/><Relationship Id="rId2298" Type="http://schemas.openxmlformats.org/officeDocument/2006/relationships/hyperlink" Target="http://www.cloud.gov" TargetMode="External"/><Relationship Id="rId256" Type="http://schemas.openxmlformats.org/officeDocument/2006/relationships/hyperlink" Target="https://marketplace.fedramp.gov/img/logos/Agency_logos/NSF.png" TargetMode="External"/><Relationship Id="rId2299" Type="http://schemas.openxmlformats.org/officeDocument/2006/relationships/hyperlink" Target="https://marketplace.fedramp.gov/img/logos/CSP_logos/Cloud.gov%20Logo.jpg" TargetMode="External"/><Relationship Id="rId255" Type="http://schemas.openxmlformats.org/officeDocument/2006/relationships/hyperlink" Target="https://marketplace.fedramp.gov/img/logos/CSP_logos/Microsoft%20Logo.jpg" TargetMode="External"/><Relationship Id="rId254" Type="http://schemas.openxmlformats.org/officeDocument/2006/relationships/hyperlink" Target="http://www.microsoft.office.com" TargetMode="External"/><Relationship Id="rId4029" Type="http://schemas.openxmlformats.org/officeDocument/2006/relationships/hyperlink" Target="https://marketplace.fedramp.gov/img/logos/Agency_logos/US-DeptOfHHS-Seal.png" TargetMode="External"/><Relationship Id="rId293" Type="http://schemas.openxmlformats.org/officeDocument/2006/relationships/hyperlink" Target="https://gsuite.google.com/" TargetMode="External"/><Relationship Id="rId292" Type="http://schemas.openxmlformats.org/officeDocument/2006/relationships/hyperlink" Target="https://community.max.gov/download/attachments/1531087271/ATO.Letter_Google_NARA_06.24.14-no%20password.pdf?api=v2" TargetMode="External"/><Relationship Id="rId291" Type="http://schemas.openxmlformats.org/officeDocument/2006/relationships/hyperlink" Target="https://community.max.gov/x/34ngVQ" TargetMode="External"/><Relationship Id="rId290" Type="http://schemas.openxmlformats.org/officeDocument/2006/relationships/hyperlink" Target="https://marketplace.fedramp.gov/img/logos/Agency_logos/United_States_Department_of_Defense_Seal.png" TargetMode="External"/><Relationship Id="rId4020" Type="http://schemas.openxmlformats.org/officeDocument/2006/relationships/hyperlink" Target="http://www.lookout.com/gov" TargetMode="External"/><Relationship Id="rId286" Type="http://schemas.openxmlformats.org/officeDocument/2006/relationships/hyperlink" Target="https://community.max.gov/x/DpBJK" TargetMode="External"/><Relationship Id="rId4022" Type="http://schemas.openxmlformats.org/officeDocument/2006/relationships/hyperlink" Target="https://marketplace.fedramp.gov/img/logos/Agency_logos/Seal_of_the_United_States_Department_of_Homeland_Security.png" TargetMode="External"/><Relationship Id="rId285" Type="http://schemas.openxmlformats.org/officeDocument/2006/relationships/hyperlink" Target="https://marketplace.fedramp.gov/img/logos/Agency_logos/US-DeptOfTheTreasury-Seal.png" TargetMode="External"/><Relationship Id="rId4021" Type="http://schemas.openxmlformats.org/officeDocument/2006/relationships/hyperlink" Target="https://marketplace.fedramp.gov/img/logos/CSP_logos/Lookout%20Logo.jpg" TargetMode="External"/><Relationship Id="rId284" Type="http://schemas.openxmlformats.org/officeDocument/2006/relationships/hyperlink" Target="https://marketplace.fedramp.gov/img/logos/CSP_logos/DoT%20Logo.jpg" TargetMode="External"/><Relationship Id="rId4024" Type="http://schemas.openxmlformats.org/officeDocument/2006/relationships/hyperlink" Target="http://www.medallia.com" TargetMode="External"/><Relationship Id="rId283" Type="http://schemas.openxmlformats.org/officeDocument/2006/relationships/hyperlink" Target="http://workplace.gov" TargetMode="External"/><Relationship Id="rId4023" Type="http://schemas.openxmlformats.org/officeDocument/2006/relationships/hyperlink" Target="https://community.max.gov/x/WYpjVg" TargetMode="External"/><Relationship Id="rId4026" Type="http://schemas.openxmlformats.org/officeDocument/2006/relationships/hyperlink" Target="https://community.max.gov/x/4gaNUQ" TargetMode="External"/><Relationship Id="rId289" Type="http://schemas.openxmlformats.org/officeDocument/2006/relationships/hyperlink" Target="https://marketplace.fedramp.gov/img/logos/CSP_logos/Amazon%20Logo.jpg" TargetMode="External"/><Relationship Id="rId4025" Type="http://schemas.openxmlformats.org/officeDocument/2006/relationships/hyperlink" Target="https://marketplace.fedramp.gov/img/logos/CSP_logos/Medallia%20Logo.jpg" TargetMode="External"/><Relationship Id="rId288" Type="http://schemas.openxmlformats.org/officeDocument/2006/relationships/hyperlink" Target="http://www.aws.amazon.com" TargetMode="External"/><Relationship Id="rId4028" Type="http://schemas.openxmlformats.org/officeDocument/2006/relationships/hyperlink" Target="https://marketplace.fedramp.gov/img/logos/CSP_logos/MAXIMUS%20Logo.jpg" TargetMode="External"/><Relationship Id="rId287" Type="http://schemas.openxmlformats.org/officeDocument/2006/relationships/hyperlink" Target="https://community.max.gov/download/attachments/1115488742/ATO.Letter_AWS.EW_DOD_02.06.13.pdf?api=v2" TargetMode="External"/><Relationship Id="rId4027" Type="http://schemas.openxmlformats.org/officeDocument/2006/relationships/hyperlink" Target="http://www.maximus.com/federal/intelligent-assistant" TargetMode="External"/><Relationship Id="rId4019" Type="http://schemas.openxmlformats.org/officeDocument/2006/relationships/hyperlink" Target="https://community.max.gov/x/1ht1Rw" TargetMode="External"/><Relationship Id="rId4018" Type="http://schemas.openxmlformats.org/officeDocument/2006/relationships/hyperlink" Target="https://marketplace.fedramp.gov/img/logos/CSP_logos/Lifeline%20Logo.jpg" TargetMode="External"/><Relationship Id="rId282" Type="http://schemas.openxmlformats.org/officeDocument/2006/relationships/hyperlink" Target="https://community.max.gov/download/attachments/1317439556/ATO.Letter_Treasury.WC2_Treasury_05.06.14.pdf?api=v2" TargetMode="External"/><Relationship Id="rId281" Type="http://schemas.openxmlformats.org/officeDocument/2006/relationships/hyperlink" Target="https://community.max.gov/x/w4ZYL" TargetMode="External"/><Relationship Id="rId280" Type="http://schemas.openxmlformats.org/officeDocument/2006/relationships/hyperlink" Target="https://marketplace.fedramp.gov/img/logos/Agency_logos/US-DeptOfHHS-Seal.png" TargetMode="External"/><Relationship Id="rId275" Type="http://schemas.openxmlformats.org/officeDocument/2006/relationships/hyperlink" Target="https://marketplace.fedramp.gov/img/logos/Agency_logos/US-DeptOfHUD-Seal.png" TargetMode="External"/><Relationship Id="rId4011" Type="http://schemas.openxmlformats.org/officeDocument/2006/relationships/hyperlink" Target="https://marketplace.fedramp.gov/img/logos/Agency_logos/United_States_Department_of_Defense_Seal.png" TargetMode="External"/><Relationship Id="rId274" Type="http://schemas.openxmlformats.org/officeDocument/2006/relationships/hyperlink" Target="https://marketplace.fedramp.gov/img/logos/CSP_logos/Oracle%20Logo.jpg" TargetMode="External"/><Relationship Id="rId4010" Type="http://schemas.openxmlformats.org/officeDocument/2006/relationships/hyperlink" Target="https://marketplace.fedramp.gov/img/logos/CSP_logos/Ivanti%20Logo.jpg" TargetMode="External"/><Relationship Id="rId273" Type="http://schemas.openxmlformats.org/officeDocument/2006/relationships/hyperlink" Target="http://www.oracle.com/us/industries/public-sector/government-cloud/index.html" TargetMode="External"/><Relationship Id="rId4013" Type="http://schemas.openxmlformats.org/officeDocument/2006/relationships/hyperlink" Target="http://www.jivesoftware.com" TargetMode="External"/><Relationship Id="rId272" Type="http://schemas.openxmlformats.org/officeDocument/2006/relationships/hyperlink" Target="https://community.max.gov/download/attachments/1328023355/ATO.Letter_Oracle.FMCS_HUD_09.30.14.pdf?api=v2" TargetMode="External"/><Relationship Id="rId4012" Type="http://schemas.openxmlformats.org/officeDocument/2006/relationships/hyperlink" Target="https://community.max.gov/x/74BSVw" TargetMode="External"/><Relationship Id="rId279" Type="http://schemas.openxmlformats.org/officeDocument/2006/relationships/hyperlink" Target="https://marketplace.fedramp.gov/img/logos/CSP_logos/Salesforce%20Logo.jpg" TargetMode="External"/><Relationship Id="rId4015" Type="http://schemas.openxmlformats.org/officeDocument/2006/relationships/hyperlink" Target="https://marketplace.fedramp.gov/img/logos/Agency_logos/NASA_logo.png" TargetMode="External"/><Relationship Id="rId278" Type="http://schemas.openxmlformats.org/officeDocument/2006/relationships/hyperlink" Target="http://www.salesforce.com/industries/public-sector" TargetMode="External"/><Relationship Id="rId4014" Type="http://schemas.openxmlformats.org/officeDocument/2006/relationships/hyperlink" Target="https://marketplace.fedramp.gov/img/logos/CSP_logos/Jive%20Logo.jpg" TargetMode="External"/><Relationship Id="rId277" Type="http://schemas.openxmlformats.org/officeDocument/2006/relationships/hyperlink" Target="https://community.max.gov/download/attachments/1130635691/ATO.Letter_Salesforce_HHS_05.23.14.pdf?api=v2" TargetMode="External"/><Relationship Id="rId4017" Type="http://schemas.openxmlformats.org/officeDocument/2006/relationships/hyperlink" Target="http://www.lifelinedatacenters.com" TargetMode="External"/><Relationship Id="rId276" Type="http://schemas.openxmlformats.org/officeDocument/2006/relationships/hyperlink" Target="https://community.max.gov/x/eQs3Kw" TargetMode="External"/><Relationship Id="rId4016" Type="http://schemas.openxmlformats.org/officeDocument/2006/relationships/hyperlink" Target="https://community.max.gov/x/lIa9TQ" TargetMode="External"/><Relationship Id="rId1851" Type="http://schemas.openxmlformats.org/officeDocument/2006/relationships/hyperlink" Target="https://marketplace.fedramp.gov/img/logos/CSP_logos/Microsoft%20Logo.jpg" TargetMode="External"/><Relationship Id="rId1852" Type="http://schemas.openxmlformats.org/officeDocument/2006/relationships/hyperlink" Target="https://marketplace.fedramp.gov/img/logos/Agency_logos/US-DeptOfEducation-Seal.png" TargetMode="External"/><Relationship Id="rId1853" Type="http://schemas.openxmlformats.org/officeDocument/2006/relationships/hyperlink" Target="https://community.max.gov/x/_gPNKw" TargetMode="External"/><Relationship Id="rId1854" Type="http://schemas.openxmlformats.org/officeDocument/2006/relationships/hyperlink" Target="https://community.max.gov/download/attachments/1155203438/ATO.Letter_GDIT_DoED_FSA_06.23.16.pdf?api=v2" TargetMode="External"/><Relationship Id="rId1855" Type="http://schemas.openxmlformats.org/officeDocument/2006/relationships/hyperlink" Target="http://www.gdit.com/cloudsolutions" TargetMode="External"/><Relationship Id="rId1856" Type="http://schemas.openxmlformats.org/officeDocument/2006/relationships/hyperlink" Target="https://marketplace.fedramp.gov/img/logos/CSP_logos/GDIT%20Logo.jpg" TargetMode="External"/><Relationship Id="rId1857" Type="http://schemas.openxmlformats.org/officeDocument/2006/relationships/hyperlink" Target="https://marketplace.fedramp.gov/img/logos/Agency_logos/US-DeptOfEducation-Seal.png" TargetMode="External"/><Relationship Id="rId1858" Type="http://schemas.openxmlformats.org/officeDocument/2006/relationships/hyperlink" Target="https://marketplace.fedramp.gov/img/logos/CSP_logos/Qualys%20Logo3.jpg" TargetMode="External"/><Relationship Id="rId1859" Type="http://schemas.openxmlformats.org/officeDocument/2006/relationships/hyperlink" Target="https://marketplace.fedramp.gov/img/logos/Agency_logos/US-DeptOfEducation-Seal.png" TargetMode="External"/><Relationship Id="rId1850" Type="http://schemas.openxmlformats.org/officeDocument/2006/relationships/hyperlink" Target="http://azure.microsoft.com/en-us/" TargetMode="External"/><Relationship Id="rId1840" Type="http://schemas.openxmlformats.org/officeDocument/2006/relationships/hyperlink" Target="https://marketplace.fedramp.gov/img/logos/CSP_logos/Amazon%20Logo.jpg" TargetMode="External"/><Relationship Id="rId1841" Type="http://schemas.openxmlformats.org/officeDocument/2006/relationships/hyperlink" Target="https://marketplace.fedramp.gov/img/logos/Agency_logos/US-DeptOfEducation-Seal.png" TargetMode="External"/><Relationship Id="rId1842" Type="http://schemas.openxmlformats.org/officeDocument/2006/relationships/hyperlink" Target="https://community.max.gov/x/ApBJK" TargetMode="External"/><Relationship Id="rId1843" Type="http://schemas.openxmlformats.org/officeDocument/2006/relationships/hyperlink" Target="https://community.max.gov/download/attachments/1113425425/ATO.Letter_AWSGC_DoED_06.09.16.pdf?api=v2" TargetMode="External"/><Relationship Id="rId1844" Type="http://schemas.openxmlformats.org/officeDocument/2006/relationships/hyperlink" Target="http://www.aws.amazon.com" TargetMode="External"/><Relationship Id="rId1845" Type="http://schemas.openxmlformats.org/officeDocument/2006/relationships/hyperlink" Target="https://marketplace.fedramp.gov/img/logos/CSP_logos/Amazon%20Logo.jpg" TargetMode="External"/><Relationship Id="rId1846" Type="http://schemas.openxmlformats.org/officeDocument/2006/relationships/hyperlink" Target="https://marketplace.fedramp.gov/img/logos/Agency_logos/US-DeptOfEducation-Seal.png" TargetMode="External"/><Relationship Id="rId1847" Type="http://schemas.openxmlformats.org/officeDocument/2006/relationships/hyperlink" Target="https://community.max.gov/display/FedRAMPExternal/MS+Azure+ATO+Letters" TargetMode="External"/><Relationship Id="rId1848" Type="http://schemas.openxmlformats.org/officeDocument/2006/relationships/hyperlink" Target="https://community.max.gov/download/attachments/1155204218/ATO.Letter_MSAzure_DoED_07.13.16.pdf?api=v2" TargetMode="External"/><Relationship Id="rId1849" Type="http://schemas.openxmlformats.org/officeDocument/2006/relationships/hyperlink" Target="mailto:adamsoh@microsoft.com" TargetMode="External"/><Relationship Id="rId1873" Type="http://schemas.openxmlformats.org/officeDocument/2006/relationships/hyperlink" Target="https://marketplace.fedramp.gov/img/logos/CSP_logos/Amazon%20Logo.jpg" TargetMode="External"/><Relationship Id="rId1874" Type="http://schemas.openxmlformats.org/officeDocument/2006/relationships/hyperlink" Target="https://marketplace.fedramp.gov/img/logos/Agency_logos/US-DeptOfAgriculture-Seal2.png" TargetMode="External"/><Relationship Id="rId1875" Type="http://schemas.openxmlformats.org/officeDocument/2006/relationships/hyperlink" Target="https://community.max.gov/x/3JC6L" TargetMode="External"/><Relationship Id="rId1876" Type="http://schemas.openxmlformats.org/officeDocument/2006/relationships/hyperlink" Target="https://community.max.gov/download/attachments/992346706/ATO.Letter_MSO365_DoE_9.29.16.pdf?api=v2" TargetMode="External"/><Relationship Id="rId1877" Type="http://schemas.openxmlformats.org/officeDocument/2006/relationships/hyperlink" Target="http://www.microsoft.office.com" TargetMode="External"/><Relationship Id="rId1878" Type="http://schemas.openxmlformats.org/officeDocument/2006/relationships/hyperlink" Target="https://marketplace.fedramp.gov/img/logos/CSP_logos/Microsoft%20Logo.jpg" TargetMode="External"/><Relationship Id="rId1879" Type="http://schemas.openxmlformats.org/officeDocument/2006/relationships/hyperlink" Target="https://marketplace.fedramp.gov/img/logos/Agency_logos/US-DeptOfEnergy-Seal.png" TargetMode="External"/><Relationship Id="rId1870" Type="http://schemas.openxmlformats.org/officeDocument/2006/relationships/hyperlink" Target="https://community.max.gov/x/DpBJK" TargetMode="External"/><Relationship Id="rId1871" Type="http://schemas.openxmlformats.org/officeDocument/2006/relationships/hyperlink" Target="https://community.max.gov/download/attachments/1115488742/ATO.Letter_AWSEW_USDA_12.31.15.pdf?api=v2" TargetMode="External"/><Relationship Id="rId1872" Type="http://schemas.openxmlformats.org/officeDocument/2006/relationships/hyperlink" Target="http://www.aws.amazon.com" TargetMode="External"/><Relationship Id="rId1862" Type="http://schemas.openxmlformats.org/officeDocument/2006/relationships/hyperlink" Target="http://www.softlayer.com" TargetMode="External"/><Relationship Id="rId1863" Type="http://schemas.openxmlformats.org/officeDocument/2006/relationships/hyperlink" Target="https://marketplace.fedramp.gov/img/logos/CSP_logos/Softlayer%20Logo.jpg" TargetMode="External"/><Relationship Id="rId1864" Type="http://schemas.openxmlformats.org/officeDocument/2006/relationships/hyperlink" Target="https://marketplace.fedramp.gov/img/logos/Agency_logos/US-DeptOfEducation-Seal.png" TargetMode="External"/><Relationship Id="rId1865" Type="http://schemas.openxmlformats.org/officeDocument/2006/relationships/hyperlink" Target="https://community.max.gov/x/eQs3Kw" TargetMode="External"/><Relationship Id="rId1866" Type="http://schemas.openxmlformats.org/officeDocument/2006/relationships/hyperlink" Target="https://community.max.gov/download/attachments/992346725/ATO.Letter_Salesforce_DoC_ITA_6.28.16.pdf?api=v2" TargetMode="External"/><Relationship Id="rId1867" Type="http://schemas.openxmlformats.org/officeDocument/2006/relationships/hyperlink" Target="http://www.salesforce.com/industries/public-sector" TargetMode="External"/><Relationship Id="rId1868" Type="http://schemas.openxmlformats.org/officeDocument/2006/relationships/hyperlink" Target="https://marketplace.fedramp.gov/img/logos/CSP_logos/Salesforce%20Logo.jpg" TargetMode="External"/><Relationship Id="rId1869" Type="http://schemas.openxmlformats.org/officeDocument/2006/relationships/hyperlink" Target="https://marketplace.fedramp.gov/img/logos/Agency_logos/US-DeptOfCommerce-Seal.png" TargetMode="External"/><Relationship Id="rId1860" Type="http://schemas.openxmlformats.org/officeDocument/2006/relationships/hyperlink" Target="https://community.max.gov/x/vg_4Jg" TargetMode="External"/><Relationship Id="rId1861" Type="http://schemas.openxmlformats.org/officeDocument/2006/relationships/hyperlink" Target="https://community.max.gov/download/attachments/1155204011/ATO.Letter_Softlayer_DoED_08.10.16.pdf?api=v2" TargetMode="External"/><Relationship Id="rId1810" Type="http://schemas.openxmlformats.org/officeDocument/2006/relationships/hyperlink" Target="https://marketplace.fedramp.gov/img/logos/CSP_logos/Socrata%20Logo%201.jpg" TargetMode="External"/><Relationship Id="rId1811" Type="http://schemas.openxmlformats.org/officeDocument/2006/relationships/hyperlink" Target="https://marketplace.fedramp.gov/img/logos/Agency_logos/768px-US-DeptOfTransportation-Seal.svg.png" TargetMode="External"/><Relationship Id="rId1812" Type="http://schemas.openxmlformats.org/officeDocument/2006/relationships/hyperlink" Target="https://community.max.gov/x/eQs3Kw" TargetMode="External"/><Relationship Id="rId1813" Type="http://schemas.openxmlformats.org/officeDocument/2006/relationships/hyperlink" Target="https://community.max.gov/download/attachments/992346725/ATO.Letter_Salesforce_SEC_09.23.16.pdf?api=v2" TargetMode="External"/><Relationship Id="rId1814" Type="http://schemas.openxmlformats.org/officeDocument/2006/relationships/hyperlink" Target="http://www.salesforce.com/industries/public-sector" TargetMode="External"/><Relationship Id="rId1815" Type="http://schemas.openxmlformats.org/officeDocument/2006/relationships/hyperlink" Target="https://marketplace.fedramp.gov/img/logos/CSP_logos/Salesforce%20Logo.jpg" TargetMode="External"/><Relationship Id="rId1816" Type="http://schemas.openxmlformats.org/officeDocument/2006/relationships/hyperlink" Target="https://marketplace.fedramp.gov/img/logos/Agency_logos/SEC%20Logo.jpg" TargetMode="External"/><Relationship Id="rId1817" Type="http://schemas.openxmlformats.org/officeDocument/2006/relationships/hyperlink" Target="https://community.max.gov/x/m4IEO" TargetMode="External"/><Relationship Id="rId1818" Type="http://schemas.openxmlformats.org/officeDocument/2006/relationships/hyperlink" Target="https://community.max.gov/download/attachments/939819831/ATO.Letter_BMCFed-SaaS_DoA_FS_10.14.15.pdf?api=v2" TargetMode="External"/><Relationship Id="rId1819" Type="http://schemas.openxmlformats.org/officeDocument/2006/relationships/hyperlink" Target="http://www.bmc.com/" TargetMode="External"/><Relationship Id="rId4080" Type="http://schemas.openxmlformats.org/officeDocument/2006/relationships/hyperlink" Target="https://community.max.gov/x/4YfJX" TargetMode="External"/><Relationship Id="rId4082" Type="http://schemas.openxmlformats.org/officeDocument/2006/relationships/hyperlink" Target="https://marketplace.fedramp.gov/img/logos/CSP_logos/QuestionMark%20Logo.jpg" TargetMode="External"/><Relationship Id="rId4081" Type="http://schemas.openxmlformats.org/officeDocument/2006/relationships/hyperlink" Target="http://www.questionmark.com/" TargetMode="External"/><Relationship Id="rId4084" Type="http://schemas.openxmlformats.org/officeDocument/2006/relationships/hyperlink" Target="https://community.max.gov/x/TIpkWQ" TargetMode="External"/><Relationship Id="rId4083" Type="http://schemas.openxmlformats.org/officeDocument/2006/relationships/hyperlink" Target="https://marketplace.fedramp.gov/img/logos/Agency_logos/DoS%20Logo.png" TargetMode="External"/><Relationship Id="rId4086" Type="http://schemas.openxmlformats.org/officeDocument/2006/relationships/hyperlink" Target="https://marketplace.fedramp.gov/img/logos/CSP_logos/RK%20Logo.jpg" TargetMode="External"/><Relationship Id="rId4085" Type="http://schemas.openxmlformats.org/officeDocument/2006/relationships/hyperlink" Target="https://rksolutions.com/gorpm" TargetMode="External"/><Relationship Id="rId4088" Type="http://schemas.openxmlformats.org/officeDocument/2006/relationships/hyperlink" Target="https://marketplace.fedramp.gov/img/logos/CSP_logos/Rave%20Mobile%20Logo.jpg" TargetMode="External"/><Relationship Id="rId4087" Type="http://schemas.openxmlformats.org/officeDocument/2006/relationships/hyperlink" Target="http://www.ravemobilesafety.com" TargetMode="External"/><Relationship Id="rId4089" Type="http://schemas.openxmlformats.org/officeDocument/2006/relationships/hyperlink" Target="https://marketplace.fedramp.gov/img/logos/Agency_logos/US-DeptOfEnergy-Seal.png" TargetMode="External"/><Relationship Id="rId1800" Type="http://schemas.openxmlformats.org/officeDocument/2006/relationships/hyperlink" Target="https://marketplace.fedramp.gov/img/logos/CSP_logos/IBM%20Logo.jpg" TargetMode="External"/><Relationship Id="rId1801" Type="http://schemas.openxmlformats.org/officeDocument/2006/relationships/hyperlink" Target="https://marketplace.fedramp.gov/img/logos/Agency_logos/United_States_Department_of_Defense_Seal.png" TargetMode="External"/><Relationship Id="rId1802" Type="http://schemas.openxmlformats.org/officeDocument/2006/relationships/hyperlink" Target="https://community.max.gov/x/WQOaLQ" TargetMode="External"/><Relationship Id="rId1803" Type="http://schemas.openxmlformats.org/officeDocument/2006/relationships/hyperlink" Target="https://community.max.gov/download/attachments/1155203796/ATO.Letter_OracleSC_DHS_CBP_09.21.16.pdf?api=v2" TargetMode="External"/><Relationship Id="rId1804" Type="http://schemas.openxmlformats.org/officeDocument/2006/relationships/hyperlink" Target="http://cloud.oracle.com/public-sector-cloud" TargetMode="External"/><Relationship Id="rId1805" Type="http://schemas.openxmlformats.org/officeDocument/2006/relationships/hyperlink" Target="https://marketplace.fedramp.gov/img/logos/CSP_logos/Oracle%20Logo.jpg" TargetMode="External"/><Relationship Id="rId1806" Type="http://schemas.openxmlformats.org/officeDocument/2006/relationships/hyperlink" Target="https://marketplace.fedramp.gov/img/logos/Agency_logos/Seal_of_the_United_States_Department_of_Homeland_Security.png" TargetMode="External"/><Relationship Id="rId1807" Type="http://schemas.openxmlformats.org/officeDocument/2006/relationships/hyperlink" Target="https://community.max.gov/x/XQUyQ" TargetMode="External"/><Relationship Id="rId1808" Type="http://schemas.openxmlformats.org/officeDocument/2006/relationships/hyperlink" Target="https://community.max.gov/download/attachments/1077020007/ATO.Letter_Socrata_DoT_09.14.16.pdf?api=v2" TargetMode="External"/><Relationship Id="rId1809" Type="http://schemas.openxmlformats.org/officeDocument/2006/relationships/hyperlink" Target="http://www.socrata.com" TargetMode="External"/><Relationship Id="rId4071" Type="http://schemas.openxmlformats.org/officeDocument/2006/relationships/hyperlink" Target="https://community.max.gov/x/iQsQX" TargetMode="External"/><Relationship Id="rId4070" Type="http://schemas.openxmlformats.org/officeDocument/2006/relationships/hyperlink" Target="https://marketplace.fedramp.gov/img/logos/Agency_logos/United_States_Department_of_Defense_Seal.png" TargetMode="External"/><Relationship Id="rId4073" Type="http://schemas.openxmlformats.org/officeDocument/2006/relationships/hyperlink" Target="https://marketplace.fedramp.gov/img/logos/Agency_logos/United_States_Department_of_Defense_Seal.png" TargetMode="External"/><Relationship Id="rId4072" Type="http://schemas.openxmlformats.org/officeDocument/2006/relationships/hyperlink" Target="https://marketplace.fedramp.gov/img/logos/CSP_logos/PEOMS%20Logo.jpg" TargetMode="External"/><Relationship Id="rId4075" Type="http://schemas.openxmlformats.org/officeDocument/2006/relationships/hyperlink" Target="https://marketplace.fedramp.gov/img/logos/CSP_logos/Proofpoint%20Logo.jpg" TargetMode="External"/><Relationship Id="rId4074" Type="http://schemas.openxmlformats.org/officeDocument/2006/relationships/hyperlink" Target="https://www.proofpoint.com" TargetMode="External"/><Relationship Id="rId4077" Type="http://schemas.openxmlformats.org/officeDocument/2006/relationships/hyperlink" Target="https://www.proofpoint.com" TargetMode="External"/><Relationship Id="rId4076" Type="http://schemas.openxmlformats.org/officeDocument/2006/relationships/hyperlink" Target="https://marketplace.fedramp.gov/img/logos/Agency_logos/US-FCC-Seal.png" TargetMode="External"/><Relationship Id="rId4079" Type="http://schemas.openxmlformats.org/officeDocument/2006/relationships/hyperlink" Target="https://marketplace.fedramp.gov/img/logos/Agency_logos/US-FCC-Seal.png" TargetMode="External"/><Relationship Id="rId4078" Type="http://schemas.openxmlformats.org/officeDocument/2006/relationships/hyperlink" Target="https://marketplace.fedramp.gov/img/logos/CSP_logos/Proofpoint%20Logo.jpg" TargetMode="External"/><Relationship Id="rId1830" Type="http://schemas.openxmlformats.org/officeDocument/2006/relationships/hyperlink" Target="https://marketplace.fedramp.gov/img/logos/CSP_logos/Salesforce%20Logo.jpg" TargetMode="External"/><Relationship Id="rId1831" Type="http://schemas.openxmlformats.org/officeDocument/2006/relationships/hyperlink" Target="https://marketplace.fedramp.gov/img/logos/Agency_logos/cncs_1.png" TargetMode="External"/><Relationship Id="rId1832" Type="http://schemas.openxmlformats.org/officeDocument/2006/relationships/hyperlink" Target="https://community.max.gov/x/wgmOJQ" TargetMode="External"/><Relationship Id="rId1833" Type="http://schemas.openxmlformats.org/officeDocument/2006/relationships/hyperlink" Target="https://community.max.gov/download/attachments/1116602815/ATO.Letter_Akamai_DoED_07.13.16.pdf?api=v2" TargetMode="External"/><Relationship Id="rId1834" Type="http://schemas.openxmlformats.org/officeDocument/2006/relationships/hyperlink" Target="http://www.akamai.com" TargetMode="External"/><Relationship Id="rId1835" Type="http://schemas.openxmlformats.org/officeDocument/2006/relationships/hyperlink" Target="https://marketplace.fedramp.gov/img/logos/CSP_logos/Akamai%20Logo.jpg" TargetMode="External"/><Relationship Id="rId1836" Type="http://schemas.openxmlformats.org/officeDocument/2006/relationships/hyperlink" Target="https://marketplace.fedramp.gov/img/logos/Agency_logos/US-DeptOfEducation-Seal.png" TargetMode="External"/><Relationship Id="rId1837" Type="http://schemas.openxmlformats.org/officeDocument/2006/relationships/hyperlink" Target="https://community.max.gov/x/DpBJK" TargetMode="External"/><Relationship Id="rId1838" Type="http://schemas.openxmlformats.org/officeDocument/2006/relationships/hyperlink" Target="https://community.max.gov/download/attachments/1115488742/ATO.Letter_AWSEW_DoED_07.26.16.pdf?api=v2" TargetMode="External"/><Relationship Id="rId1839" Type="http://schemas.openxmlformats.org/officeDocument/2006/relationships/hyperlink" Target="http://www.aws.amazon.com" TargetMode="External"/><Relationship Id="rId1820" Type="http://schemas.openxmlformats.org/officeDocument/2006/relationships/hyperlink" Target="https://marketplace.fedramp.gov/img/logos/CSP_logos/BMC%20Logo.jpg" TargetMode="External"/><Relationship Id="rId1821" Type="http://schemas.openxmlformats.org/officeDocument/2006/relationships/hyperlink" Target="https://marketplace.fedramp.gov/img/logos/Agency_logos/US-DeptOfAgriculture-Seal2.png" TargetMode="External"/><Relationship Id="rId1822" Type="http://schemas.openxmlformats.org/officeDocument/2006/relationships/hyperlink" Target="https://community.max.gov/x/zAebJw" TargetMode="External"/><Relationship Id="rId1823" Type="http://schemas.openxmlformats.org/officeDocument/2006/relationships/hyperlink" Target="https://community.max.gov/download/attachments/1155203715/ATO%20Letter_IT-CNP_HHS_CMS_01.29.16.pdf?api=v2" TargetMode="External"/><Relationship Id="rId1824" Type="http://schemas.openxmlformats.org/officeDocument/2006/relationships/hyperlink" Target="http://www.govdatahosting.com/" TargetMode="External"/><Relationship Id="rId1825" Type="http://schemas.openxmlformats.org/officeDocument/2006/relationships/hyperlink" Target="https://marketplace.fedramp.gov/img/logos/CSP_logos/IT-CNP%20Logo.jpg" TargetMode="External"/><Relationship Id="rId1826" Type="http://schemas.openxmlformats.org/officeDocument/2006/relationships/hyperlink" Target="https://marketplace.fedramp.gov/img/logos/Agency_logos/US-DeptOfHHS-Seal.png" TargetMode="External"/><Relationship Id="rId1827" Type="http://schemas.openxmlformats.org/officeDocument/2006/relationships/hyperlink" Target="https://community.max.gov/x/eQs3Kw" TargetMode="External"/><Relationship Id="rId1828" Type="http://schemas.openxmlformats.org/officeDocument/2006/relationships/hyperlink" Target="https://community.max.gov/download/attachments/992346725/ATO.Letter_Salesforce_CNCS_10.13.15.pdf?api=v2" TargetMode="External"/><Relationship Id="rId1829" Type="http://schemas.openxmlformats.org/officeDocument/2006/relationships/hyperlink" Target="http://www.salesforce.com/industries/public-sector" TargetMode="External"/><Relationship Id="rId4091" Type="http://schemas.openxmlformats.org/officeDocument/2006/relationships/hyperlink" Target="https://community.max.gov/download/attachments/1307116769/AHA-PMP%20ATO%20Letter%2007232018.pdf?api=v2" TargetMode="External"/><Relationship Id="rId4090" Type="http://schemas.openxmlformats.org/officeDocument/2006/relationships/hyperlink" Target="https://community.max.gov/x/vI11W" TargetMode="External"/><Relationship Id="rId4093" Type="http://schemas.openxmlformats.org/officeDocument/2006/relationships/hyperlink" Target="https://marketplace.fedramp.gov/img/logos/CSP_logos/REAN%20PMP%20Logo.jpg" TargetMode="External"/><Relationship Id="rId4092" Type="http://schemas.openxmlformats.org/officeDocument/2006/relationships/hyperlink" Target="https://precision.heart.org" TargetMode="External"/><Relationship Id="rId4095" Type="http://schemas.openxmlformats.org/officeDocument/2006/relationships/hyperlink" Target="https://community.max.gov/x/pwLXX" TargetMode="External"/><Relationship Id="rId4094" Type="http://schemas.openxmlformats.org/officeDocument/2006/relationships/hyperlink" Target="https://marketplace.fedramp.gov/img/logos/Agency_logos/US-DeptOfHHS-Seal.png" TargetMode="External"/><Relationship Id="rId4097" Type="http://schemas.openxmlformats.org/officeDocument/2006/relationships/hyperlink" Target="https://marketplace.fedramp.gov/img/logos/CSP_logos/Recovery%20Point%20Logo.jpg" TargetMode="External"/><Relationship Id="rId4096" Type="http://schemas.openxmlformats.org/officeDocument/2006/relationships/hyperlink" Target="http://www.recoverypoint.com" TargetMode="External"/><Relationship Id="rId4099" Type="http://schemas.openxmlformats.org/officeDocument/2006/relationships/hyperlink" Target="http://www.replicon.com" TargetMode="External"/><Relationship Id="rId4098" Type="http://schemas.openxmlformats.org/officeDocument/2006/relationships/hyperlink" Target="https://community.max.gov/x/cY_CUQ" TargetMode="External"/><Relationship Id="rId2302" Type="http://schemas.openxmlformats.org/officeDocument/2006/relationships/hyperlink" Target="https://community.max.gov/download/attachments/1155203438/ATO.Letter_GDIT_DoC_Census_03.16.17.pdf?api=v2" TargetMode="External"/><Relationship Id="rId3634" Type="http://schemas.openxmlformats.org/officeDocument/2006/relationships/hyperlink" Target="http://www.avuetech.com/" TargetMode="External"/><Relationship Id="rId2303" Type="http://schemas.openxmlformats.org/officeDocument/2006/relationships/hyperlink" Target="http://www.gdit.com/cloudsolutions" TargetMode="External"/><Relationship Id="rId3633" Type="http://schemas.openxmlformats.org/officeDocument/2006/relationships/hyperlink" Target="https://community.max.gov/download/attachments/992346648/ATO.Letter_Avue_DoD_DISA_5.25.18.pdf?api=v2" TargetMode="External"/><Relationship Id="rId2304" Type="http://schemas.openxmlformats.org/officeDocument/2006/relationships/hyperlink" Target="https://marketplace.fedramp.gov/img/logos/CSP_logos/GDIT%20Logo.jpg" TargetMode="External"/><Relationship Id="rId3636" Type="http://schemas.openxmlformats.org/officeDocument/2006/relationships/hyperlink" Target="https://marketplace.fedramp.gov/img/logos/Agency_logos/United_States_Department_of_Defense_Seal.png" TargetMode="External"/><Relationship Id="rId2305" Type="http://schemas.openxmlformats.org/officeDocument/2006/relationships/hyperlink" Target="https://marketplace.fedramp.gov/img/logos/Agency_logos/US-DeptOfCommerce-Seal.png" TargetMode="External"/><Relationship Id="rId3635" Type="http://schemas.openxmlformats.org/officeDocument/2006/relationships/hyperlink" Target="https://marketplace.fedramp.gov/img/logos/CSP_logos/Avue%20Logo.jpg" TargetMode="External"/><Relationship Id="rId2306" Type="http://schemas.openxmlformats.org/officeDocument/2006/relationships/hyperlink" Target="https://community.max.gov/x/FgnEJg" TargetMode="External"/><Relationship Id="rId3638" Type="http://schemas.openxmlformats.org/officeDocument/2006/relationships/hyperlink" Target="https://community.max.gov/download/attachments/992346648/ATO.Letter_Avue_DoJ_OJP_3.23.18.pdf?api=v2" TargetMode="External"/><Relationship Id="rId2307" Type="http://schemas.openxmlformats.org/officeDocument/2006/relationships/hyperlink" Target="https://community.max.gov/download/attachments/992346622/ATO.Letter_AINS_DoD_DISA_05.02.17.PDF?api=v2" TargetMode="External"/><Relationship Id="rId3637" Type="http://schemas.openxmlformats.org/officeDocument/2006/relationships/hyperlink" Target="https://community.max.gov/x/NYE7Mw" TargetMode="External"/><Relationship Id="rId2308" Type="http://schemas.openxmlformats.org/officeDocument/2006/relationships/hyperlink" Target="http://www.ains.com" TargetMode="External"/><Relationship Id="rId2309" Type="http://schemas.openxmlformats.org/officeDocument/2006/relationships/hyperlink" Target="https://marketplace.fedramp.gov/img/logos/CSP_logos/AINS%20Logo.jpg" TargetMode="External"/><Relationship Id="rId3639" Type="http://schemas.openxmlformats.org/officeDocument/2006/relationships/hyperlink" Target="http://www.avuetech.com/" TargetMode="External"/><Relationship Id="rId3630" Type="http://schemas.openxmlformats.org/officeDocument/2006/relationships/hyperlink" Target="https://marketplace.fedramp.gov/img/logos/CSP_logos/Blackboard%20Logo.jpg" TargetMode="External"/><Relationship Id="rId2300" Type="http://schemas.openxmlformats.org/officeDocument/2006/relationships/hyperlink" Target="https://marketplace.fedramp.gov/img/logos/Agency_logos/United_States_Department_of_Defense_Seal.png" TargetMode="External"/><Relationship Id="rId3632" Type="http://schemas.openxmlformats.org/officeDocument/2006/relationships/hyperlink" Target="https://community.max.gov/x/NYE7Mw" TargetMode="External"/><Relationship Id="rId2301" Type="http://schemas.openxmlformats.org/officeDocument/2006/relationships/hyperlink" Target="https://community.max.gov/x/_gPNKw" TargetMode="External"/><Relationship Id="rId3631" Type="http://schemas.openxmlformats.org/officeDocument/2006/relationships/hyperlink" Target="https://marketplace.fedramp.gov/img/logos/Agency_logos/United_States_Department_of_Defense_Seal.png" TargetMode="External"/><Relationship Id="rId3623" Type="http://schemas.openxmlformats.org/officeDocument/2006/relationships/hyperlink" Target="https://community.max.gov/download/attachments/992346622/ATO.Letter_AINS_PeaceCorps_3.22.18.pdf?api=v2" TargetMode="External"/><Relationship Id="rId3622" Type="http://schemas.openxmlformats.org/officeDocument/2006/relationships/hyperlink" Target="https://community.max.gov/x/FgnEJg" TargetMode="External"/><Relationship Id="rId3625" Type="http://schemas.openxmlformats.org/officeDocument/2006/relationships/hyperlink" Target="https://marketplace.fedramp.gov/img/logos/CSP_logos/AINS%20Logo.jpg" TargetMode="External"/><Relationship Id="rId3624" Type="http://schemas.openxmlformats.org/officeDocument/2006/relationships/hyperlink" Target="http://www.ains.com" TargetMode="External"/><Relationship Id="rId3627" Type="http://schemas.openxmlformats.org/officeDocument/2006/relationships/hyperlink" Target="https://community.max.gov/x/JwaNUQ" TargetMode="External"/><Relationship Id="rId3626" Type="http://schemas.openxmlformats.org/officeDocument/2006/relationships/hyperlink" Target="https://marketplace.fedramp.gov/img/logos/Agency_logos/Peace%20Corps%20Logo.jpg" TargetMode="External"/><Relationship Id="rId3629" Type="http://schemas.openxmlformats.org/officeDocument/2006/relationships/hyperlink" Target="http://www.blackboard.com" TargetMode="External"/><Relationship Id="rId3628" Type="http://schemas.openxmlformats.org/officeDocument/2006/relationships/hyperlink" Target="https://community.max.gov/download/attachments/1368196677/ATO.Letter_Blackboard_NGA_6.8.18.pdf?api=v2" TargetMode="External"/><Relationship Id="rId3621" Type="http://schemas.openxmlformats.org/officeDocument/2006/relationships/hyperlink" Target="https://marketplace.fedramp.gov/img/logos/Agency_logos/FCA%20Logo.jpg" TargetMode="External"/><Relationship Id="rId3620" Type="http://schemas.openxmlformats.org/officeDocument/2006/relationships/hyperlink" Target="https://marketplace.fedramp.gov/img/logos/CSP_logos/ServiceNow%20Logo.jpg" TargetMode="External"/><Relationship Id="rId2324" Type="http://schemas.openxmlformats.org/officeDocument/2006/relationships/hyperlink" Target="https://marketplace.fedramp.gov/img/logos/CSP_logos/Microsoft%20Logo.jpg" TargetMode="External"/><Relationship Id="rId3656" Type="http://schemas.openxmlformats.org/officeDocument/2006/relationships/hyperlink" Target="https://marketplace.fedramp.gov/img/logos/CSP_logos/Microsoft%20Logo.jpg" TargetMode="External"/><Relationship Id="rId2325" Type="http://schemas.openxmlformats.org/officeDocument/2006/relationships/hyperlink" Target="https://marketplace.fedramp.gov/img/logos/Agency_logos/US-DeptOfTheTreasury-Seal.png" TargetMode="External"/><Relationship Id="rId3655" Type="http://schemas.openxmlformats.org/officeDocument/2006/relationships/hyperlink" Target="http://azure.microsoft.com/en-us/" TargetMode="External"/><Relationship Id="rId2326" Type="http://schemas.openxmlformats.org/officeDocument/2006/relationships/hyperlink" Target="https://community.max.gov/x/FgnEJg" TargetMode="External"/><Relationship Id="rId3658" Type="http://schemas.openxmlformats.org/officeDocument/2006/relationships/hyperlink" Target="https://community.max.gov/x/eQs3Kw" TargetMode="External"/><Relationship Id="rId2327" Type="http://schemas.openxmlformats.org/officeDocument/2006/relationships/hyperlink" Target="https://community.max.gov/download/attachments/992346622/ATO.Letter_AINS_DoEd_OIG_05.11.17.pdf?api=v2" TargetMode="External"/><Relationship Id="rId3657" Type="http://schemas.openxmlformats.org/officeDocument/2006/relationships/hyperlink" Target="https://marketplace.fedramp.gov/img/logos/Agency_logos/EEOC%20Logo.jpg" TargetMode="External"/><Relationship Id="rId2328" Type="http://schemas.openxmlformats.org/officeDocument/2006/relationships/hyperlink" Target="http://www.ains.com" TargetMode="External"/><Relationship Id="rId2329" Type="http://schemas.openxmlformats.org/officeDocument/2006/relationships/hyperlink" Target="https://marketplace.fedramp.gov/img/logos/CSP_logos/AINS%20Logo.jpg" TargetMode="External"/><Relationship Id="rId3659" Type="http://schemas.openxmlformats.org/officeDocument/2006/relationships/hyperlink" Target="https://community.max.gov/download/attachments/992346725/ATO.Letter_Salesforce_NCUA_3.14.18.pdf?api=v2" TargetMode="External"/><Relationship Id="rId3650" Type="http://schemas.openxmlformats.org/officeDocument/2006/relationships/hyperlink" Target="https://marketplace.fedramp.gov/img/logos/CSP_logos/Workiva%20Logo.jpg" TargetMode="External"/><Relationship Id="rId2320" Type="http://schemas.openxmlformats.org/officeDocument/2006/relationships/hyperlink" Target="https://marketplace.fedramp.gov/img/logos/Agency_logos/FHFA%20Logo.jpg" TargetMode="External"/><Relationship Id="rId3652" Type="http://schemas.openxmlformats.org/officeDocument/2006/relationships/hyperlink" Target="https://community.max.gov/x/WgZfJw" TargetMode="External"/><Relationship Id="rId2321" Type="http://schemas.openxmlformats.org/officeDocument/2006/relationships/hyperlink" Target="https://community.max.gov/x/3JC6L" TargetMode="External"/><Relationship Id="rId3651" Type="http://schemas.openxmlformats.org/officeDocument/2006/relationships/hyperlink" Target="https://marketplace.fedramp.gov/img/logos/Agency_logos/US-TennesseeValleyAuthority-Logo.png" TargetMode="External"/><Relationship Id="rId2322" Type="http://schemas.openxmlformats.org/officeDocument/2006/relationships/hyperlink" Target="https://community.max.gov/download/attachments/780173411/ATO.Letter_MSO365_DoT_OCC_01.12.17.pdf?api=v2" TargetMode="External"/><Relationship Id="rId3654" Type="http://schemas.openxmlformats.org/officeDocument/2006/relationships/hyperlink" Target="mailto:AzureFedRAMP@microsoft.com" TargetMode="External"/><Relationship Id="rId2323" Type="http://schemas.openxmlformats.org/officeDocument/2006/relationships/hyperlink" Target="http://www.microsoft.office.com" TargetMode="External"/><Relationship Id="rId3653" Type="http://schemas.openxmlformats.org/officeDocument/2006/relationships/hyperlink" Target="https://community.max.gov/download/attachments/1155204218/ATO.Letter_MSAG_EEOC_6.6.18.pdf?api=v2" TargetMode="External"/><Relationship Id="rId2313" Type="http://schemas.openxmlformats.org/officeDocument/2006/relationships/hyperlink" Target="http://www.aws.amazon.com" TargetMode="External"/><Relationship Id="rId3645" Type="http://schemas.openxmlformats.org/officeDocument/2006/relationships/hyperlink" Target="https://marketplace.fedramp.gov/img/logos/CSP_logos/Huddle%20Logo.jpg" TargetMode="External"/><Relationship Id="rId2314" Type="http://schemas.openxmlformats.org/officeDocument/2006/relationships/hyperlink" Target="https://marketplace.fedramp.gov/img/logos/CSP_logos/Amazon%20Logo.jpg" TargetMode="External"/><Relationship Id="rId3644" Type="http://schemas.openxmlformats.org/officeDocument/2006/relationships/hyperlink" Target="http://www.huddle.com" TargetMode="External"/><Relationship Id="rId2315" Type="http://schemas.openxmlformats.org/officeDocument/2006/relationships/hyperlink" Target="https://marketplace.fedramp.gov/img/logos/Agency_logos/United_States_Department_of_Defense_Seal.png" TargetMode="External"/><Relationship Id="rId3647" Type="http://schemas.openxmlformats.org/officeDocument/2006/relationships/hyperlink" Target="https://community.max.gov/x/SgSLW" TargetMode="External"/><Relationship Id="rId2316" Type="http://schemas.openxmlformats.org/officeDocument/2006/relationships/hyperlink" Target="https://community.max.gov/x/EYGKLQ" TargetMode="External"/><Relationship Id="rId3646" Type="http://schemas.openxmlformats.org/officeDocument/2006/relationships/hyperlink" Target="https://marketplace.fedramp.gov/img/logos/Agency_logos/United_States_Department_of_Defense_Seal.png" TargetMode="External"/><Relationship Id="rId2317" Type="http://schemas.openxmlformats.org/officeDocument/2006/relationships/hyperlink" Target="https://community.max.gov/download/attachments/882934025/ATO.Letter_ProjectHosts_FHFA_05.08.17.pdf?api=v2" TargetMode="External"/><Relationship Id="rId3649" Type="http://schemas.openxmlformats.org/officeDocument/2006/relationships/hyperlink" Target="https://www.workiva.com/" TargetMode="External"/><Relationship Id="rId2318" Type="http://schemas.openxmlformats.org/officeDocument/2006/relationships/hyperlink" Target="http://www.projecthosts.com" TargetMode="External"/><Relationship Id="rId3648" Type="http://schemas.openxmlformats.org/officeDocument/2006/relationships/hyperlink" Target="https://community.max.gov/download/attachments/767132952/ATO.Letter_Workiva_TVA_6.12.18.pdf?api=v2" TargetMode="External"/><Relationship Id="rId2319" Type="http://schemas.openxmlformats.org/officeDocument/2006/relationships/hyperlink" Target="https://marketplace.fedramp.gov/img/logos/CSP_logos/Project%20Hosts%20Logo.jpg" TargetMode="External"/><Relationship Id="rId3641" Type="http://schemas.openxmlformats.org/officeDocument/2006/relationships/hyperlink" Target="https://marketplace.fedramp.gov/img/logos/Agency_logos/Seal_of_the_United_States_Department_of_Justice.png" TargetMode="External"/><Relationship Id="rId2310" Type="http://schemas.openxmlformats.org/officeDocument/2006/relationships/hyperlink" Target="https://marketplace.fedramp.gov/img/logos/Agency_logos/United_States_Department_of_Defense_Seal.png" TargetMode="External"/><Relationship Id="rId3640" Type="http://schemas.openxmlformats.org/officeDocument/2006/relationships/hyperlink" Target="https://marketplace.fedramp.gov/img/logos/CSP_logos/Avue%20Logo.jpg" TargetMode="External"/><Relationship Id="rId2311" Type="http://schemas.openxmlformats.org/officeDocument/2006/relationships/hyperlink" Target="https://community.max.gov/x/ApBJK" TargetMode="External"/><Relationship Id="rId3643" Type="http://schemas.openxmlformats.org/officeDocument/2006/relationships/hyperlink" Target="https://community.max.gov/download/attachments/992346693/ATO.Letter_Huddle_DoD_DISA_5.25.18.pdf?api=v2" TargetMode="External"/><Relationship Id="rId2312" Type="http://schemas.openxmlformats.org/officeDocument/2006/relationships/hyperlink" Target="https://community.max.gov/download/attachments/1113425425/ATO.Letter_AWSGC_DoD_DISA_04.08.17.pdf?api=v2" TargetMode="External"/><Relationship Id="rId3642" Type="http://schemas.openxmlformats.org/officeDocument/2006/relationships/hyperlink" Target="https://community.max.gov/x/KoE7Mw" TargetMode="External"/><Relationship Id="rId1895" Type="http://schemas.openxmlformats.org/officeDocument/2006/relationships/hyperlink" Target="https://community.max.gov/x/aY5VJQ" TargetMode="External"/><Relationship Id="rId1896" Type="http://schemas.openxmlformats.org/officeDocument/2006/relationships/hyperlink" Target="https://community.max.gov/download/attachments/1116602812/ATO.Letter_ATTSTaaS_DOD_DISA_10.02.16.pdf?api=v2" TargetMode="External"/><Relationship Id="rId1897" Type="http://schemas.openxmlformats.org/officeDocument/2006/relationships/hyperlink" Target="https://www.synaptic.att.com/clouduser/" TargetMode="External"/><Relationship Id="rId1898" Type="http://schemas.openxmlformats.org/officeDocument/2006/relationships/hyperlink" Target="https://marketplace.fedramp.gov/img/logos/Agency_logos/United_States_Department_of_Defense_Seal.png" TargetMode="External"/><Relationship Id="rId1899" Type="http://schemas.openxmlformats.org/officeDocument/2006/relationships/hyperlink" Target="https://community.max.gov/x/AxXrJQ" TargetMode="External"/><Relationship Id="rId1890" Type="http://schemas.openxmlformats.org/officeDocument/2006/relationships/hyperlink" Target="https://community.max.gov/x/wgmOJQ" TargetMode="External"/><Relationship Id="rId1891" Type="http://schemas.openxmlformats.org/officeDocument/2006/relationships/hyperlink" Target="https://community.max.gov/download/attachments/1116602815/ATO.Letter_Akamai_DOD_DISA_10.02.16.pdf?api=v2" TargetMode="External"/><Relationship Id="rId1892" Type="http://schemas.openxmlformats.org/officeDocument/2006/relationships/hyperlink" Target="http://www.akamai.com" TargetMode="External"/><Relationship Id="rId1893" Type="http://schemas.openxmlformats.org/officeDocument/2006/relationships/hyperlink" Target="https://marketplace.fedramp.gov/img/logos/CSP_logos/Akamai%20Logo.jpg" TargetMode="External"/><Relationship Id="rId1894" Type="http://schemas.openxmlformats.org/officeDocument/2006/relationships/hyperlink" Target="https://marketplace.fedramp.gov/img/logos/Agency_logos/United_States_Department_of_Defense_Seal.png" TargetMode="External"/><Relationship Id="rId1884" Type="http://schemas.openxmlformats.org/officeDocument/2006/relationships/hyperlink" Target="https://marketplace.fedramp.gov/img/logos/Agency_logos/US-DeptOfHHS-Seal.png" TargetMode="External"/><Relationship Id="rId1885" Type="http://schemas.openxmlformats.org/officeDocument/2006/relationships/hyperlink" Target="https://community.max.gov/x/bwBCMg" TargetMode="External"/><Relationship Id="rId1886" Type="http://schemas.openxmlformats.org/officeDocument/2006/relationships/hyperlink" Target="https://community.max.gov/download/attachments/976290520/ATO.Letter_Airwatch_DOC_Census_10.11.16.pdf?api=v2" TargetMode="External"/><Relationship Id="rId1887" Type="http://schemas.openxmlformats.org/officeDocument/2006/relationships/hyperlink" Target="http://www.air-watch.com" TargetMode="External"/><Relationship Id="rId1888" Type="http://schemas.openxmlformats.org/officeDocument/2006/relationships/hyperlink" Target="https://marketplace.fedramp.gov/img/logos/CSP_logos/Airwatch%20Logo.jpg" TargetMode="External"/><Relationship Id="rId1889" Type="http://schemas.openxmlformats.org/officeDocument/2006/relationships/hyperlink" Target="https://marketplace.fedramp.gov/img/logos/Agency_logos/US-DeptOfCommerce-Seal.png" TargetMode="External"/><Relationship Id="rId1880" Type="http://schemas.openxmlformats.org/officeDocument/2006/relationships/hyperlink" Target="https://community.max.gov/x/_gPNKw" TargetMode="External"/><Relationship Id="rId1881" Type="http://schemas.openxmlformats.org/officeDocument/2006/relationships/hyperlink" Target="https://community.max.gov/download/attachments/1155203438/ATO.Letter_GDIT_HHS_CMS_1.28.16.pdf?api=v2" TargetMode="External"/><Relationship Id="rId1882" Type="http://schemas.openxmlformats.org/officeDocument/2006/relationships/hyperlink" Target="http://www.gdit.com/cloudsolutions" TargetMode="External"/><Relationship Id="rId1883" Type="http://schemas.openxmlformats.org/officeDocument/2006/relationships/hyperlink" Target="https://marketplace.fedramp.gov/img/logos/CSP_logos/GDIT%20Logo.jpg" TargetMode="External"/><Relationship Id="rId3612" Type="http://schemas.openxmlformats.org/officeDocument/2006/relationships/hyperlink" Target="https://community.max.gov/x/0h0kSQ" TargetMode="External"/><Relationship Id="rId3611" Type="http://schemas.openxmlformats.org/officeDocument/2006/relationships/hyperlink" Target="https://marketplace.fedramp.gov/img/logos/Agency_logos/Seal_of_the_United_States_Department_of_Homeland_Security.png" TargetMode="External"/><Relationship Id="rId3614" Type="http://schemas.openxmlformats.org/officeDocument/2006/relationships/hyperlink" Target="http://www.accellion.com/government" TargetMode="External"/><Relationship Id="rId3613" Type="http://schemas.openxmlformats.org/officeDocument/2006/relationships/hyperlink" Target="https://community.max.gov/download/attachments/1129612893/ATO.Letter_Accellion_CNCS_6.7.18.pdf?api=v2" TargetMode="External"/><Relationship Id="rId3616" Type="http://schemas.openxmlformats.org/officeDocument/2006/relationships/hyperlink" Target="https://marketplace.fedramp.gov/img/logos/Agency_logos/cncs_1.png" TargetMode="External"/><Relationship Id="rId3615" Type="http://schemas.openxmlformats.org/officeDocument/2006/relationships/hyperlink" Target="https://marketplace.fedramp.gov/img/logos/CSP_logos/Accellion%20Logo.jpg" TargetMode="External"/><Relationship Id="rId3618" Type="http://schemas.openxmlformats.org/officeDocument/2006/relationships/hyperlink" Target="https://community.max.gov/download/attachments/1155203837/ATO.Letter_ServiceNow_FCA_5.31.18.pdf?api=v2" TargetMode="External"/><Relationship Id="rId3617" Type="http://schemas.openxmlformats.org/officeDocument/2006/relationships/hyperlink" Target="https://community.max.gov/x/QoWaP" TargetMode="External"/><Relationship Id="rId3619" Type="http://schemas.openxmlformats.org/officeDocument/2006/relationships/hyperlink" Target="http://www.servicenow.com" TargetMode="External"/><Relationship Id="rId3610" Type="http://schemas.openxmlformats.org/officeDocument/2006/relationships/hyperlink" Target="https://marketplace.fedramp.gov/img/logos/CSP_logos/Amazon%20Logo.jpg" TargetMode="External"/><Relationship Id="rId3601" Type="http://schemas.openxmlformats.org/officeDocument/2006/relationships/hyperlink" Target="https://marketplace.fedramp.gov/img/logos/Agency_logos/US-DeptOfTheTreasury-Seal.png" TargetMode="External"/><Relationship Id="rId3600" Type="http://schemas.openxmlformats.org/officeDocument/2006/relationships/hyperlink" Target="https://marketplace.fedramp.gov/img/logos/CSP_logos/Microsoft%20Logo.jpg" TargetMode="External"/><Relationship Id="rId3603" Type="http://schemas.openxmlformats.org/officeDocument/2006/relationships/hyperlink" Target="https://community.max.gov/download/attachments/1115488742/ATO.Letter_AWSEW_CFPB_3.16.18.pdf?api=v2" TargetMode="External"/><Relationship Id="rId3602" Type="http://schemas.openxmlformats.org/officeDocument/2006/relationships/hyperlink" Target="https://community.max.gov/x/DpBJK" TargetMode="External"/><Relationship Id="rId3605" Type="http://schemas.openxmlformats.org/officeDocument/2006/relationships/hyperlink" Target="https://marketplace.fedramp.gov/img/logos/CSP_logos/Amazon%20Logo.jpg" TargetMode="External"/><Relationship Id="rId3604" Type="http://schemas.openxmlformats.org/officeDocument/2006/relationships/hyperlink" Target="http://www.aws.amazon.com" TargetMode="External"/><Relationship Id="rId3607" Type="http://schemas.openxmlformats.org/officeDocument/2006/relationships/hyperlink" Target="https://community.max.gov/x/vgVqQQ" TargetMode="External"/><Relationship Id="rId3606" Type="http://schemas.openxmlformats.org/officeDocument/2006/relationships/hyperlink" Target="https://marketplace.fedramp.gov/img/logos/Agency_logos/CFPB_Logo.png" TargetMode="External"/><Relationship Id="rId3609" Type="http://schemas.openxmlformats.org/officeDocument/2006/relationships/hyperlink" Target="http://www.aws.amazon.com" TargetMode="External"/><Relationship Id="rId3608" Type="http://schemas.openxmlformats.org/officeDocument/2006/relationships/hyperlink" Target="https://community.max.gov/download/attachments/1097467326/ATO.Letter_AWSGC_DHS_FEMA_2.2.18.pdf?api=v2" TargetMode="External"/><Relationship Id="rId1059" Type="http://schemas.openxmlformats.org/officeDocument/2006/relationships/hyperlink" Target="https://marketplace.fedramp.gov/img/logos/CSP_logos/SAIC%20Logo.jpg" TargetMode="External"/><Relationship Id="rId228" Type="http://schemas.openxmlformats.org/officeDocument/2006/relationships/hyperlink" Target="https://community.max.gov/x/RgLbR" TargetMode="External"/><Relationship Id="rId227" Type="http://schemas.openxmlformats.org/officeDocument/2006/relationships/hyperlink" Target="https://marketplace.fedramp.gov/img/logos/Agency_logos/Seal_of_the_United_States_Department_of_Homeland_Security.png" TargetMode="External"/><Relationship Id="rId226" Type="http://schemas.openxmlformats.org/officeDocument/2006/relationships/hyperlink" Target="https://marketplace.fedramp.gov/img/logos/CSP_logos/MicroFocus%20Logo.jpg" TargetMode="External"/><Relationship Id="rId225" Type="http://schemas.openxmlformats.org/officeDocument/2006/relationships/hyperlink" Target="https://software.microfocus.com/en-us/home" TargetMode="External"/><Relationship Id="rId2380" Type="http://schemas.openxmlformats.org/officeDocument/2006/relationships/hyperlink" Target="https://marketplace.fedramp.gov/img/logos/CSP_logos/Akamai%20Logo.jpg" TargetMode="External"/><Relationship Id="rId229" Type="http://schemas.openxmlformats.org/officeDocument/2006/relationships/hyperlink" Target="https://community.max.gov/download/attachments/1155203654/P-ATO_IBM.SCG_11.07.13.pdf?api=v2" TargetMode="External"/><Relationship Id="rId1050" Type="http://schemas.openxmlformats.org/officeDocument/2006/relationships/hyperlink" Target="https://marketplace.fedramp.gov/img/logos/CSP_logos/ARC-P%20Logo.jpg" TargetMode="External"/><Relationship Id="rId2381" Type="http://schemas.openxmlformats.org/officeDocument/2006/relationships/hyperlink" Target="https://marketplace.fedramp.gov/img/logos/Agency_logos/NSF.png" TargetMode="External"/><Relationship Id="rId220" Type="http://schemas.openxmlformats.org/officeDocument/2006/relationships/hyperlink" Target="https://community.max.gov/download/attachments/1155203563/ATO.Letter_HPE.Helion_DHS_06.02.14.pdf?api=v2" TargetMode="External"/><Relationship Id="rId1051" Type="http://schemas.openxmlformats.org/officeDocument/2006/relationships/hyperlink" Target="https://marketplace.fedramp.gov/img/logos/Agency_logos/US-DeptOfTheInterior-Seal.png" TargetMode="External"/><Relationship Id="rId2382" Type="http://schemas.openxmlformats.org/officeDocument/2006/relationships/hyperlink" Target="https://community.max.gov/x/3JC6L" TargetMode="External"/><Relationship Id="rId1052" Type="http://schemas.openxmlformats.org/officeDocument/2006/relationships/hyperlink" Target="https://community.max.gov/x/xIGIOg" TargetMode="External"/><Relationship Id="rId2383" Type="http://schemas.openxmlformats.org/officeDocument/2006/relationships/hyperlink" Target="https://community.max.gov/download/attachments/780173411/ATO.Letter_MSO365_DoC_FirstNet_03.15.17.pdf?api=v2" TargetMode="External"/><Relationship Id="rId1053" Type="http://schemas.openxmlformats.org/officeDocument/2006/relationships/hyperlink" Target="https://community.max.gov/download/attachments/982024658/ATO.Letter_Cisco_HHS_01.04.16.pdf?api=v2" TargetMode="External"/><Relationship Id="rId2384" Type="http://schemas.openxmlformats.org/officeDocument/2006/relationships/hyperlink" Target="http://www.microsoft.office.com" TargetMode="External"/><Relationship Id="rId1054" Type="http://schemas.openxmlformats.org/officeDocument/2006/relationships/hyperlink" Target="https://marketplace.fedramp.gov/img/logos/CSP_logos/Cisco%20Logo.jpg" TargetMode="External"/><Relationship Id="rId2385" Type="http://schemas.openxmlformats.org/officeDocument/2006/relationships/hyperlink" Target="https://marketplace.fedramp.gov/img/logos/CSP_logos/Microsoft%20Logo.jpg" TargetMode="External"/><Relationship Id="rId224" Type="http://schemas.openxmlformats.org/officeDocument/2006/relationships/hyperlink" Target="https://community.max.gov/download/attachments/1155203492/ATO.Letter_HPE.FOD_DHS_06.07.14.pdf?api=v2" TargetMode="External"/><Relationship Id="rId1055" Type="http://schemas.openxmlformats.org/officeDocument/2006/relationships/hyperlink" Target="https://marketplace.fedramp.gov/img/logos/Agency_logos/US-DeptOfHHS-Seal.png" TargetMode="External"/><Relationship Id="rId2386" Type="http://schemas.openxmlformats.org/officeDocument/2006/relationships/hyperlink" Target="https://marketplace.fedramp.gov/img/logos/Agency_logos/US-DeptOfCommerce-Seal.png" TargetMode="External"/><Relationship Id="rId223" Type="http://schemas.openxmlformats.org/officeDocument/2006/relationships/hyperlink" Target="https://community.max.gov/x/cKF3Jg" TargetMode="External"/><Relationship Id="rId1056" Type="http://schemas.openxmlformats.org/officeDocument/2006/relationships/hyperlink" Target="https://community.max.gov/x/awMpLg" TargetMode="External"/><Relationship Id="rId2387" Type="http://schemas.openxmlformats.org/officeDocument/2006/relationships/hyperlink" Target="https://community.max.gov/x/GBU6Jg" TargetMode="External"/><Relationship Id="rId222" Type="http://schemas.openxmlformats.org/officeDocument/2006/relationships/hyperlink" Target="https://marketplace.fedramp.gov/img/logos/Agency_logos/Seal_of_the_United_States_Department_of_Homeland_Security.png" TargetMode="External"/><Relationship Id="rId1057" Type="http://schemas.openxmlformats.org/officeDocument/2006/relationships/hyperlink" Target="https://community.max.gov/download/attachments/1153174333/P-ATO_Day1_12.14.15.pdf?api=v2" TargetMode="External"/><Relationship Id="rId2388" Type="http://schemas.openxmlformats.org/officeDocument/2006/relationships/hyperlink" Target="https://community.max.gov/download/attachments/1256458199/ATO.Letter_MaaS360_DoC_FirstNet_03.15.17.pdf?api=v2" TargetMode="External"/><Relationship Id="rId221" Type="http://schemas.openxmlformats.org/officeDocument/2006/relationships/hyperlink" Target="https://marketplace.fedramp.gov/img/logos/CSP_logos/DXC%20Logo.jpg" TargetMode="External"/><Relationship Id="rId1058" Type="http://schemas.openxmlformats.org/officeDocument/2006/relationships/hyperlink" Target="http://www.saic.com/services-solutions/technology-solutions/cloud/" TargetMode="External"/><Relationship Id="rId2389" Type="http://schemas.openxmlformats.org/officeDocument/2006/relationships/hyperlink" Target="http://www.maas360.com" TargetMode="External"/><Relationship Id="rId1048" Type="http://schemas.openxmlformats.org/officeDocument/2006/relationships/hyperlink" Target="https://community.max.gov/download/attachments/1155204092/ATO.Letter_ARC-P_DOI_12.17.15.pdf?api=v2" TargetMode="External"/><Relationship Id="rId2379" Type="http://schemas.openxmlformats.org/officeDocument/2006/relationships/hyperlink" Target="http://www.akamai.com" TargetMode="External"/><Relationship Id="rId1049" Type="http://schemas.openxmlformats.org/officeDocument/2006/relationships/hyperlink" Target="http://www.autonomicresources.com" TargetMode="External"/><Relationship Id="rId217" Type="http://schemas.openxmlformats.org/officeDocument/2006/relationships/hyperlink" Target="https://marketplace.fedramp.gov/img/logos/CSP_logos/DataBank%20Logo.jpg" TargetMode="External"/><Relationship Id="rId216" Type="http://schemas.openxmlformats.org/officeDocument/2006/relationships/hyperlink" Target="https://www.databank.com/" TargetMode="External"/><Relationship Id="rId215" Type="http://schemas.openxmlformats.org/officeDocument/2006/relationships/hyperlink" Target="https://community.max.gov/download/attachments/992346677/ATO.Letter_EdgeHosting_DOL_08.08.14.pdf?api=v2" TargetMode="External"/><Relationship Id="rId214" Type="http://schemas.openxmlformats.org/officeDocument/2006/relationships/hyperlink" Target="https://community.max.gov/x/XYPDLw" TargetMode="External"/><Relationship Id="rId219" Type="http://schemas.openxmlformats.org/officeDocument/2006/relationships/hyperlink" Target="https://community.max.gov/x/cKF3Jg" TargetMode="External"/><Relationship Id="rId218" Type="http://schemas.openxmlformats.org/officeDocument/2006/relationships/hyperlink" Target="https://marketplace.fedramp.gov/img/logos/Agency_logos/US-DeptOfLabor-Seal-AltColors.svg.png" TargetMode="External"/><Relationship Id="rId2370" Type="http://schemas.openxmlformats.org/officeDocument/2006/relationships/hyperlink" Target="https://marketplace.fedramp.gov/img/logos/CSP_logos/Esri%20Logo2.jpg" TargetMode="External"/><Relationship Id="rId1040" Type="http://schemas.openxmlformats.org/officeDocument/2006/relationships/hyperlink" Target="http://www.aws.amazon.com" TargetMode="External"/><Relationship Id="rId2371" Type="http://schemas.openxmlformats.org/officeDocument/2006/relationships/hyperlink" Target="https://marketplace.fedramp.gov/img/logos/Agency_logos/US-DeptOfAgriculture-Seal2.png" TargetMode="External"/><Relationship Id="rId1041" Type="http://schemas.openxmlformats.org/officeDocument/2006/relationships/hyperlink" Target="https://marketplace.fedramp.gov/img/logos/CSP_logos/Amazon%20Logo.jpg" TargetMode="External"/><Relationship Id="rId2372" Type="http://schemas.openxmlformats.org/officeDocument/2006/relationships/hyperlink" Target="https://community.max.gov/x/EYGKLQ" TargetMode="External"/><Relationship Id="rId1042" Type="http://schemas.openxmlformats.org/officeDocument/2006/relationships/hyperlink" Target="https://marketplace.fedramp.gov/img/logos/Agency_logos/US-DeptOfHHS-Seal.png" TargetMode="External"/><Relationship Id="rId2373" Type="http://schemas.openxmlformats.org/officeDocument/2006/relationships/hyperlink" Target="https://community.max.gov/download/attachments/882934025/ATO.Letter_ProjectHosts_GSAIT_05.11.17.pdf?api=v2" TargetMode="External"/><Relationship Id="rId1043" Type="http://schemas.openxmlformats.org/officeDocument/2006/relationships/hyperlink" Target="https://community.max.gov/x/aY5VJQ" TargetMode="External"/><Relationship Id="rId2374" Type="http://schemas.openxmlformats.org/officeDocument/2006/relationships/hyperlink" Target="http://www.projecthosts.com" TargetMode="External"/><Relationship Id="rId213" Type="http://schemas.openxmlformats.org/officeDocument/2006/relationships/hyperlink" Target="https://marketplace.fedramp.gov/img/logos/CSP_logos/EconSys%20Logo.jpg" TargetMode="External"/><Relationship Id="rId1044" Type="http://schemas.openxmlformats.org/officeDocument/2006/relationships/hyperlink" Target="https://community.max.gov/download/attachments/1256457937/ATO.Letter_ATT_DOI_12.17.15.pdf?api=v2" TargetMode="External"/><Relationship Id="rId2375" Type="http://schemas.openxmlformats.org/officeDocument/2006/relationships/hyperlink" Target="https://marketplace.fedramp.gov/img/logos/CSP_logos/Project%20Hosts%20Logo.jpg" TargetMode="External"/><Relationship Id="rId212" Type="http://schemas.openxmlformats.org/officeDocument/2006/relationships/hyperlink" Target="http://www.fedhrnavigator.com/" TargetMode="External"/><Relationship Id="rId1045" Type="http://schemas.openxmlformats.org/officeDocument/2006/relationships/hyperlink" Target="https://www.synaptic.att.com/clouduser/" TargetMode="External"/><Relationship Id="rId2376" Type="http://schemas.openxmlformats.org/officeDocument/2006/relationships/hyperlink" Target="https://marketplace.fedramp.gov/img/logos/Agency_logos/GSAlogo.png" TargetMode="External"/><Relationship Id="rId211" Type="http://schemas.openxmlformats.org/officeDocument/2006/relationships/hyperlink" Target="https://community.max.gov/download/attachments/1155203360/P-ATO_EconSys.FHR_04.25.14.pdf?api=v2" TargetMode="External"/><Relationship Id="rId1046" Type="http://schemas.openxmlformats.org/officeDocument/2006/relationships/hyperlink" Target="https://marketplace.fedramp.gov/img/logos/Agency_logos/US-DeptOfTheInterior-Seal.png" TargetMode="External"/><Relationship Id="rId2377" Type="http://schemas.openxmlformats.org/officeDocument/2006/relationships/hyperlink" Target="https://community.max.gov/x/wgmOJQ" TargetMode="External"/><Relationship Id="rId210" Type="http://schemas.openxmlformats.org/officeDocument/2006/relationships/hyperlink" Target="https://community.max.gov/x/eoVSJw" TargetMode="External"/><Relationship Id="rId1047" Type="http://schemas.openxmlformats.org/officeDocument/2006/relationships/hyperlink" Target="https://community.max.gov/x/bI5VJQ" TargetMode="External"/><Relationship Id="rId2378" Type="http://schemas.openxmlformats.org/officeDocument/2006/relationships/hyperlink" Target="https://community.max.gov/download/attachments/1116602815/ATO.Letter_Akamai_NSF_05.30.17.pdf?api=v2" TargetMode="External"/><Relationship Id="rId4107" Type="http://schemas.openxmlformats.org/officeDocument/2006/relationships/hyperlink" Target="https://marketplace.fedramp.gov/img/logos/CSP_logos/Saviynt%20Logo.jpg" TargetMode="External"/><Relationship Id="rId4106" Type="http://schemas.openxmlformats.org/officeDocument/2006/relationships/hyperlink" Target="http://www.saviynt.com" TargetMode="External"/><Relationship Id="rId4109" Type="http://schemas.openxmlformats.org/officeDocument/2006/relationships/hyperlink" Target="https://community.max.gov/x/QQfAW" TargetMode="External"/><Relationship Id="rId4108" Type="http://schemas.openxmlformats.org/officeDocument/2006/relationships/hyperlink" Target="https://marketplace.fedramp.gov/img/logos/Agency_logos/US-DeptOfHHS-Seal.png" TargetMode="External"/><Relationship Id="rId249" Type="http://schemas.openxmlformats.org/officeDocument/2006/relationships/hyperlink" Target="http://www.microsoft.office.com" TargetMode="External"/><Relationship Id="rId248" Type="http://schemas.openxmlformats.org/officeDocument/2006/relationships/hyperlink" Target="https://community.max.gov/download/attachments/780173411/ATO.Letter_MS.O365_DOC_04.07.14.pdf?api=v2" TargetMode="External"/><Relationship Id="rId247" Type="http://schemas.openxmlformats.org/officeDocument/2006/relationships/hyperlink" Target="https://community.max.gov/x/3JC6L" TargetMode="External"/><Relationship Id="rId1070" Type="http://schemas.openxmlformats.org/officeDocument/2006/relationships/hyperlink" Target="https://community.max.gov/download/attachments/1531087274/ATO.Letter_Google.Services_GSA_12.28.15.pdf?api=v2" TargetMode="External"/><Relationship Id="rId1071" Type="http://schemas.openxmlformats.org/officeDocument/2006/relationships/hyperlink" Target="https://gsuite.google.com/" TargetMode="External"/><Relationship Id="rId1072" Type="http://schemas.openxmlformats.org/officeDocument/2006/relationships/hyperlink" Target="https://marketplace.fedramp.gov/img/logos/CSP_logos/Google%20Logo.jpg" TargetMode="External"/><Relationship Id="rId242" Type="http://schemas.openxmlformats.org/officeDocument/2006/relationships/hyperlink" Target="https://community.max.gov/x/GgwdJg" TargetMode="External"/><Relationship Id="rId1073" Type="http://schemas.openxmlformats.org/officeDocument/2006/relationships/hyperlink" Target="https://marketplace.fedramp.gov/img/logos/Agency_logos/GSAlogo.png" TargetMode="External"/><Relationship Id="rId241" Type="http://schemas.openxmlformats.org/officeDocument/2006/relationships/hyperlink" Target="https://marketplace.fedramp.gov/img/logos/Agency_logos/US-DeptOfTheInterior-Seal.png" TargetMode="External"/><Relationship Id="rId1074" Type="http://schemas.openxmlformats.org/officeDocument/2006/relationships/hyperlink" Target="https://community.max.gov/x/GBU6Jg" TargetMode="External"/><Relationship Id="rId240" Type="http://schemas.openxmlformats.org/officeDocument/2006/relationships/hyperlink" Target="https://marketplace.fedramp.gov/img/logos/CSP_logos/MicroPact%20Logo.jpg" TargetMode="External"/><Relationship Id="rId1075" Type="http://schemas.openxmlformats.org/officeDocument/2006/relationships/hyperlink" Target="https://community.max.gov/download/attachments/1155203596/ATO.Letter_IBM.MaaS360_NRC_03.01.16.pdf?api=v2" TargetMode="External"/><Relationship Id="rId4101" Type="http://schemas.openxmlformats.org/officeDocument/2006/relationships/hyperlink" Target="https://marketplace.fedramp.gov/img/logos/Agency_logos/US-DeptOfAgriculture-Seal2.png" TargetMode="External"/><Relationship Id="rId1076" Type="http://schemas.openxmlformats.org/officeDocument/2006/relationships/hyperlink" Target="http://www.maas360.com" TargetMode="External"/><Relationship Id="rId4100" Type="http://schemas.openxmlformats.org/officeDocument/2006/relationships/hyperlink" Target="https://marketplace.fedramp.gov/img/logos/CSP_logos/Replicon%20Logo.jpg" TargetMode="External"/><Relationship Id="rId246" Type="http://schemas.openxmlformats.org/officeDocument/2006/relationships/hyperlink" Target="https://marketplace.fedramp.gov/img/logos/Agency_logos/US-DeptOfTheTreasury-Seal.png" TargetMode="External"/><Relationship Id="rId1077" Type="http://schemas.openxmlformats.org/officeDocument/2006/relationships/hyperlink" Target="https://marketplace.fedramp.gov/img/logos/CSP_logos/MaaS360%20Logo.jpg" TargetMode="External"/><Relationship Id="rId4103" Type="http://schemas.openxmlformats.org/officeDocument/2006/relationships/hyperlink" Target="http://www.ricoh-usa.com/en/ediscovery" TargetMode="External"/><Relationship Id="rId245" Type="http://schemas.openxmlformats.org/officeDocument/2006/relationships/hyperlink" Target="https://marketplace.fedramp.gov/img/logos/CSP_logos/MicroPact%20Logo.jpg" TargetMode="External"/><Relationship Id="rId1078" Type="http://schemas.openxmlformats.org/officeDocument/2006/relationships/hyperlink" Target="https://marketplace.fedramp.gov/img/logos/Agency_logos/US-NuclearRegulatoryCommission-Logo.png" TargetMode="External"/><Relationship Id="rId4102" Type="http://schemas.openxmlformats.org/officeDocument/2006/relationships/hyperlink" Target="https://community.max.gov/x/z4lkWQ" TargetMode="External"/><Relationship Id="rId244" Type="http://schemas.openxmlformats.org/officeDocument/2006/relationships/hyperlink" Target="http://www.micropact.com" TargetMode="External"/><Relationship Id="rId1079" Type="http://schemas.openxmlformats.org/officeDocument/2006/relationships/hyperlink" Target="https://community.max.gov/x/RgLbR" TargetMode="External"/><Relationship Id="rId4105" Type="http://schemas.openxmlformats.org/officeDocument/2006/relationships/hyperlink" Target="https://community.max.gov/x/oI5sWg" TargetMode="External"/><Relationship Id="rId243" Type="http://schemas.openxmlformats.org/officeDocument/2006/relationships/hyperlink" Target="https://community.max.gov/download/attachments/777093308/ATO.Letter_MicroPact_Treasury.USMint_09.29.14.pdf?api=v2" TargetMode="External"/><Relationship Id="rId4104" Type="http://schemas.openxmlformats.org/officeDocument/2006/relationships/hyperlink" Target="https://marketplace.fedramp.gov/img/logos/CSP_logos/Ricoh%20Logo.jpg" TargetMode="External"/><Relationship Id="rId239" Type="http://schemas.openxmlformats.org/officeDocument/2006/relationships/hyperlink" Target="http://www.micropact.com" TargetMode="External"/><Relationship Id="rId238" Type="http://schemas.openxmlformats.org/officeDocument/2006/relationships/hyperlink" Target="https://community.max.gov/download/attachments/992346701/ATO.Letter_MicroPact_DOI_06.06.14.pdf?api=v2" TargetMode="External"/><Relationship Id="rId237" Type="http://schemas.openxmlformats.org/officeDocument/2006/relationships/hyperlink" Target="https://community.max.gov/x/GgwdJg" TargetMode="External"/><Relationship Id="rId236" Type="http://schemas.openxmlformats.org/officeDocument/2006/relationships/hyperlink" Target="https://marketplace.fedramp.gov/img/logos/Agency_logos/US-DeptOfTheInterior-Seal.png" TargetMode="External"/><Relationship Id="rId2390" Type="http://schemas.openxmlformats.org/officeDocument/2006/relationships/hyperlink" Target="https://marketplace.fedramp.gov/img/logos/CSP_logos/MaaS360%20Logo.jpg" TargetMode="External"/><Relationship Id="rId1060" Type="http://schemas.openxmlformats.org/officeDocument/2006/relationships/hyperlink" Target="https://community.max.gov/x/44BdLw" TargetMode="External"/><Relationship Id="rId2391" Type="http://schemas.openxmlformats.org/officeDocument/2006/relationships/hyperlink" Target="https://marketplace.fedramp.gov/img/logos/Agency_logos/US-DeptOfCommerce-Seal.png" TargetMode="External"/><Relationship Id="rId1061" Type="http://schemas.openxmlformats.org/officeDocument/2006/relationships/hyperlink" Target="https://community.max.gov/download/attachments/992346679/ATO.Letter_ESRI_SSA_10.13.15.pdf?api=v2" TargetMode="External"/><Relationship Id="rId2392" Type="http://schemas.openxmlformats.org/officeDocument/2006/relationships/hyperlink" Target="https://community.max.gov/x/DpBJK" TargetMode="External"/><Relationship Id="rId231" Type="http://schemas.openxmlformats.org/officeDocument/2006/relationships/hyperlink" Target="https://marketplace.fedramp.gov/img/logos/CSP_logos/IBM%20Logo.jpg" TargetMode="External"/><Relationship Id="rId1062" Type="http://schemas.openxmlformats.org/officeDocument/2006/relationships/hyperlink" Target="http://www.esri.com" TargetMode="External"/><Relationship Id="rId2393" Type="http://schemas.openxmlformats.org/officeDocument/2006/relationships/hyperlink" Target="https://community.max.gov/download/attachments/1115488742/ATO.Letter_AWSEW_DoJ_BoP_05.19.17.pdf?api=v2" TargetMode="External"/><Relationship Id="rId230" Type="http://schemas.openxmlformats.org/officeDocument/2006/relationships/hyperlink" Target="http://www-01.ibm.com/software/lotus/cloud/government/" TargetMode="External"/><Relationship Id="rId1063" Type="http://schemas.openxmlformats.org/officeDocument/2006/relationships/hyperlink" Target="https://marketplace.fedramp.gov/img/logos/CSP_logos/Esri%20Logo2.jpg" TargetMode="External"/><Relationship Id="rId2394" Type="http://schemas.openxmlformats.org/officeDocument/2006/relationships/hyperlink" Target="http://www.aws.amazon.com" TargetMode="External"/><Relationship Id="rId1064" Type="http://schemas.openxmlformats.org/officeDocument/2006/relationships/hyperlink" Target="https://marketplace.fedramp.gov/img/logos/Agency_logos/US-SocialSecurityAdmin-Seal.png" TargetMode="External"/><Relationship Id="rId2395" Type="http://schemas.openxmlformats.org/officeDocument/2006/relationships/hyperlink" Target="https://marketplace.fedramp.gov/img/logos/CSP_logos/Amazon%20Logo.jpg" TargetMode="External"/><Relationship Id="rId1065" Type="http://schemas.openxmlformats.org/officeDocument/2006/relationships/hyperlink" Target="https://community.max.gov/x/_gPNKw" TargetMode="External"/><Relationship Id="rId2396" Type="http://schemas.openxmlformats.org/officeDocument/2006/relationships/hyperlink" Target="https://marketplace.fedramp.gov/img/logos/Agency_logos/Seal_of_the_United_States_Department_of_Justice.png" TargetMode="External"/><Relationship Id="rId235" Type="http://schemas.openxmlformats.org/officeDocument/2006/relationships/hyperlink" Target="https://marketplace.fedramp.gov/img/logos/CSP_logos/IBM%20Logo.jpg" TargetMode="External"/><Relationship Id="rId1066" Type="http://schemas.openxmlformats.org/officeDocument/2006/relationships/hyperlink" Target="https://community.max.gov/download/attachments/1155203438/P-ATO_GDIT_12.08.15.pdf?api=v2" TargetMode="External"/><Relationship Id="rId2397" Type="http://schemas.openxmlformats.org/officeDocument/2006/relationships/hyperlink" Target="https://community.max.gov/x/fgIhMg" TargetMode="External"/><Relationship Id="rId234" Type="http://schemas.openxmlformats.org/officeDocument/2006/relationships/hyperlink" Target="http://www-01.ibm.com/software/lotus/cloud/government/" TargetMode="External"/><Relationship Id="rId1067" Type="http://schemas.openxmlformats.org/officeDocument/2006/relationships/hyperlink" Target="http://www.gdit.com/cloudsolutions" TargetMode="External"/><Relationship Id="rId2398" Type="http://schemas.openxmlformats.org/officeDocument/2006/relationships/hyperlink" Target="https://community.max.gov/download/attachments/930415021/ATO%20LEAP%20Cornerstone%20SEC%20May%202017.pdf?api=v2" TargetMode="External"/><Relationship Id="rId233" Type="http://schemas.openxmlformats.org/officeDocument/2006/relationships/hyperlink" Target="https://community.max.gov/download/attachments/1256458204/ATO.Letter_IBM.SCG_DOI_12.18.13.pdf?api=v2" TargetMode="External"/><Relationship Id="rId1068" Type="http://schemas.openxmlformats.org/officeDocument/2006/relationships/hyperlink" Target="https://marketplace.fedramp.gov/img/logos/CSP_logos/GDIT%20Logo.jpg" TargetMode="External"/><Relationship Id="rId2399" Type="http://schemas.openxmlformats.org/officeDocument/2006/relationships/hyperlink" Target="mailto:DToy@csod.com" TargetMode="External"/><Relationship Id="rId232" Type="http://schemas.openxmlformats.org/officeDocument/2006/relationships/hyperlink" Target="https://community.max.gov/x/RgLbR" TargetMode="External"/><Relationship Id="rId1069" Type="http://schemas.openxmlformats.org/officeDocument/2006/relationships/hyperlink" Target="https://community.max.gov/x/34ngVQ" TargetMode="External"/><Relationship Id="rId1015" Type="http://schemas.openxmlformats.org/officeDocument/2006/relationships/hyperlink" Target="https://community.max.gov/x/wgmOJQ" TargetMode="External"/><Relationship Id="rId2346" Type="http://schemas.openxmlformats.org/officeDocument/2006/relationships/hyperlink" Target="https://community.max.gov/x/DpBJK" TargetMode="External"/><Relationship Id="rId3678" Type="http://schemas.openxmlformats.org/officeDocument/2006/relationships/hyperlink" Target="https://community.max.gov/x/nAG9PQ" TargetMode="External"/><Relationship Id="rId1016" Type="http://schemas.openxmlformats.org/officeDocument/2006/relationships/hyperlink" Target="https://community.max.gov/download/attachments/1116602815/ATO.Letter_Akamai_DoED_5.4.15.pdf?api=v2" TargetMode="External"/><Relationship Id="rId2347" Type="http://schemas.openxmlformats.org/officeDocument/2006/relationships/hyperlink" Target="https://community.max.gov/download/attachments/1115488742/ATO.Letter_AWSEW_DoI_05.12.17.pdf?api=v2" TargetMode="External"/><Relationship Id="rId3677" Type="http://schemas.openxmlformats.org/officeDocument/2006/relationships/hyperlink" Target="https://marketplace.fedramp.gov/img/logos/Agency_logos/United_States_Department_of_Defense_Seal.png" TargetMode="External"/><Relationship Id="rId1017" Type="http://schemas.openxmlformats.org/officeDocument/2006/relationships/hyperlink" Target="http://www.akamai.com" TargetMode="External"/><Relationship Id="rId2348" Type="http://schemas.openxmlformats.org/officeDocument/2006/relationships/hyperlink" Target="http://www.aws.amazon.com" TargetMode="External"/><Relationship Id="rId1018" Type="http://schemas.openxmlformats.org/officeDocument/2006/relationships/hyperlink" Target="https://marketplace.fedramp.gov/img/logos/CSP_logos/Akamai%20Logo.jpg" TargetMode="External"/><Relationship Id="rId2349" Type="http://schemas.openxmlformats.org/officeDocument/2006/relationships/hyperlink" Target="https://marketplace.fedramp.gov/img/logos/CSP_logos/Amazon%20Logo.jpg" TargetMode="External"/><Relationship Id="rId3679" Type="http://schemas.openxmlformats.org/officeDocument/2006/relationships/hyperlink" Target="https://community.max.gov/download/attachments/1179582858/ATO.Letter_Dynamics365_TVA_6.21.18.pdf?api=v2" TargetMode="External"/><Relationship Id="rId1019" Type="http://schemas.openxmlformats.org/officeDocument/2006/relationships/hyperlink" Target="https://marketplace.fedramp.gov/img/logos/Agency_logos/US-DeptOfEducation-Seal.png" TargetMode="External"/><Relationship Id="rId3670" Type="http://schemas.openxmlformats.org/officeDocument/2006/relationships/hyperlink" Target="http://blackberry.athoc.com" TargetMode="External"/><Relationship Id="rId2340" Type="http://schemas.openxmlformats.org/officeDocument/2006/relationships/hyperlink" Target="https://marketplace.fedramp.gov/img/logos/Agency_logos/Environmental_Protection_Agency_logo.png" TargetMode="External"/><Relationship Id="rId3672" Type="http://schemas.openxmlformats.org/officeDocument/2006/relationships/hyperlink" Target="https://marketplace.fedramp.gov/img/logos/Agency_logos/US-DeptOfTheTreasury-Seal.png" TargetMode="External"/><Relationship Id="rId1010" Type="http://schemas.openxmlformats.org/officeDocument/2006/relationships/hyperlink" Target="https://community.max.gov/x/3JC6L" TargetMode="External"/><Relationship Id="rId2341" Type="http://schemas.openxmlformats.org/officeDocument/2006/relationships/hyperlink" Target="https://community.max.gov/x/wgmOJQ" TargetMode="External"/><Relationship Id="rId3671" Type="http://schemas.openxmlformats.org/officeDocument/2006/relationships/hyperlink" Target="https://marketplace.fedramp.gov/img/logos/CSP_logos/BlackBerry%20Logo.jpg" TargetMode="External"/><Relationship Id="rId1011" Type="http://schemas.openxmlformats.org/officeDocument/2006/relationships/hyperlink" Target="https://community.max.gov/download/attachments/992346706/ATO.Letter_MSO365_NLRB_10.24.14.pdf?api=v2" TargetMode="External"/><Relationship Id="rId2342" Type="http://schemas.openxmlformats.org/officeDocument/2006/relationships/hyperlink" Target="https://community.max.gov/download/attachments/1116602815/ATO.Letter_Akamai_DoI_05.12.17.pdf?api=v2" TargetMode="External"/><Relationship Id="rId3674" Type="http://schemas.openxmlformats.org/officeDocument/2006/relationships/hyperlink" Target="https://community.max.gov/download/attachments/992346706/ATO.Letter_MSO365_DoD_Army_4.24.18.pdf?api=v2" TargetMode="External"/><Relationship Id="rId1012" Type="http://schemas.openxmlformats.org/officeDocument/2006/relationships/hyperlink" Target="http://www.microsoft.office.com" TargetMode="External"/><Relationship Id="rId2343" Type="http://schemas.openxmlformats.org/officeDocument/2006/relationships/hyperlink" Target="http://www.akamai.com" TargetMode="External"/><Relationship Id="rId3673" Type="http://schemas.openxmlformats.org/officeDocument/2006/relationships/hyperlink" Target="https://community.max.gov/x/3JC6L" TargetMode="External"/><Relationship Id="rId1013" Type="http://schemas.openxmlformats.org/officeDocument/2006/relationships/hyperlink" Target="https://marketplace.fedramp.gov/img/logos/CSP_logos/Microsoft%20Logo.jpg" TargetMode="External"/><Relationship Id="rId2344" Type="http://schemas.openxmlformats.org/officeDocument/2006/relationships/hyperlink" Target="https://marketplace.fedramp.gov/img/logos/CSP_logos/Akamai%20Logo.jpg" TargetMode="External"/><Relationship Id="rId3676" Type="http://schemas.openxmlformats.org/officeDocument/2006/relationships/hyperlink" Target="https://marketplace.fedramp.gov/img/logos/CSP_logos/Microsoft%20Logo.jpg" TargetMode="External"/><Relationship Id="rId1014" Type="http://schemas.openxmlformats.org/officeDocument/2006/relationships/hyperlink" Target="https://marketplace.fedramp.gov/img/logos/Agency_logos/National_Labor_Relations_Board_logo_-_color.png" TargetMode="External"/><Relationship Id="rId2345" Type="http://schemas.openxmlformats.org/officeDocument/2006/relationships/hyperlink" Target="https://marketplace.fedramp.gov/img/logos/Agency_logos/US-DeptOfTheInterior-Seal.png" TargetMode="External"/><Relationship Id="rId3675" Type="http://schemas.openxmlformats.org/officeDocument/2006/relationships/hyperlink" Target="http://www.microsoft.office.com" TargetMode="External"/><Relationship Id="rId1004" Type="http://schemas.openxmlformats.org/officeDocument/2006/relationships/hyperlink" Target="https://marketplace.fedramp.gov/img/logos/Agency_logos/Seal_of_the_United_States_Department_of_Justice.png" TargetMode="External"/><Relationship Id="rId2335" Type="http://schemas.openxmlformats.org/officeDocument/2006/relationships/hyperlink" Target="https://marketplace.fedramp.gov/img/logos/Agency_logos/US-FCC-Seal.png" TargetMode="External"/><Relationship Id="rId3667" Type="http://schemas.openxmlformats.org/officeDocument/2006/relationships/hyperlink" Target="https://marketplace.fedramp.gov/img/logos/Agency_logos/US-SocialSecurityAdmin-Seal.png" TargetMode="External"/><Relationship Id="rId1005" Type="http://schemas.openxmlformats.org/officeDocument/2006/relationships/hyperlink" Target="https://community.max.gov/x/VJM5JQ" TargetMode="External"/><Relationship Id="rId2336" Type="http://schemas.openxmlformats.org/officeDocument/2006/relationships/hyperlink" Target="https://community.max.gov/x/FoUvOw" TargetMode="External"/><Relationship Id="rId3666" Type="http://schemas.openxmlformats.org/officeDocument/2006/relationships/hyperlink" Target="https://marketplace.fedramp.gov/img/logos/CSP_logos/ServiceNow%20Logo.jpg" TargetMode="External"/><Relationship Id="rId1006" Type="http://schemas.openxmlformats.org/officeDocument/2006/relationships/hyperlink" Target="https://community.max.gov/download/attachments/1116602747/ATO%20Letter_CGI_LoC_04.27.15.pdf?api=v2" TargetMode="External"/><Relationship Id="rId2337" Type="http://schemas.openxmlformats.org/officeDocument/2006/relationships/hyperlink" Target="https://community.max.gov/download/attachments/992970011/ATO.Letter_Skillsoft_EPA_02.28.17.pdf?api=v2" TargetMode="External"/><Relationship Id="rId3669" Type="http://schemas.openxmlformats.org/officeDocument/2006/relationships/hyperlink" Target="https://community.max.gov/download/attachments/992346635/ATO.Letter_Blackberry_DoT_IRS_6.20.18.pdf?api=v2" TargetMode="External"/><Relationship Id="rId1007" Type="http://schemas.openxmlformats.org/officeDocument/2006/relationships/hyperlink" Target="http://www.cgi.com" TargetMode="External"/><Relationship Id="rId2338" Type="http://schemas.openxmlformats.org/officeDocument/2006/relationships/hyperlink" Target="http://www.skillsoft.com" TargetMode="External"/><Relationship Id="rId3668" Type="http://schemas.openxmlformats.org/officeDocument/2006/relationships/hyperlink" Target="https://community.max.gov/x/CgIoNQ" TargetMode="External"/><Relationship Id="rId1008" Type="http://schemas.openxmlformats.org/officeDocument/2006/relationships/hyperlink" Target="https://marketplace.fedramp.gov/img/logos/CSP_logos/CGI%20Federal.jpg" TargetMode="External"/><Relationship Id="rId2339" Type="http://schemas.openxmlformats.org/officeDocument/2006/relationships/hyperlink" Target="https://marketplace.fedramp.gov/img/logos/CSP_logos/Skillsoft%20Logo.jpg" TargetMode="External"/><Relationship Id="rId1009" Type="http://schemas.openxmlformats.org/officeDocument/2006/relationships/hyperlink" Target="https://marketplace.fedramp.gov/img/logos/Agency_logos/LoC%20logo.jpg" TargetMode="External"/><Relationship Id="rId3661" Type="http://schemas.openxmlformats.org/officeDocument/2006/relationships/hyperlink" Target="https://marketplace.fedramp.gov/img/logos/CSP_logos/Salesforce%20Logo.jpg" TargetMode="External"/><Relationship Id="rId2330" Type="http://schemas.openxmlformats.org/officeDocument/2006/relationships/hyperlink" Target="https://marketplace.fedramp.gov/img/logos/Agency_logos/US-DeptOfEducation-Seal.png" TargetMode="External"/><Relationship Id="rId3660" Type="http://schemas.openxmlformats.org/officeDocument/2006/relationships/hyperlink" Target="http://www.salesforce.com/industries/public-sector" TargetMode="External"/><Relationship Id="rId1000" Type="http://schemas.openxmlformats.org/officeDocument/2006/relationships/hyperlink" Target="https://community.max.gov/x/UQK2PQ" TargetMode="External"/><Relationship Id="rId2331" Type="http://schemas.openxmlformats.org/officeDocument/2006/relationships/hyperlink" Target="https://community.max.gov/x/XQUyQ" TargetMode="External"/><Relationship Id="rId3663" Type="http://schemas.openxmlformats.org/officeDocument/2006/relationships/hyperlink" Target="https://community.max.gov/x/QoWaP" TargetMode="External"/><Relationship Id="rId1001" Type="http://schemas.openxmlformats.org/officeDocument/2006/relationships/hyperlink" Target="https://community.max.gov/download/attachments/1035338333/ATO.Letter_Box_DoJ_05.27.15.pdf?api=v2" TargetMode="External"/><Relationship Id="rId2332" Type="http://schemas.openxmlformats.org/officeDocument/2006/relationships/hyperlink" Target="https://community.max.gov/download/attachments/1489803634/ATO.Letter_Socrata_FCC_12.29.16.pdf?api=v2" TargetMode="External"/><Relationship Id="rId3662" Type="http://schemas.openxmlformats.org/officeDocument/2006/relationships/hyperlink" Target="https://marketplace.fedramp.gov/img/logos/Agency_logos/NCUA%20Logo.jpg" TargetMode="External"/><Relationship Id="rId1002" Type="http://schemas.openxmlformats.org/officeDocument/2006/relationships/hyperlink" Target="http://www.box.com" TargetMode="External"/><Relationship Id="rId2333" Type="http://schemas.openxmlformats.org/officeDocument/2006/relationships/hyperlink" Target="http://www.socrata.com" TargetMode="External"/><Relationship Id="rId3665" Type="http://schemas.openxmlformats.org/officeDocument/2006/relationships/hyperlink" Target="http://www.servicenow.com" TargetMode="External"/><Relationship Id="rId1003" Type="http://schemas.openxmlformats.org/officeDocument/2006/relationships/hyperlink" Target="https://marketplace.fedramp.gov/img/logos/CSP_logos/Box%20Logo.jpg" TargetMode="External"/><Relationship Id="rId2334" Type="http://schemas.openxmlformats.org/officeDocument/2006/relationships/hyperlink" Target="https://marketplace.fedramp.gov/img/logos/CSP_logos/Socrata%20Logo%201.jpg" TargetMode="External"/><Relationship Id="rId3664" Type="http://schemas.openxmlformats.org/officeDocument/2006/relationships/hyperlink" Target="https://community.max.gov/download/attachments/1155203837/ATO.Letter_ServiceNow_SSA_5.17.18.pdf?api=v2" TargetMode="External"/><Relationship Id="rId1037" Type="http://schemas.openxmlformats.org/officeDocument/2006/relationships/hyperlink" Target="https://marketplace.fedramp.gov/img/logos/Agency_logos/US-SocialSecurityAdmin-Seal.png" TargetMode="External"/><Relationship Id="rId2368" Type="http://schemas.openxmlformats.org/officeDocument/2006/relationships/hyperlink" Target="https://community.max.gov/download/attachments/992346679/ATO.Letter_Esri_USDA_11.04.16.pdf?api=v2" TargetMode="External"/><Relationship Id="rId1038" Type="http://schemas.openxmlformats.org/officeDocument/2006/relationships/hyperlink" Target="https://community.max.gov/x/ApBJK" TargetMode="External"/><Relationship Id="rId2369" Type="http://schemas.openxmlformats.org/officeDocument/2006/relationships/hyperlink" Target="http://www.esri.com" TargetMode="External"/><Relationship Id="rId3699" Type="http://schemas.openxmlformats.org/officeDocument/2006/relationships/hyperlink" Target="https://community.max.gov/download/attachments/1155203796/ATO.Letter_OracleFMCS_DoT_BFS_5.21.18.pdf?api=v2" TargetMode="External"/><Relationship Id="rId1039" Type="http://schemas.openxmlformats.org/officeDocument/2006/relationships/hyperlink" Target="https://community.max.gov/download/attachments/1113425425/ATO.Letter_AWS.GC_HHS.FDA_12.21.15.pdf?api=v2" TargetMode="External"/><Relationship Id="rId206" Type="http://schemas.openxmlformats.org/officeDocument/2006/relationships/hyperlink" Target="https://community.max.gov/x/yxUGJg" TargetMode="External"/><Relationship Id="rId205" Type="http://schemas.openxmlformats.org/officeDocument/2006/relationships/hyperlink" Target="https://marketplace.fedramp.gov/img/logos/Agency_logos/US%20Courts%20Logo.png" TargetMode="External"/><Relationship Id="rId204" Type="http://schemas.openxmlformats.org/officeDocument/2006/relationships/hyperlink" Target="https://marketplace.fedramp.gov/img/logos/CSP_logos/CGI%20Federal.jpg" TargetMode="External"/><Relationship Id="rId203" Type="http://schemas.openxmlformats.org/officeDocument/2006/relationships/hyperlink" Target="http://www.cgi.com" TargetMode="External"/><Relationship Id="rId209" Type="http://schemas.openxmlformats.org/officeDocument/2006/relationships/hyperlink" Target="http://www.ctc.com/" TargetMode="External"/><Relationship Id="rId208" Type="http://schemas.openxmlformats.org/officeDocument/2006/relationships/hyperlink" Target="mailto:heckm@ctc.com" TargetMode="External"/><Relationship Id="rId3690" Type="http://schemas.openxmlformats.org/officeDocument/2006/relationships/hyperlink" Target="http://www.qtsdatacenters.com/products-and-solutions/cloud-services/qts-government-cloud" TargetMode="External"/><Relationship Id="rId207" Type="http://schemas.openxmlformats.org/officeDocument/2006/relationships/hyperlink" Target="https://community.max.gov/download/attachments/1153174318/P-ATO_CTC_12.20.13.pdf?api=v2" TargetMode="External"/><Relationship Id="rId2360" Type="http://schemas.openxmlformats.org/officeDocument/2006/relationships/hyperlink" Target="https://marketplace.fedramp.gov/img/logos/Agency_logos/PBGC%20logo.png" TargetMode="External"/><Relationship Id="rId3692" Type="http://schemas.openxmlformats.org/officeDocument/2006/relationships/hyperlink" Target="https://marketplace.fedramp.gov/img/logos/Agency_logos/cncs_1.png" TargetMode="External"/><Relationship Id="rId1030" Type="http://schemas.openxmlformats.org/officeDocument/2006/relationships/hyperlink" Target="https://cloud.oracle.com/public-sector-cloud" TargetMode="External"/><Relationship Id="rId2361" Type="http://schemas.openxmlformats.org/officeDocument/2006/relationships/hyperlink" Target="https://community.max.gov/x/fgIhMg" TargetMode="External"/><Relationship Id="rId3691" Type="http://schemas.openxmlformats.org/officeDocument/2006/relationships/hyperlink" Target="https://marketplace.fedramp.gov/img/logos/CSP_logos/QTS%20Logo.jpg" TargetMode="External"/><Relationship Id="rId1031" Type="http://schemas.openxmlformats.org/officeDocument/2006/relationships/hyperlink" Target="https://marketplace.fedramp.gov/img/logos/CSP_logos/Oracle%20Logo.jpg" TargetMode="External"/><Relationship Id="rId2362" Type="http://schemas.openxmlformats.org/officeDocument/2006/relationships/hyperlink" Target="https://community.max.gov/download/attachments/779322013/ATO.Letter_Cornerstone_DoC_NTIS_05.10.17.pdf?api=v2" TargetMode="External"/><Relationship Id="rId3694" Type="http://schemas.openxmlformats.org/officeDocument/2006/relationships/hyperlink" Target="https://community.max.gov/download/attachments/992346706/ATO.Letter_MSO365_USDA_6.22.18.pdf?api=v2" TargetMode="External"/><Relationship Id="rId1032" Type="http://schemas.openxmlformats.org/officeDocument/2006/relationships/hyperlink" Target="https://marketplace.fedramp.gov/img/logos/Agency_logos/United_States_Department_of_Defense_Seal.png" TargetMode="External"/><Relationship Id="rId2363" Type="http://schemas.openxmlformats.org/officeDocument/2006/relationships/hyperlink" Target="mailto:DToy@csod.com" TargetMode="External"/><Relationship Id="rId3693" Type="http://schemas.openxmlformats.org/officeDocument/2006/relationships/hyperlink" Target="https://community.max.gov/x/3JC6L" TargetMode="External"/><Relationship Id="rId202" Type="http://schemas.openxmlformats.org/officeDocument/2006/relationships/hyperlink" Target="https://community.max.gov/download/attachments/1116602747/ATO.Letter_CGI.FC_US.Courts_04.25.14.pdf?api=v2" TargetMode="External"/><Relationship Id="rId1033" Type="http://schemas.openxmlformats.org/officeDocument/2006/relationships/hyperlink" Target="https://community.max.gov/x/DpBJK" TargetMode="External"/><Relationship Id="rId2364" Type="http://schemas.openxmlformats.org/officeDocument/2006/relationships/hyperlink" Target="http://www.cornerstoneondemand.com/" TargetMode="External"/><Relationship Id="rId3696" Type="http://schemas.openxmlformats.org/officeDocument/2006/relationships/hyperlink" Target="https://marketplace.fedramp.gov/img/logos/CSP_logos/Microsoft%20Logo.jpg" TargetMode="External"/><Relationship Id="rId201" Type="http://schemas.openxmlformats.org/officeDocument/2006/relationships/hyperlink" Target="https://community.max.gov/x/VJM5JQ" TargetMode="External"/><Relationship Id="rId1034" Type="http://schemas.openxmlformats.org/officeDocument/2006/relationships/hyperlink" Target="https://community.max.gov/download/attachments/1115488742/ATO.Letter_AWS.EW_SSA_10.01.15.pdf?api=v2" TargetMode="External"/><Relationship Id="rId2365" Type="http://schemas.openxmlformats.org/officeDocument/2006/relationships/hyperlink" Target="https://marketplace.fedramp.gov/img/logos/CSP_logos/Cornerstone%20Logo.jpg" TargetMode="External"/><Relationship Id="rId3695" Type="http://schemas.openxmlformats.org/officeDocument/2006/relationships/hyperlink" Target="http://www.microsoft.office.com" TargetMode="External"/><Relationship Id="rId200" Type="http://schemas.openxmlformats.org/officeDocument/2006/relationships/hyperlink" Target="https://marketplace.fedramp.gov/img/logos/Agency_logos/Seal_of_the_United_States_Department_of_Homeland_Security.png" TargetMode="External"/><Relationship Id="rId1035" Type="http://schemas.openxmlformats.org/officeDocument/2006/relationships/hyperlink" Target="http://www.aws.amazon.com" TargetMode="External"/><Relationship Id="rId2366" Type="http://schemas.openxmlformats.org/officeDocument/2006/relationships/hyperlink" Target="https://marketplace.fedramp.gov/img/logos/Agency_logos/US-DeptOfCommerce-Seal.png" TargetMode="External"/><Relationship Id="rId3698" Type="http://schemas.openxmlformats.org/officeDocument/2006/relationships/hyperlink" Target="https://community.max.gov/x/WQOaLQ" TargetMode="External"/><Relationship Id="rId1036" Type="http://schemas.openxmlformats.org/officeDocument/2006/relationships/hyperlink" Target="https://marketplace.fedramp.gov/img/logos/CSP_logos/Amazon%20Logo.jpg" TargetMode="External"/><Relationship Id="rId2367" Type="http://schemas.openxmlformats.org/officeDocument/2006/relationships/hyperlink" Target="https://community.max.gov/x/44BdLw" TargetMode="External"/><Relationship Id="rId3697" Type="http://schemas.openxmlformats.org/officeDocument/2006/relationships/hyperlink" Target="https://marketplace.fedramp.gov/img/logos/Agency_logos/US-DeptOfAgriculture-Seal2.png" TargetMode="External"/><Relationship Id="rId1026" Type="http://schemas.openxmlformats.org/officeDocument/2006/relationships/hyperlink" Target="https://community.max.gov/download/attachments/1256458277/ATO.Letter_QTS_CNCS_07.13.15.pdf?api=v2" TargetMode="External"/><Relationship Id="rId2357" Type="http://schemas.openxmlformats.org/officeDocument/2006/relationships/hyperlink" Target="https://community.max.gov/download/attachments/777093308/ATO.Letter_MicroPact_PBGC_03.06.17.pdf?api=v2" TargetMode="External"/><Relationship Id="rId3689" Type="http://schemas.openxmlformats.org/officeDocument/2006/relationships/hyperlink" Target="https://community.max.gov/download/attachments/1155204041/ATO.Letter_QTS_CNCS_6.19.18.pdf?api=v2" TargetMode="External"/><Relationship Id="rId1027" Type="http://schemas.openxmlformats.org/officeDocument/2006/relationships/hyperlink" Target="http://www.qtsdatacenters.com/products-and-solutions/cloud-services/qts-government-cloud" TargetMode="External"/><Relationship Id="rId2358" Type="http://schemas.openxmlformats.org/officeDocument/2006/relationships/hyperlink" Target="http://www.micropact.com" TargetMode="External"/><Relationship Id="rId3688" Type="http://schemas.openxmlformats.org/officeDocument/2006/relationships/hyperlink" Target="https://community.max.gov/x/CIWzKw" TargetMode="External"/><Relationship Id="rId1028" Type="http://schemas.openxmlformats.org/officeDocument/2006/relationships/hyperlink" Target="https://marketplace.fedramp.gov/img/logos/CSP_logos/QTS%20Logo.jpg" TargetMode="External"/><Relationship Id="rId2359" Type="http://schemas.openxmlformats.org/officeDocument/2006/relationships/hyperlink" Target="https://marketplace.fedramp.gov/img/logos/CSP_logos/MicroPact%20Logo.jpg" TargetMode="External"/><Relationship Id="rId1029" Type="http://schemas.openxmlformats.org/officeDocument/2006/relationships/hyperlink" Target="https://marketplace.fedramp.gov/img/logos/Agency_logos/cncs_1.png" TargetMode="External"/><Relationship Id="rId3681" Type="http://schemas.openxmlformats.org/officeDocument/2006/relationships/hyperlink" Target="https://marketplace.fedramp.gov/img/logos/CSP_logos/Microsoft%20Logo.jpg" TargetMode="External"/><Relationship Id="rId2350" Type="http://schemas.openxmlformats.org/officeDocument/2006/relationships/hyperlink" Target="https://marketplace.fedramp.gov/img/logos/Agency_logos/US-DeptOfTheInterior-Seal.png" TargetMode="External"/><Relationship Id="rId3680" Type="http://schemas.openxmlformats.org/officeDocument/2006/relationships/hyperlink" Target="https://www.microsoft.com/en-us/dynamics/public-sector.aspx" TargetMode="External"/><Relationship Id="rId1020" Type="http://schemas.openxmlformats.org/officeDocument/2006/relationships/hyperlink" Target="https://community.max.gov/x/wgmOJQ" TargetMode="External"/><Relationship Id="rId2351" Type="http://schemas.openxmlformats.org/officeDocument/2006/relationships/hyperlink" Target="https://community.max.gov/x/ApBJK" TargetMode="External"/><Relationship Id="rId3683" Type="http://schemas.openxmlformats.org/officeDocument/2006/relationships/hyperlink" Target="https://community.max.gov/x/GAugKw" TargetMode="External"/><Relationship Id="rId1021" Type="http://schemas.openxmlformats.org/officeDocument/2006/relationships/hyperlink" Target="https://community.max.gov/download/attachments/1116602815/ATO.Letter_Akamai_DoED_FSA_06.18.15.pdf?api=v2" TargetMode="External"/><Relationship Id="rId2352" Type="http://schemas.openxmlformats.org/officeDocument/2006/relationships/hyperlink" Target="https://community.max.gov/download/attachments/1113425425/ATO.Letter_AWSGC_DoI_05.12.17.pdf?api=v2" TargetMode="External"/><Relationship Id="rId3682" Type="http://schemas.openxmlformats.org/officeDocument/2006/relationships/hyperlink" Target="https://marketplace.fedramp.gov/img/logos/Agency_logos/US-TennesseeValleyAuthority-Logo.png" TargetMode="External"/><Relationship Id="rId1022" Type="http://schemas.openxmlformats.org/officeDocument/2006/relationships/hyperlink" Target="http://www.akamai.com" TargetMode="External"/><Relationship Id="rId2353" Type="http://schemas.openxmlformats.org/officeDocument/2006/relationships/hyperlink" Target="http://www.aws.amazon.com" TargetMode="External"/><Relationship Id="rId3685" Type="http://schemas.openxmlformats.org/officeDocument/2006/relationships/hyperlink" Target="http://www.acquia.com" TargetMode="External"/><Relationship Id="rId1023" Type="http://schemas.openxmlformats.org/officeDocument/2006/relationships/hyperlink" Target="https://marketplace.fedramp.gov/img/logos/CSP_logos/Akamai%20Logo.jpg" TargetMode="External"/><Relationship Id="rId2354" Type="http://schemas.openxmlformats.org/officeDocument/2006/relationships/hyperlink" Target="https://marketplace.fedramp.gov/img/logos/CSP_logos/Amazon%20Logo.jpg" TargetMode="External"/><Relationship Id="rId3684" Type="http://schemas.openxmlformats.org/officeDocument/2006/relationships/hyperlink" Target="https://community.max.gov/download/attachments/936118328/ATO.Letter_Acquia_CNCS_6.22.18.pdf?api=v2" TargetMode="External"/><Relationship Id="rId1024" Type="http://schemas.openxmlformats.org/officeDocument/2006/relationships/hyperlink" Target="https://marketplace.fedramp.gov/img/logos/Agency_logos/US-DeptOfEducation-Seal.png" TargetMode="External"/><Relationship Id="rId2355" Type="http://schemas.openxmlformats.org/officeDocument/2006/relationships/hyperlink" Target="https://marketplace.fedramp.gov/img/logos/Agency_logos/US-DeptOfTheInterior-Seal.png" TargetMode="External"/><Relationship Id="rId3687" Type="http://schemas.openxmlformats.org/officeDocument/2006/relationships/hyperlink" Target="https://marketplace.fedramp.gov/img/logos/Agency_logos/cncs_1.png" TargetMode="External"/><Relationship Id="rId1025" Type="http://schemas.openxmlformats.org/officeDocument/2006/relationships/hyperlink" Target="https://community.max.gov/x/CIWzKw" TargetMode="External"/><Relationship Id="rId2356" Type="http://schemas.openxmlformats.org/officeDocument/2006/relationships/hyperlink" Target="https://community.max.gov/x/GgwdJg" TargetMode="External"/><Relationship Id="rId3686" Type="http://schemas.openxmlformats.org/officeDocument/2006/relationships/hyperlink" Target="https://marketplace.fedramp.gov/img/logos/CSP_logos/Acquia%20Logo.jpg" TargetMode="External"/><Relationship Id="rId4161" Type="http://schemas.openxmlformats.org/officeDocument/2006/relationships/hyperlink" Target="https://www.zendesk.com" TargetMode="External"/><Relationship Id="rId4160" Type="http://schemas.openxmlformats.org/officeDocument/2006/relationships/hyperlink" Target="https://community.max.gov/x/_YNjVg" TargetMode="External"/><Relationship Id="rId4163" Type="http://schemas.openxmlformats.org/officeDocument/2006/relationships/hyperlink" Target="https://marketplace.fedramp.gov/img/logos/Agency_logos/GSAlogo.png" TargetMode="External"/><Relationship Id="rId4162" Type="http://schemas.openxmlformats.org/officeDocument/2006/relationships/hyperlink" Target="https://marketplace.fedramp.gov/img/logos/CSP_logos/Zendesk%20Logo.jpg" TargetMode="External"/><Relationship Id="rId4165" Type="http://schemas.openxmlformats.org/officeDocument/2006/relationships/hyperlink" Target="https://www.zimperium.com" TargetMode="External"/><Relationship Id="rId4164" Type="http://schemas.openxmlformats.org/officeDocument/2006/relationships/hyperlink" Target="https://community.max.gov/x/MYaGWg" TargetMode="External"/><Relationship Id="rId4167" Type="http://schemas.openxmlformats.org/officeDocument/2006/relationships/hyperlink" Target="https://marketplace.fedramp.gov/img/logos/Agency_logos/Seal_of_the_United_States_Department_of_Homeland_Security.png" TargetMode="External"/><Relationship Id="rId4166" Type="http://schemas.openxmlformats.org/officeDocument/2006/relationships/hyperlink" Target="https://marketplace.fedramp.gov/img/logos/CSP_logos/Zimperium%20Logo.jpg" TargetMode="External"/><Relationship Id="rId4169" Type="http://schemas.openxmlformats.org/officeDocument/2006/relationships/hyperlink" Target="http://www.zoom.us" TargetMode="External"/><Relationship Id="rId4168" Type="http://schemas.openxmlformats.org/officeDocument/2006/relationships/hyperlink" Target="https://community.max.gov/x/UInJX" TargetMode="External"/><Relationship Id="rId4150" Type="http://schemas.openxmlformats.org/officeDocument/2006/relationships/hyperlink" Target="https://marketplace.fedramp.gov/img/logos/Agency_logos/US-FCC-Seal.png" TargetMode="External"/><Relationship Id="rId4152" Type="http://schemas.openxmlformats.org/officeDocument/2006/relationships/hyperlink" Target="http://www.waggl.com" TargetMode="External"/><Relationship Id="rId4151" Type="http://schemas.openxmlformats.org/officeDocument/2006/relationships/hyperlink" Target="https://community.max.gov/x/W4DQWg" TargetMode="External"/><Relationship Id="rId4154" Type="http://schemas.openxmlformats.org/officeDocument/2006/relationships/hyperlink" Target="https://community.max.gov/x/naAOTg" TargetMode="External"/><Relationship Id="rId4153" Type="http://schemas.openxmlformats.org/officeDocument/2006/relationships/hyperlink" Target="https://marketplace.fedramp.gov/img/logos/CSP_logos/Waggl%20Logo.jpg" TargetMode="External"/><Relationship Id="rId4156" Type="http://schemas.openxmlformats.org/officeDocument/2006/relationships/hyperlink" Target="https://marketplace.fedramp.gov/img/logos/CSP_logos/Xerox%20Logo.jpg" TargetMode="External"/><Relationship Id="rId4155" Type="http://schemas.openxmlformats.org/officeDocument/2006/relationships/hyperlink" Target="http://www.xerox.com" TargetMode="External"/><Relationship Id="rId4158" Type="http://schemas.openxmlformats.org/officeDocument/2006/relationships/hyperlink" Target="https://marketplace.fedramp.gov/img/logos/CSP_logos/Zapproved%20Logo.jpg" TargetMode="External"/><Relationship Id="rId4157" Type="http://schemas.openxmlformats.org/officeDocument/2006/relationships/hyperlink" Target="http://www.zapproved.com" TargetMode="External"/><Relationship Id="rId4159" Type="http://schemas.openxmlformats.org/officeDocument/2006/relationships/hyperlink" Target="https://marketplace.fedramp.gov/img/logos/Agency_logos/US-DeptOfTheInterior-Seal.png" TargetMode="External"/><Relationship Id="rId1910" Type="http://schemas.openxmlformats.org/officeDocument/2006/relationships/hyperlink" Target="mailto:AzureFedRAMP@microsoft.com" TargetMode="External"/><Relationship Id="rId1911" Type="http://schemas.openxmlformats.org/officeDocument/2006/relationships/hyperlink" Target="http://azure.microsoft.com/en-us/" TargetMode="External"/><Relationship Id="rId1912" Type="http://schemas.openxmlformats.org/officeDocument/2006/relationships/hyperlink" Target="https://marketplace.fedramp.gov/img/logos/CSP_logos/Microsoft%20Logo.jpg" TargetMode="External"/><Relationship Id="rId1913" Type="http://schemas.openxmlformats.org/officeDocument/2006/relationships/hyperlink" Target="https://marketplace.fedramp.gov/img/logos/Agency_logos/US-DeptOfEnergy-Seal.png" TargetMode="External"/><Relationship Id="rId1914" Type="http://schemas.openxmlformats.org/officeDocument/2006/relationships/hyperlink" Target="https://community.max.gov/x/34ngVQ" TargetMode="External"/><Relationship Id="rId1915" Type="http://schemas.openxmlformats.org/officeDocument/2006/relationships/hyperlink" Target="https://community.max.gov/download/attachments/1531087274/ATO.Letter_Google_GSA_10.26.16.pdf?api=v2" TargetMode="External"/><Relationship Id="rId1916" Type="http://schemas.openxmlformats.org/officeDocument/2006/relationships/hyperlink" Target="https://gsuite.google.com/" TargetMode="External"/><Relationship Id="rId1917" Type="http://schemas.openxmlformats.org/officeDocument/2006/relationships/hyperlink" Target="https://marketplace.fedramp.gov/img/logos/CSP_logos/Google%20Logo.jpg" TargetMode="External"/><Relationship Id="rId1918" Type="http://schemas.openxmlformats.org/officeDocument/2006/relationships/hyperlink" Target="https://marketplace.fedramp.gov/img/logos/Agency_logos/GSAlogo.png" TargetMode="External"/><Relationship Id="rId1919" Type="http://schemas.openxmlformats.org/officeDocument/2006/relationships/hyperlink" Target="https://community.max.gov/x/QoWaP" TargetMode="External"/><Relationship Id="rId1900" Type="http://schemas.openxmlformats.org/officeDocument/2006/relationships/hyperlink" Target="https://community.max.gov/download/attachments/1155203731/ATO.Letter_Leidos_DOD_DISA_10.07.16.pdf?api=v2" TargetMode="External"/><Relationship Id="rId1901" Type="http://schemas.openxmlformats.org/officeDocument/2006/relationships/hyperlink" Target="http://www.leidos.com" TargetMode="External"/><Relationship Id="rId1902" Type="http://schemas.openxmlformats.org/officeDocument/2006/relationships/hyperlink" Target="https://marketplace.fedramp.gov/img/logos/Agency_logos/United_States_Department_of_Defense_Seal.png" TargetMode="External"/><Relationship Id="rId1903" Type="http://schemas.openxmlformats.org/officeDocument/2006/relationships/hyperlink" Target="https://community.max.gov/x/w4ZYL" TargetMode="External"/><Relationship Id="rId1904" Type="http://schemas.openxmlformats.org/officeDocument/2006/relationships/hyperlink" Target="https://community.max.gov/download/attachments/992346739/ATO.Letter_USDANITC_DOD_DISA_10.01.16.pdf?api=v2" TargetMode="External"/><Relationship Id="rId1905" Type="http://schemas.openxmlformats.org/officeDocument/2006/relationships/hyperlink" Target="http://www.ocio.usda.gov/about-ocio/data-center-operations/nitc-cloud-services" TargetMode="External"/><Relationship Id="rId1906" Type="http://schemas.openxmlformats.org/officeDocument/2006/relationships/hyperlink" Target="https://marketplace.fedramp.gov/img/logos/CSP_logos/USDA%20Logo.jpg" TargetMode="External"/><Relationship Id="rId1907" Type="http://schemas.openxmlformats.org/officeDocument/2006/relationships/hyperlink" Target="https://marketplace.fedramp.gov/img/logos/Agency_logos/United_States_Department_of_Defense_Seal.png" TargetMode="External"/><Relationship Id="rId1908" Type="http://schemas.openxmlformats.org/officeDocument/2006/relationships/hyperlink" Target="https://community.max.gov/x/WgZfJw" TargetMode="External"/><Relationship Id="rId1909" Type="http://schemas.openxmlformats.org/officeDocument/2006/relationships/hyperlink" Target="https://community.max.gov/download/attachments/1155204218/ATO.Letter_MSAzure_DOE_FERC_10.25.16.pdf?api=v2" TargetMode="External"/><Relationship Id="rId4170" Type="http://schemas.openxmlformats.org/officeDocument/2006/relationships/hyperlink" Target="https://marketplace.fedramp.gov/img/logos/CSP_logos/Zoom%20Logo.jpg" TargetMode="External"/><Relationship Id="rId4172" Type="http://schemas.openxmlformats.org/officeDocument/2006/relationships/hyperlink" Target="http://www.zscaler.com" TargetMode="External"/><Relationship Id="rId4171" Type="http://schemas.openxmlformats.org/officeDocument/2006/relationships/hyperlink" Target="https://marketplace.fedramp.gov/img/logos/Agency_logos/Seal_of_the_United_States_Department_of_Homeland_Security.png" TargetMode="External"/><Relationship Id="rId4174" Type="http://schemas.openxmlformats.org/officeDocument/2006/relationships/hyperlink" Target="https://marketplace.fedramp.gov/img/logos/Agency_logos/US-FCC-Seal.png" TargetMode="External"/><Relationship Id="rId4173" Type="http://schemas.openxmlformats.org/officeDocument/2006/relationships/hyperlink" Target="https://marketplace.fedramp.gov/img/logos/CSP_logos/Zscaler%20Logo.jpg" TargetMode="External"/><Relationship Id="rId4176" Type="http://schemas.openxmlformats.org/officeDocument/2006/relationships/vmlDrawing" Target="../drawings/vmlDrawing1.vml"/><Relationship Id="rId4175" Type="http://schemas.openxmlformats.org/officeDocument/2006/relationships/drawing" Target="../drawings/drawing1.xml"/><Relationship Id="rId4129" Type="http://schemas.openxmlformats.org/officeDocument/2006/relationships/hyperlink" Target="https://www.symantec.com/" TargetMode="External"/><Relationship Id="rId4128" Type="http://schemas.openxmlformats.org/officeDocument/2006/relationships/hyperlink" Target="https://marketplace.fedramp.gov/img/logos/CSP_logos/SumTotal%20Logo.jpg" TargetMode="External"/><Relationship Id="rId1090" Type="http://schemas.openxmlformats.org/officeDocument/2006/relationships/hyperlink" Target="https://community.max.gov/download/attachments/1155204218/ATO.Letter_MS.Azure_CNCS_01.26.16.pdf?api=v2" TargetMode="External"/><Relationship Id="rId1091" Type="http://schemas.openxmlformats.org/officeDocument/2006/relationships/hyperlink" Target="mailto:adamsoh@microsoft.com" TargetMode="External"/><Relationship Id="rId1092" Type="http://schemas.openxmlformats.org/officeDocument/2006/relationships/hyperlink" Target="http://azure.microsoft.com/en-us/" TargetMode="External"/><Relationship Id="rId1093" Type="http://schemas.openxmlformats.org/officeDocument/2006/relationships/hyperlink" Target="https://marketplace.fedramp.gov/img/logos/CSP_logos/Microsoft%20Logo.jpg" TargetMode="External"/><Relationship Id="rId1094" Type="http://schemas.openxmlformats.org/officeDocument/2006/relationships/hyperlink" Target="https://marketplace.fedramp.gov/img/logos/Agency_logos/cncs_1.png" TargetMode="External"/><Relationship Id="rId1095" Type="http://schemas.openxmlformats.org/officeDocument/2006/relationships/hyperlink" Target="https://community.max.gov/x/nAG9PQ" TargetMode="External"/><Relationship Id="rId4121" Type="http://schemas.openxmlformats.org/officeDocument/2006/relationships/hyperlink" Target="https://marketplace.fedramp.gov/img/logos/CSP_logos/Snowflake%20Logo.jpg" TargetMode="External"/><Relationship Id="rId1096" Type="http://schemas.openxmlformats.org/officeDocument/2006/relationships/hyperlink" Target="https://community.max.gov/download/attachments/1179582858/ATO.Letter_MS.CRM_HHS_12.22.15.pdf?api=v2" TargetMode="External"/><Relationship Id="rId4120" Type="http://schemas.openxmlformats.org/officeDocument/2006/relationships/hyperlink" Target="https://www.snowflake.net" TargetMode="External"/><Relationship Id="rId1097" Type="http://schemas.openxmlformats.org/officeDocument/2006/relationships/hyperlink" Target="https://www.microsoft.com/en-us/dynamics/public-sector.aspx" TargetMode="External"/><Relationship Id="rId4123" Type="http://schemas.openxmlformats.org/officeDocument/2006/relationships/hyperlink" Target="https://www.splunk.com/" TargetMode="External"/><Relationship Id="rId1098" Type="http://schemas.openxmlformats.org/officeDocument/2006/relationships/hyperlink" Target="https://marketplace.fedramp.gov/img/logos/CSP_logos/Microsoft%20Logo.jpg" TargetMode="External"/><Relationship Id="rId4122" Type="http://schemas.openxmlformats.org/officeDocument/2006/relationships/hyperlink" Target="https://community.max.gov/x/loMcSg" TargetMode="External"/><Relationship Id="rId1099" Type="http://schemas.openxmlformats.org/officeDocument/2006/relationships/hyperlink" Target="https://marketplace.fedramp.gov/img/logos/Agency_logos/US-DeptOfHHS-Seal.png" TargetMode="External"/><Relationship Id="rId4125" Type="http://schemas.openxmlformats.org/officeDocument/2006/relationships/hyperlink" Target="https://marketplace.fedramp.gov/img/logos/Agency_logos/US-DeptOfCommerce-Seal.png" TargetMode="External"/><Relationship Id="rId4124" Type="http://schemas.openxmlformats.org/officeDocument/2006/relationships/hyperlink" Target="https://marketplace.fedramp.gov/img/logos/CSP_logos/Splunk%20Logo.jpg" TargetMode="External"/><Relationship Id="rId4127" Type="http://schemas.openxmlformats.org/officeDocument/2006/relationships/hyperlink" Target="http://www.sumtotalsystems.com" TargetMode="External"/><Relationship Id="rId4126" Type="http://schemas.openxmlformats.org/officeDocument/2006/relationships/hyperlink" Target="https://community.max.gov/x/1gVMU" TargetMode="External"/><Relationship Id="rId4118" Type="http://schemas.openxmlformats.org/officeDocument/2006/relationships/hyperlink" Target="https://marketplace.fedramp.gov/img/logos/CSP_logos/Smartronix%20Logo.jpg" TargetMode="External"/><Relationship Id="rId4117" Type="http://schemas.openxmlformats.org/officeDocument/2006/relationships/hyperlink" Target="http://www.cloudassured.com" TargetMode="External"/><Relationship Id="rId4119" Type="http://schemas.openxmlformats.org/officeDocument/2006/relationships/hyperlink" Target="https://community.max.gov/x/2gwHWg" TargetMode="External"/><Relationship Id="rId1080" Type="http://schemas.openxmlformats.org/officeDocument/2006/relationships/hyperlink" Target="https://community.max.gov/download/attachments/1256458204/ATO.Letter_IBM.SCG_DOI_12.18.13.pdf?api=v2" TargetMode="External"/><Relationship Id="rId1081" Type="http://schemas.openxmlformats.org/officeDocument/2006/relationships/hyperlink" Target="http://www-01.ibm.com/software/lotus/cloud/government/" TargetMode="External"/><Relationship Id="rId1082" Type="http://schemas.openxmlformats.org/officeDocument/2006/relationships/hyperlink" Target="https://marketplace.fedramp.gov/img/logos/CSP_logos/IBM%20Logo.jpg" TargetMode="External"/><Relationship Id="rId1083" Type="http://schemas.openxmlformats.org/officeDocument/2006/relationships/hyperlink" Target="https://marketplace.fedramp.gov/img/logos/Agency_logos/US-DeptOfTheInterior-Seal.png" TargetMode="External"/><Relationship Id="rId1084" Type="http://schemas.openxmlformats.org/officeDocument/2006/relationships/hyperlink" Target="https://community.max.gov/x/zoSNO" TargetMode="External"/><Relationship Id="rId4110" Type="http://schemas.openxmlformats.org/officeDocument/2006/relationships/hyperlink" Target="https://slack.com/" TargetMode="External"/><Relationship Id="rId1085" Type="http://schemas.openxmlformats.org/officeDocument/2006/relationships/hyperlink" Target="https://community.max.gov/download/attachments/948798674/LCMS%20ATO%20LaRC.pdf?api=v2" TargetMode="External"/><Relationship Id="rId1086" Type="http://schemas.openxmlformats.org/officeDocument/2006/relationships/hyperlink" Target="http://www.msm-isite.com/" TargetMode="External"/><Relationship Id="rId4112" Type="http://schemas.openxmlformats.org/officeDocument/2006/relationships/hyperlink" Target="https://marketplace.fedramp.gov/img/logos/Agency_logos/GSAlogo.png" TargetMode="External"/><Relationship Id="rId1087" Type="http://schemas.openxmlformats.org/officeDocument/2006/relationships/hyperlink" Target="https://marketplace.fedramp.gov/img/logos/CSP_logos/iSite%20Logo.jpg" TargetMode="External"/><Relationship Id="rId4111" Type="http://schemas.openxmlformats.org/officeDocument/2006/relationships/hyperlink" Target="https://marketplace.fedramp.gov/img/logos/CSP_logos/Slack%20Logo.jpg" TargetMode="External"/><Relationship Id="rId1088" Type="http://schemas.openxmlformats.org/officeDocument/2006/relationships/hyperlink" Target="https://marketplace.fedramp.gov/img/logos/Agency_logos/NASA_logo.png" TargetMode="External"/><Relationship Id="rId4114" Type="http://schemas.openxmlformats.org/officeDocument/2006/relationships/hyperlink" Target="https://marketplace.fedramp.gov/img/logos/CSP_logos/Smarsh%20Logo.jpg" TargetMode="External"/><Relationship Id="rId1089" Type="http://schemas.openxmlformats.org/officeDocument/2006/relationships/hyperlink" Target="https://community.max.gov/display/FedRAMPExternal/MS+Azure+ATO+Letters" TargetMode="External"/><Relationship Id="rId4113" Type="http://schemas.openxmlformats.org/officeDocument/2006/relationships/hyperlink" Target="http://www.smarsh.com" TargetMode="External"/><Relationship Id="rId4116" Type="http://schemas.openxmlformats.org/officeDocument/2006/relationships/hyperlink" Target="https://community.max.gov/x/_olkWQ" TargetMode="External"/><Relationship Id="rId4115" Type="http://schemas.openxmlformats.org/officeDocument/2006/relationships/hyperlink" Target="https://marketplace.fedramp.gov/img/logos/Agency_logos/DoS%20Logo.png" TargetMode="External"/><Relationship Id="rId4141" Type="http://schemas.openxmlformats.org/officeDocument/2006/relationships/hyperlink" Target="http://www.veracode.com" TargetMode="External"/><Relationship Id="rId4140" Type="http://schemas.openxmlformats.org/officeDocument/2006/relationships/hyperlink" Target="https://community.max.gov/x/5gKwPg" TargetMode="External"/><Relationship Id="rId4143" Type="http://schemas.openxmlformats.org/officeDocument/2006/relationships/hyperlink" Target="https://marketplace.fedramp.gov/img/logos/Agency_logos/United_States_Department_of_Defense_Seal.png" TargetMode="External"/><Relationship Id="rId4142" Type="http://schemas.openxmlformats.org/officeDocument/2006/relationships/hyperlink" Target="https://marketplace.fedramp.gov/img/logos/CSP_logos/Veracode%20Logo.jpg" TargetMode="External"/><Relationship Id="rId4145" Type="http://schemas.openxmlformats.org/officeDocument/2006/relationships/hyperlink" Target="https://www.veritone.com/ai-solutions/government/" TargetMode="External"/><Relationship Id="rId4144" Type="http://schemas.openxmlformats.org/officeDocument/2006/relationships/hyperlink" Target="https://community.max.gov/x/vAMqWw" TargetMode="External"/><Relationship Id="rId4147" Type="http://schemas.openxmlformats.org/officeDocument/2006/relationships/hyperlink" Target="https://marketplace.fedramp.gov/img/logos/Agency_logos/Seal_of_the_United_States_Department_of_Justice.png" TargetMode="External"/><Relationship Id="rId4146" Type="http://schemas.openxmlformats.org/officeDocument/2006/relationships/hyperlink" Target="https://marketplace.fedramp.gov/img/logos/CSP_logos/Veritone%20Logo.jpg" TargetMode="External"/><Relationship Id="rId4149" Type="http://schemas.openxmlformats.org/officeDocument/2006/relationships/hyperlink" Target="https://marketplace.fedramp.gov/img/logos/CSP_logos/Virtru%20Logo.jpg" TargetMode="External"/><Relationship Id="rId4148" Type="http://schemas.openxmlformats.org/officeDocument/2006/relationships/hyperlink" Target="https://www.virtru.com" TargetMode="External"/><Relationship Id="rId4139" Type="http://schemas.openxmlformats.org/officeDocument/2006/relationships/hyperlink" Target="https://marketplace.fedramp.gov/img/logos/Agency_logos/US-DeptOfTheInterior-Seal.png" TargetMode="External"/><Relationship Id="rId4130" Type="http://schemas.openxmlformats.org/officeDocument/2006/relationships/hyperlink" Target="https://marketplace.fedramp.gov/img/logos/CSP_logos/Symantec%20Logo.jpg" TargetMode="External"/><Relationship Id="rId4132" Type="http://schemas.openxmlformats.org/officeDocument/2006/relationships/hyperlink" Target="https://community.max.gov/x/Jg_MTw" TargetMode="External"/><Relationship Id="rId4131" Type="http://schemas.openxmlformats.org/officeDocument/2006/relationships/hyperlink" Target="https://community.max.gov/x/Dg_MTw" TargetMode="External"/><Relationship Id="rId4134" Type="http://schemas.openxmlformats.org/officeDocument/2006/relationships/hyperlink" Target="https://marketplace.fedramp.gov/img/logos/CSP_logos/DoT%20Logo.jpg" TargetMode="External"/><Relationship Id="rId4133" Type="http://schemas.openxmlformats.org/officeDocument/2006/relationships/hyperlink" Target="https://www.workplace.gov" TargetMode="External"/><Relationship Id="rId4136" Type="http://schemas.openxmlformats.org/officeDocument/2006/relationships/hyperlink" Target="https://community.max.gov/x/oIHgVQ" TargetMode="External"/><Relationship Id="rId4135" Type="http://schemas.openxmlformats.org/officeDocument/2006/relationships/hyperlink" Target="https://marketplace.fedramp.gov/img/logos/Agency_logos/US-DeptOfTheTreasury-Seal.png" TargetMode="External"/><Relationship Id="rId4138" Type="http://schemas.openxmlformats.org/officeDocument/2006/relationships/hyperlink" Target="https://marketplace.fedramp.gov/img/logos/CSP_logos/VBrick%20Logo.jpg" TargetMode="External"/><Relationship Id="rId4137" Type="http://schemas.openxmlformats.org/officeDocument/2006/relationships/hyperlink" Target="http://www.vbrick.com" TargetMode="External"/><Relationship Id="rId1972" Type="http://schemas.openxmlformats.org/officeDocument/2006/relationships/hyperlink" Target="https://marketplace.fedramp.gov/img/logos/Agency_logos/US-DeptOfHHS-Seal.png" TargetMode="External"/><Relationship Id="rId1973" Type="http://schemas.openxmlformats.org/officeDocument/2006/relationships/hyperlink" Target="https://community.max.gov/x/mIIEO" TargetMode="External"/><Relationship Id="rId1974" Type="http://schemas.openxmlformats.org/officeDocument/2006/relationships/hyperlink" Target="https://community.max.gov/download/attachments/939819844/USPS%20MobileIron%20FedRamp%20ATO.pdf?api=v2" TargetMode="External"/><Relationship Id="rId1975" Type="http://schemas.openxmlformats.org/officeDocument/2006/relationships/hyperlink" Target="http://www.mobileiron.com" TargetMode="External"/><Relationship Id="rId1976" Type="http://schemas.openxmlformats.org/officeDocument/2006/relationships/hyperlink" Target="https://marketplace.fedramp.gov/img/logos/CSP_logos/Mobile%20Iron%20Logo.jpg" TargetMode="External"/><Relationship Id="rId1977" Type="http://schemas.openxmlformats.org/officeDocument/2006/relationships/hyperlink" Target="https://marketplace.fedramp.gov/img/logos/Agency_logos/USPS%20Logo.png" TargetMode="External"/><Relationship Id="rId1978" Type="http://schemas.openxmlformats.org/officeDocument/2006/relationships/hyperlink" Target="https://community.max.gov/x/FgQpLg" TargetMode="External"/><Relationship Id="rId1979" Type="http://schemas.openxmlformats.org/officeDocument/2006/relationships/hyperlink" Target="https://community.max.gov/download/attachments/1155203545/ATO.Letter_GovDelivery_DoT_11.18.16.pdf?api=v2" TargetMode="External"/><Relationship Id="rId1970" Type="http://schemas.openxmlformats.org/officeDocument/2006/relationships/hyperlink" Target="http://www.granicus.com" TargetMode="External"/><Relationship Id="rId1971" Type="http://schemas.openxmlformats.org/officeDocument/2006/relationships/hyperlink" Target="https://marketplace.fedramp.gov/img/logos/CSP_logos/Granicus%20Logo.jpg" TargetMode="External"/><Relationship Id="rId1961" Type="http://schemas.openxmlformats.org/officeDocument/2006/relationships/hyperlink" Target="http://www.softlayer.com" TargetMode="External"/><Relationship Id="rId1962" Type="http://schemas.openxmlformats.org/officeDocument/2006/relationships/hyperlink" Target="https://marketplace.fedramp.gov/img/logos/CSP_logos/Softlayer%20Logo.jpg" TargetMode="External"/><Relationship Id="rId1963" Type="http://schemas.openxmlformats.org/officeDocument/2006/relationships/hyperlink" Target="https://marketplace.fedramp.gov/img/logos/Agency_logos/Seal_of_the_United_States_Department_of_Homeland_Security.png" TargetMode="External"/><Relationship Id="rId1964" Type="http://schemas.openxmlformats.org/officeDocument/2006/relationships/hyperlink" Target="https://community.max.gov/x/nAG9PQ" TargetMode="External"/><Relationship Id="rId1965" Type="http://schemas.openxmlformats.org/officeDocument/2006/relationships/hyperlink" Target="https://community.max.gov/download/attachments/1442481347/P-ATO_MSCRMOL_10.04.16.pdf?api=v2" TargetMode="External"/><Relationship Id="rId1966" Type="http://schemas.openxmlformats.org/officeDocument/2006/relationships/hyperlink" Target="https://www.microsoft.com/en-us/dynamics/public-sector.aspx" TargetMode="External"/><Relationship Id="rId1967" Type="http://schemas.openxmlformats.org/officeDocument/2006/relationships/hyperlink" Target="https://marketplace.fedramp.gov/img/logos/CSP_logos/Microsoft%20Logo.jpg" TargetMode="External"/><Relationship Id="rId1968" Type="http://schemas.openxmlformats.org/officeDocument/2006/relationships/hyperlink" Target="https://community.max.gov/x/FgQpLg" TargetMode="External"/><Relationship Id="rId1969" Type="http://schemas.openxmlformats.org/officeDocument/2006/relationships/hyperlink" Target="https://community.max.gov/download/attachments/1155203545/ATO.Letter_GovDelivery_HHS_AHRQ_10.04.16.pdf?api=v2" TargetMode="External"/><Relationship Id="rId1960" Type="http://schemas.openxmlformats.org/officeDocument/2006/relationships/hyperlink" Target="https://community.max.gov/download/attachments/1155204011/ATO.Letter_Softlayer_DHS_USCIS_10.21.16.pdf?api=v2" TargetMode="External"/><Relationship Id="rId1994" Type="http://schemas.openxmlformats.org/officeDocument/2006/relationships/hyperlink" Target="https://community.max.gov/download/attachments/1155203438/ATO.Letter_GDIT_OPM_10.12.16.pdf?api=v2" TargetMode="External"/><Relationship Id="rId1995" Type="http://schemas.openxmlformats.org/officeDocument/2006/relationships/hyperlink" Target="http://www.gdit.com/cloudsolutions" TargetMode="External"/><Relationship Id="rId1996" Type="http://schemas.openxmlformats.org/officeDocument/2006/relationships/hyperlink" Target="https://marketplace.fedramp.gov/img/logos/CSP_logos/GDIT%20Logo.jpg" TargetMode="External"/><Relationship Id="rId1997" Type="http://schemas.openxmlformats.org/officeDocument/2006/relationships/hyperlink" Target="https://marketplace.fedramp.gov/img/logos/Agency_logos/US-OfficeOfPersonnelManagement-Seal.png" TargetMode="External"/><Relationship Id="rId1998" Type="http://schemas.openxmlformats.org/officeDocument/2006/relationships/hyperlink" Target="https://community.max.gov/x/QoWaP" TargetMode="External"/><Relationship Id="rId1999" Type="http://schemas.openxmlformats.org/officeDocument/2006/relationships/hyperlink" Target="https://community.max.gov/download/attachments/1155203837/ATO.Letter_ServiceNow_DoS_01.03.17.PDF?api=v2" TargetMode="External"/><Relationship Id="rId1990" Type="http://schemas.openxmlformats.org/officeDocument/2006/relationships/hyperlink" Target="http://www.microsoft.office.com" TargetMode="External"/><Relationship Id="rId1991" Type="http://schemas.openxmlformats.org/officeDocument/2006/relationships/hyperlink" Target="https://marketplace.fedramp.gov/img/logos/CSP_logos/Microsoft%20Logo.jpg" TargetMode="External"/><Relationship Id="rId1992" Type="http://schemas.openxmlformats.org/officeDocument/2006/relationships/hyperlink" Target="https://marketplace.fedramp.gov/img/logos/Agency_logos/US-DeptOfEnergy-Seal.png" TargetMode="External"/><Relationship Id="rId1993" Type="http://schemas.openxmlformats.org/officeDocument/2006/relationships/hyperlink" Target="https://community.max.gov/x/_gPNKw" TargetMode="External"/><Relationship Id="rId1983" Type="http://schemas.openxmlformats.org/officeDocument/2006/relationships/hyperlink" Target="https://community.max.gov/x/eQs3Kw" TargetMode="External"/><Relationship Id="rId1984" Type="http://schemas.openxmlformats.org/officeDocument/2006/relationships/hyperlink" Target="https://community.max.gov/download/attachments/992346725/ATO.Letter_Salesforce_DVA_10.07.16.pdf?api=v2" TargetMode="External"/><Relationship Id="rId1985" Type="http://schemas.openxmlformats.org/officeDocument/2006/relationships/hyperlink" Target="http://www.salesforce.com/industries/public-sector" TargetMode="External"/><Relationship Id="rId1986" Type="http://schemas.openxmlformats.org/officeDocument/2006/relationships/hyperlink" Target="https://marketplace.fedramp.gov/img/logos/CSP_logos/Salesforce%20Logo.jpg" TargetMode="External"/><Relationship Id="rId1987" Type="http://schemas.openxmlformats.org/officeDocument/2006/relationships/hyperlink" Target="https://marketplace.fedramp.gov/img/logos/Agency_logos/Seal_of_the_United_States_Department_of_Veterans_Affairs_(1989-2012).png" TargetMode="External"/><Relationship Id="rId1988" Type="http://schemas.openxmlformats.org/officeDocument/2006/relationships/hyperlink" Target="https://community.max.gov/x/3JC6L" TargetMode="External"/><Relationship Id="rId1989" Type="http://schemas.openxmlformats.org/officeDocument/2006/relationships/hyperlink" Target="https://community.max.gov/download/attachments/992346706/ATO.Letter_MSO365_DoE_NNSA_LLNL_12.21.16.PDF?api=v2" TargetMode="External"/><Relationship Id="rId1980" Type="http://schemas.openxmlformats.org/officeDocument/2006/relationships/hyperlink" Target="http://www.granicus.com" TargetMode="External"/><Relationship Id="rId1981" Type="http://schemas.openxmlformats.org/officeDocument/2006/relationships/hyperlink" Target="https://marketplace.fedramp.gov/img/logos/CSP_logos/Granicus%20Logo.jpg" TargetMode="External"/><Relationship Id="rId1982" Type="http://schemas.openxmlformats.org/officeDocument/2006/relationships/hyperlink" Target="https://marketplace.fedramp.gov/img/logos/Agency_logos/US-DeptOfTheTreasury-Seal.png" TargetMode="External"/><Relationship Id="rId1930" Type="http://schemas.openxmlformats.org/officeDocument/2006/relationships/hyperlink" Target="https://community.max.gov/download/attachments/1162775171/ATO.Letter_Qualys_HHS_11.01.16.pdf?api=v2" TargetMode="External"/><Relationship Id="rId1931" Type="http://schemas.openxmlformats.org/officeDocument/2006/relationships/hyperlink" Target="http://www.qualys.com" TargetMode="External"/><Relationship Id="rId1932" Type="http://schemas.openxmlformats.org/officeDocument/2006/relationships/hyperlink" Target="https://marketplace.fedramp.gov/img/logos/CSP_logos/Qualys%20Logo3.jpg" TargetMode="External"/><Relationship Id="rId1933" Type="http://schemas.openxmlformats.org/officeDocument/2006/relationships/hyperlink" Target="https://marketplace.fedramp.gov/img/logos/Agency_logos/US-DeptOfHHS-Seal.png" TargetMode="External"/><Relationship Id="rId1934" Type="http://schemas.openxmlformats.org/officeDocument/2006/relationships/hyperlink" Target="https://community.max.gov/x/DpBJK" TargetMode="External"/><Relationship Id="rId1935" Type="http://schemas.openxmlformats.org/officeDocument/2006/relationships/hyperlink" Target="https://community.max.gov/download/attachments/1115488742/ATO.Letter_AWSEW_HHS_FDA_10.31.16.pdf?api=v2" TargetMode="External"/><Relationship Id="rId1936" Type="http://schemas.openxmlformats.org/officeDocument/2006/relationships/hyperlink" Target="http://www.aws.amazon.com" TargetMode="External"/><Relationship Id="rId1937" Type="http://schemas.openxmlformats.org/officeDocument/2006/relationships/hyperlink" Target="https://marketplace.fedramp.gov/img/logos/CSP_logos/Amazon%20Logo.jpg" TargetMode="External"/><Relationship Id="rId1938" Type="http://schemas.openxmlformats.org/officeDocument/2006/relationships/hyperlink" Target="https://marketplace.fedramp.gov/img/logos/Agency_logos/US-DeptOfHHS-Seal.png" TargetMode="External"/><Relationship Id="rId1939" Type="http://schemas.openxmlformats.org/officeDocument/2006/relationships/hyperlink" Target="https://community.max.gov/x/eoVSJw" TargetMode="External"/><Relationship Id="rId1920" Type="http://schemas.openxmlformats.org/officeDocument/2006/relationships/hyperlink" Target="https://community.max.gov/download/attachments/1256458288/ATO.Letter_ServiceNow_DoT_OCC_10.21.16.pdf?api=v2" TargetMode="External"/><Relationship Id="rId1921" Type="http://schemas.openxmlformats.org/officeDocument/2006/relationships/hyperlink" Target="http://www.servicenow.com" TargetMode="External"/><Relationship Id="rId1922" Type="http://schemas.openxmlformats.org/officeDocument/2006/relationships/hyperlink" Target="https://marketplace.fedramp.gov/img/logos/CSP_logos/ServiceNow%20Logo.jpg" TargetMode="External"/><Relationship Id="rId1923" Type="http://schemas.openxmlformats.org/officeDocument/2006/relationships/hyperlink" Target="https://marketplace.fedramp.gov/img/logos/Agency_logos/US-DeptOfTheTreasury-Seal.png" TargetMode="External"/><Relationship Id="rId1924" Type="http://schemas.openxmlformats.org/officeDocument/2006/relationships/hyperlink" Target="https://community.max.gov/x/w4ZYL" TargetMode="External"/><Relationship Id="rId1925" Type="http://schemas.openxmlformats.org/officeDocument/2006/relationships/hyperlink" Target="https://community.max.gov/download/attachments/992346739/ATO.Letter_USDANITC_HHS_FDA_10.28.16.pdf?api=v2" TargetMode="External"/><Relationship Id="rId1926" Type="http://schemas.openxmlformats.org/officeDocument/2006/relationships/hyperlink" Target="http://www.ocio.usda.gov/about-ocio/data-center-operations/nitc-cloud-services" TargetMode="External"/><Relationship Id="rId1927" Type="http://schemas.openxmlformats.org/officeDocument/2006/relationships/hyperlink" Target="https://marketplace.fedramp.gov/img/logos/CSP_logos/USDA%20Logo.jpg" TargetMode="External"/><Relationship Id="rId1928" Type="http://schemas.openxmlformats.org/officeDocument/2006/relationships/hyperlink" Target="https://marketplace.fedramp.gov/img/logos/Agency_logos/US-DeptOfHHS-Seal.png" TargetMode="External"/><Relationship Id="rId1929" Type="http://schemas.openxmlformats.org/officeDocument/2006/relationships/hyperlink" Target="https://community.max.gov/x/0oCMPQ" TargetMode="External"/><Relationship Id="rId1950" Type="http://schemas.openxmlformats.org/officeDocument/2006/relationships/hyperlink" Target="https://community.max.gov/download/attachments/1155203545/ATO.Letter_GovDelivery_DOD_DISA_10.02.16.pdf?api=v2" TargetMode="External"/><Relationship Id="rId1951" Type="http://schemas.openxmlformats.org/officeDocument/2006/relationships/hyperlink" Target="http://www.granicus.com" TargetMode="External"/><Relationship Id="rId1952" Type="http://schemas.openxmlformats.org/officeDocument/2006/relationships/hyperlink" Target="https://marketplace.fedramp.gov/img/logos/CSP_logos/Granicus%20Logo.jpg" TargetMode="External"/><Relationship Id="rId1953" Type="http://schemas.openxmlformats.org/officeDocument/2006/relationships/hyperlink" Target="https://marketplace.fedramp.gov/img/logos/Agency_logos/United_States_Department_of_Defense_Seal.png" TargetMode="External"/><Relationship Id="rId1954" Type="http://schemas.openxmlformats.org/officeDocument/2006/relationships/hyperlink" Target="https://community.max.gov/x/DgwdJg" TargetMode="External"/><Relationship Id="rId1955" Type="http://schemas.openxmlformats.org/officeDocument/2006/relationships/hyperlink" Target="https://community.max.gov/download/attachments/1155203762/ATO.Letter_OracleFMCS_GPO_10.28.16.pdf?api=v2" TargetMode="External"/><Relationship Id="rId1956" Type="http://schemas.openxmlformats.org/officeDocument/2006/relationships/hyperlink" Target="http://www.oracle.com/us/industries/public-sector/government-cloud/index.html" TargetMode="External"/><Relationship Id="rId1957" Type="http://schemas.openxmlformats.org/officeDocument/2006/relationships/hyperlink" Target="https://marketplace.fedramp.gov/img/logos/CSP_logos/Oracle%20Logo.jpg" TargetMode="External"/><Relationship Id="rId1958" Type="http://schemas.openxmlformats.org/officeDocument/2006/relationships/hyperlink" Target="https://marketplace.fedramp.gov/img/logos/Agency_logos/USGPO%20Logo.jpg" TargetMode="External"/><Relationship Id="rId1959" Type="http://schemas.openxmlformats.org/officeDocument/2006/relationships/hyperlink" Target="https://community.max.gov/x/vg_4Jg" TargetMode="External"/><Relationship Id="rId1940" Type="http://schemas.openxmlformats.org/officeDocument/2006/relationships/hyperlink" Target="https://community.max.gov/download/attachments/1155203360/ATO.Letter_EconSys_DHS_10.12.16.pdf?api=v2" TargetMode="External"/><Relationship Id="rId1941" Type="http://schemas.openxmlformats.org/officeDocument/2006/relationships/hyperlink" Target="http://www.fedhrnavigator.com/" TargetMode="External"/><Relationship Id="rId1942" Type="http://schemas.openxmlformats.org/officeDocument/2006/relationships/hyperlink" Target="https://marketplace.fedramp.gov/img/logos/CSP_logos/EconSys%20Logo.jpg" TargetMode="External"/><Relationship Id="rId1943" Type="http://schemas.openxmlformats.org/officeDocument/2006/relationships/hyperlink" Target="https://marketplace.fedramp.gov/img/logos/Agency_logos/Seal_of_the_United_States_Department_of_Homeland_Security.png" TargetMode="External"/><Relationship Id="rId1944" Type="http://schemas.openxmlformats.org/officeDocument/2006/relationships/hyperlink" Target="https://community.max.gov/x/3JC6L" TargetMode="External"/><Relationship Id="rId1945" Type="http://schemas.openxmlformats.org/officeDocument/2006/relationships/hyperlink" Target="https://community.max.gov/download/attachments/992346706/ATO.Letter_MSO365_CIGIE_11.22.16.pdf?api=v2" TargetMode="External"/><Relationship Id="rId1946" Type="http://schemas.openxmlformats.org/officeDocument/2006/relationships/hyperlink" Target="http://www.microsoft.office.com" TargetMode="External"/><Relationship Id="rId1947" Type="http://schemas.openxmlformats.org/officeDocument/2006/relationships/hyperlink" Target="https://marketplace.fedramp.gov/img/logos/CSP_logos/Microsoft%20Logo.jpg" TargetMode="External"/><Relationship Id="rId1948" Type="http://schemas.openxmlformats.org/officeDocument/2006/relationships/hyperlink" Target="https://marketplace.fedramp.gov/img/logos/Agency_logos/CIGIE%20Logo.jpg" TargetMode="External"/><Relationship Id="rId1949" Type="http://schemas.openxmlformats.org/officeDocument/2006/relationships/hyperlink" Target="https://community.max.gov/x/FgQpLg" TargetMode="External"/><Relationship Id="rId2423" Type="http://schemas.openxmlformats.org/officeDocument/2006/relationships/hyperlink" Target="https://community.max.gov/x/_gPNKw" TargetMode="External"/><Relationship Id="rId3755" Type="http://schemas.openxmlformats.org/officeDocument/2006/relationships/hyperlink" Target="https://community.max.gov/download/attachments/1155204218/ATO.Letter_MSAzure_TVA_7.19.18.pdf?api=v2" TargetMode="External"/><Relationship Id="rId2424" Type="http://schemas.openxmlformats.org/officeDocument/2006/relationships/hyperlink" Target="https://community.max.gov/download/attachments/1155203438/ATO.Letter_GDIT_CFPB_06.12.17.pdf?api=v2" TargetMode="External"/><Relationship Id="rId3754" Type="http://schemas.openxmlformats.org/officeDocument/2006/relationships/hyperlink" Target="https://community.max.gov/display/FedRAMPExternal/MS+Azure+ATO+Letters" TargetMode="External"/><Relationship Id="rId2425" Type="http://schemas.openxmlformats.org/officeDocument/2006/relationships/hyperlink" Target="http://www.gdit.com/cloudsolutions" TargetMode="External"/><Relationship Id="rId3757" Type="http://schemas.openxmlformats.org/officeDocument/2006/relationships/hyperlink" Target="https://marketplace.fedramp.gov/img/logos/CSP_logos/Microsoft%20Logo.jpg" TargetMode="External"/><Relationship Id="rId2426" Type="http://schemas.openxmlformats.org/officeDocument/2006/relationships/hyperlink" Target="https://marketplace.fedramp.gov/img/logos/CSP_logos/GDIT%20Logo.jpg" TargetMode="External"/><Relationship Id="rId3756" Type="http://schemas.openxmlformats.org/officeDocument/2006/relationships/hyperlink" Target="http://azure.microsoft.com/en-us/" TargetMode="External"/><Relationship Id="rId2427" Type="http://schemas.openxmlformats.org/officeDocument/2006/relationships/hyperlink" Target="https://marketplace.fedramp.gov/img/logos/Agency_logos/CFPB_Logo.png" TargetMode="External"/><Relationship Id="rId3759" Type="http://schemas.openxmlformats.org/officeDocument/2006/relationships/hyperlink" Target="https://community.max.gov/x/3JC6L" TargetMode="External"/><Relationship Id="rId2428" Type="http://schemas.openxmlformats.org/officeDocument/2006/relationships/hyperlink" Target="https://community.max.gov/x/FoUvOw" TargetMode="External"/><Relationship Id="rId3758" Type="http://schemas.openxmlformats.org/officeDocument/2006/relationships/hyperlink" Target="https://marketplace.fedramp.gov/img/logos/Agency_logos/US-TennesseeValleyAuthority-Logo.png" TargetMode="External"/><Relationship Id="rId2429" Type="http://schemas.openxmlformats.org/officeDocument/2006/relationships/hyperlink" Target="https://community.max.gov/download/attachments/992970011/ATO.Letter_Skillsoft_DoD_DISA_06.18.17.pdf?api=v2" TargetMode="External"/><Relationship Id="rId509" Type="http://schemas.openxmlformats.org/officeDocument/2006/relationships/hyperlink" Target="http://www.fedhrnavigator.com/" TargetMode="External"/><Relationship Id="rId508" Type="http://schemas.openxmlformats.org/officeDocument/2006/relationships/hyperlink" Target="https://community.max.gov/download/attachments/1155203360/ATO.Letter_EconSys_EPA_10.30.14.pdf?api=v2" TargetMode="External"/><Relationship Id="rId503" Type="http://schemas.openxmlformats.org/officeDocument/2006/relationships/hyperlink" Target="https://community.max.gov/download/attachments/923206794/ATO.Letter_DecisionLens_HHS.CMS_08.06.15.pdf?api=v2" TargetMode="External"/><Relationship Id="rId502" Type="http://schemas.openxmlformats.org/officeDocument/2006/relationships/hyperlink" Target="https://community.max.gov/x/KYJsNQ" TargetMode="External"/><Relationship Id="rId501" Type="http://schemas.openxmlformats.org/officeDocument/2006/relationships/hyperlink" Target="https://marketplace.fedramp.gov/img/logos/CSP_logos/Rackspace%20Logo.jpg" TargetMode="External"/><Relationship Id="rId500" Type="http://schemas.openxmlformats.org/officeDocument/2006/relationships/hyperlink" Target="http://www.rackspace.com/government" TargetMode="External"/><Relationship Id="rId507" Type="http://schemas.openxmlformats.org/officeDocument/2006/relationships/hyperlink" Target="https://community.max.gov/x/eoVSJw" TargetMode="External"/><Relationship Id="rId506" Type="http://schemas.openxmlformats.org/officeDocument/2006/relationships/hyperlink" Target="https://marketplace.fedramp.gov/img/logos/Agency_logos/US-DeptOfHHS-Seal.png" TargetMode="External"/><Relationship Id="rId505" Type="http://schemas.openxmlformats.org/officeDocument/2006/relationships/hyperlink" Target="https://marketplace.fedramp.gov/img/logos/CSP_logos/Decision%20Lens%20Logo.jpg" TargetMode="External"/><Relationship Id="rId504" Type="http://schemas.openxmlformats.org/officeDocument/2006/relationships/hyperlink" Target="http://www.decisionlens.com/" TargetMode="External"/><Relationship Id="rId3751" Type="http://schemas.openxmlformats.org/officeDocument/2006/relationships/hyperlink" Target="http://www.box.com" TargetMode="External"/><Relationship Id="rId2420" Type="http://schemas.openxmlformats.org/officeDocument/2006/relationships/hyperlink" Target="http://www.gdit.com/cloudsolutions" TargetMode="External"/><Relationship Id="rId3750" Type="http://schemas.openxmlformats.org/officeDocument/2006/relationships/hyperlink" Target="https://community.max.gov/download/attachments/1035338333/ATO.Letter_Box_DoT_6.29.18.pdf?api=v2" TargetMode="External"/><Relationship Id="rId2421" Type="http://schemas.openxmlformats.org/officeDocument/2006/relationships/hyperlink" Target="https://marketplace.fedramp.gov/img/logos/CSP_logos/GDIT%20Logo.jpg" TargetMode="External"/><Relationship Id="rId3753" Type="http://schemas.openxmlformats.org/officeDocument/2006/relationships/hyperlink" Target="https://marketplace.fedramp.gov/img/logos/Agency_logos/US-DeptOfTheTreasury-Seal.png" TargetMode="External"/><Relationship Id="rId2422" Type="http://schemas.openxmlformats.org/officeDocument/2006/relationships/hyperlink" Target="https://marketplace.fedramp.gov/img/logos/Agency_logos/CFPB_Logo.png" TargetMode="External"/><Relationship Id="rId3752" Type="http://schemas.openxmlformats.org/officeDocument/2006/relationships/hyperlink" Target="https://marketplace.fedramp.gov/img/logos/CSP_logos/Box%20Logo.jpg" TargetMode="External"/><Relationship Id="rId2412" Type="http://schemas.openxmlformats.org/officeDocument/2006/relationships/hyperlink" Target="https://marketplace.fedramp.gov/img/logos/Agency_logos/US-DeptOfCommerce-Seal.png" TargetMode="External"/><Relationship Id="rId3744" Type="http://schemas.openxmlformats.org/officeDocument/2006/relationships/hyperlink" Target="https://community.max.gov/download/attachments/1155204218/ATO.Letter_MSAG_HHS_CMS_10.13.17.pdf?api=v2" TargetMode="External"/><Relationship Id="rId2413" Type="http://schemas.openxmlformats.org/officeDocument/2006/relationships/hyperlink" Target="https://community.max.gov/x/cARBT" TargetMode="External"/><Relationship Id="rId3743" Type="http://schemas.openxmlformats.org/officeDocument/2006/relationships/hyperlink" Target="https://community.max.gov/x/WgZfJw" TargetMode="External"/><Relationship Id="rId2414" Type="http://schemas.openxmlformats.org/officeDocument/2006/relationships/hyperlink" Target="https://community.max.gov/download/attachments/1497466391/SAP%20NS2%20PA%20IL4_Final.pdf?api=v2" TargetMode="External"/><Relationship Id="rId3746" Type="http://schemas.openxmlformats.org/officeDocument/2006/relationships/hyperlink" Target="http://azure.microsoft.com/en-us/" TargetMode="External"/><Relationship Id="rId2415" Type="http://schemas.openxmlformats.org/officeDocument/2006/relationships/hyperlink" Target="https://www.sapns2.com/cloud/" TargetMode="External"/><Relationship Id="rId3745" Type="http://schemas.openxmlformats.org/officeDocument/2006/relationships/hyperlink" Target="mailto:AzureFedRAMP@microsoft.com" TargetMode="External"/><Relationship Id="rId2416" Type="http://schemas.openxmlformats.org/officeDocument/2006/relationships/hyperlink" Target="https://marketplace.fedramp.gov/img/logos/CSP_logos/SAP%20NS2%20Logo1.jpg" TargetMode="External"/><Relationship Id="rId3748" Type="http://schemas.openxmlformats.org/officeDocument/2006/relationships/hyperlink" Target="https://marketplace.fedramp.gov/img/logos/Agency_logos/US-DeptOfHHS-Seal.png" TargetMode="External"/><Relationship Id="rId2417" Type="http://schemas.openxmlformats.org/officeDocument/2006/relationships/hyperlink" Target="https://marketplace.fedramp.gov/img/logos/Agency_logos/United_States_Department_of_Defense_Seal.png" TargetMode="External"/><Relationship Id="rId3747" Type="http://schemas.openxmlformats.org/officeDocument/2006/relationships/hyperlink" Target="https://marketplace.fedramp.gov/img/logos/CSP_logos/Microsoft%20Logo.jpg" TargetMode="External"/><Relationship Id="rId2418" Type="http://schemas.openxmlformats.org/officeDocument/2006/relationships/hyperlink" Target="https://community.max.gov/x/j4PPPg" TargetMode="External"/><Relationship Id="rId2419" Type="http://schemas.openxmlformats.org/officeDocument/2006/relationships/hyperlink" Target="https://community.max.gov/download/attachments/1053787027/ATO.Letter_GDITCXP_CFPB_06.12.17.pdf?api=v2" TargetMode="External"/><Relationship Id="rId3749" Type="http://schemas.openxmlformats.org/officeDocument/2006/relationships/hyperlink" Target="https://community.max.gov/x/UQK2PQ" TargetMode="External"/><Relationship Id="rId3740" Type="http://schemas.openxmlformats.org/officeDocument/2006/relationships/hyperlink" Target="https://www.sapns2.com/cloud/" TargetMode="External"/><Relationship Id="rId2410" Type="http://schemas.openxmlformats.org/officeDocument/2006/relationships/hyperlink" Target="http://www.microsoft.office.com" TargetMode="External"/><Relationship Id="rId3742" Type="http://schemas.openxmlformats.org/officeDocument/2006/relationships/hyperlink" Target="https://marketplace.fedramp.gov/img/logos/Agency_logos/US-DeptOfTheTreasury-Seal.png" TargetMode="External"/><Relationship Id="rId2411" Type="http://schemas.openxmlformats.org/officeDocument/2006/relationships/hyperlink" Target="https://marketplace.fedramp.gov/img/logos/CSP_logos/Microsoft%20Logo.jpg" TargetMode="External"/><Relationship Id="rId3741" Type="http://schemas.openxmlformats.org/officeDocument/2006/relationships/hyperlink" Target="https://marketplace.fedramp.gov/img/logos/CSP_logos/SAP%20NS2%20Logo1.jpg" TargetMode="External"/><Relationship Id="rId1114" Type="http://schemas.openxmlformats.org/officeDocument/2006/relationships/hyperlink" Target="https://marketplace.fedramp.gov/img/logos/Agency_logos/US-DeptOfCommerce-Seal.png" TargetMode="External"/><Relationship Id="rId2445" Type="http://schemas.openxmlformats.org/officeDocument/2006/relationships/hyperlink" Target="http://www.microsoft.office.com" TargetMode="External"/><Relationship Id="rId3777" Type="http://schemas.openxmlformats.org/officeDocument/2006/relationships/hyperlink" Target="https://marketplace.fedramp.gov/img/logos/CSP_logos/Innovative%20Discovery%20Logo.jpg" TargetMode="External"/><Relationship Id="rId1115" Type="http://schemas.openxmlformats.org/officeDocument/2006/relationships/hyperlink" Target="https://community.max.gov/x/eQs3Kw" TargetMode="External"/><Relationship Id="rId2446" Type="http://schemas.openxmlformats.org/officeDocument/2006/relationships/hyperlink" Target="https://marketplace.fedramp.gov/img/logos/CSP_logos/Microsoft%20Logo.jpg" TargetMode="External"/><Relationship Id="rId3776" Type="http://schemas.openxmlformats.org/officeDocument/2006/relationships/hyperlink" Target="http://www.id-edd.com" TargetMode="External"/><Relationship Id="rId1116" Type="http://schemas.openxmlformats.org/officeDocument/2006/relationships/hyperlink" Target="https://community.max.gov/download/attachments/1130635691/ATO.Letter_Salesforce_DOI_12.03.15.pdf?api=v2" TargetMode="External"/><Relationship Id="rId2447" Type="http://schemas.openxmlformats.org/officeDocument/2006/relationships/hyperlink" Target="https://marketplace.fedramp.gov/img/logos/Agency_logos/US-DeptOfTheTreasury-Seal.png" TargetMode="External"/><Relationship Id="rId3779" Type="http://schemas.openxmlformats.org/officeDocument/2006/relationships/hyperlink" Target="https://community.max.gov/x/BgD8Nw" TargetMode="External"/><Relationship Id="rId1117" Type="http://schemas.openxmlformats.org/officeDocument/2006/relationships/hyperlink" Target="http://www.salesforce.com/industries/public-sector" TargetMode="External"/><Relationship Id="rId2448" Type="http://schemas.openxmlformats.org/officeDocument/2006/relationships/hyperlink" Target="https://community.max.gov/display/FedRAMPExternal/MS+Azure+ATO+Letters" TargetMode="External"/><Relationship Id="rId3778" Type="http://schemas.openxmlformats.org/officeDocument/2006/relationships/hyperlink" Target="https://marketplace.fedramp.gov/img/logos/Agency_logos/US-FederalTradeCommission-Seal.png" TargetMode="External"/><Relationship Id="rId1118" Type="http://schemas.openxmlformats.org/officeDocument/2006/relationships/hyperlink" Target="https://marketplace.fedramp.gov/img/logos/CSP_logos/Salesforce%20Logo.jpg" TargetMode="External"/><Relationship Id="rId2449" Type="http://schemas.openxmlformats.org/officeDocument/2006/relationships/hyperlink" Target="https://community.max.gov/download/attachments/1155204218/ATO.Letter_MSAzure_DoT_IRS_06.21.17.pdf?api=v2" TargetMode="External"/><Relationship Id="rId1119" Type="http://schemas.openxmlformats.org/officeDocument/2006/relationships/hyperlink" Target="https://marketplace.fedramp.gov/img/logos/Agency_logos/US-DeptOfTheInterior-Seal.png" TargetMode="External"/><Relationship Id="rId525" Type="http://schemas.openxmlformats.org/officeDocument/2006/relationships/hyperlink" Target="https://marketplace.fedramp.gov/img/logos/CSP_logos/DataBank%20Logo.jpg" TargetMode="External"/><Relationship Id="rId524" Type="http://schemas.openxmlformats.org/officeDocument/2006/relationships/hyperlink" Target="https://www.databank.com/" TargetMode="External"/><Relationship Id="rId523" Type="http://schemas.openxmlformats.org/officeDocument/2006/relationships/hyperlink" Target="https://community.max.gov/download/attachments/992346677/ATO.Letter_EdgeHosting_DOD.DISA_3.26.15.pdf?api=v2" TargetMode="External"/><Relationship Id="rId522" Type="http://schemas.openxmlformats.org/officeDocument/2006/relationships/hyperlink" Target="https://community.max.gov/x/XYPDLw" TargetMode="External"/><Relationship Id="rId529" Type="http://schemas.openxmlformats.org/officeDocument/2006/relationships/hyperlink" Target="http://www.esri.com" TargetMode="External"/><Relationship Id="rId528" Type="http://schemas.openxmlformats.org/officeDocument/2006/relationships/hyperlink" Target="https://community.max.gov/download/attachments/992346679/ATO.Letter_ESRI_DOC_08.06.15.pdf?api=v2" TargetMode="External"/><Relationship Id="rId527" Type="http://schemas.openxmlformats.org/officeDocument/2006/relationships/hyperlink" Target="https://community.max.gov/x/44BdLw" TargetMode="External"/><Relationship Id="rId526" Type="http://schemas.openxmlformats.org/officeDocument/2006/relationships/hyperlink" Target="https://marketplace.fedramp.gov/img/logos/Agency_logos/United_States_Department_of_Defense_Seal.png" TargetMode="External"/><Relationship Id="rId3771" Type="http://schemas.openxmlformats.org/officeDocument/2006/relationships/hyperlink" Target="http://www.microsoft.office.com" TargetMode="External"/><Relationship Id="rId2440" Type="http://schemas.openxmlformats.org/officeDocument/2006/relationships/hyperlink" Target="http://www.salesforce.com/industries/public-sector" TargetMode="External"/><Relationship Id="rId3770" Type="http://schemas.openxmlformats.org/officeDocument/2006/relationships/hyperlink" Target="https://community.max.gov/download/attachments/992346706/ATO.Letter_MSO365_DoC_NTIS_7.23.18.pdf?api=v2" TargetMode="External"/><Relationship Id="rId521" Type="http://schemas.openxmlformats.org/officeDocument/2006/relationships/hyperlink" Target="https://marketplace.fedramp.gov/img/logos/Agency_logos/US-DeptOfTheInterior-Seal.png" TargetMode="External"/><Relationship Id="rId1110" Type="http://schemas.openxmlformats.org/officeDocument/2006/relationships/hyperlink" Target="https://community.max.gov/download/attachments/882934025/ATO.Letter_ProjectHosts_DOC_10.20.15.pdf?api=v2" TargetMode="External"/><Relationship Id="rId2441" Type="http://schemas.openxmlformats.org/officeDocument/2006/relationships/hyperlink" Target="https://marketplace.fedramp.gov/img/logos/CSP_logos/Salesforce%20Logo.jpg" TargetMode="External"/><Relationship Id="rId3773" Type="http://schemas.openxmlformats.org/officeDocument/2006/relationships/hyperlink" Target="https://marketplace.fedramp.gov/img/logos/Agency_logos/US-DeptOfCommerce-Seal.png" TargetMode="External"/><Relationship Id="rId520" Type="http://schemas.openxmlformats.org/officeDocument/2006/relationships/hyperlink" Target="https://marketplace.fedramp.gov/img/logos/CSP_logos/EconSys%20Logo.jpg" TargetMode="External"/><Relationship Id="rId1111" Type="http://schemas.openxmlformats.org/officeDocument/2006/relationships/hyperlink" Target="mailto:info@projecthosts.com" TargetMode="External"/><Relationship Id="rId2442" Type="http://schemas.openxmlformats.org/officeDocument/2006/relationships/hyperlink" Target="https://marketplace.fedramp.gov/img/logos/Agency_logos/US-DeptOfLabor-Seal-AltColors.svg.png" TargetMode="External"/><Relationship Id="rId3772" Type="http://schemas.openxmlformats.org/officeDocument/2006/relationships/hyperlink" Target="https://marketplace.fedramp.gov/img/logos/CSP_logos/Microsoft%20Logo.jpg" TargetMode="External"/><Relationship Id="rId1112" Type="http://schemas.openxmlformats.org/officeDocument/2006/relationships/hyperlink" Target="http://www.projecthosts.com" TargetMode="External"/><Relationship Id="rId2443" Type="http://schemas.openxmlformats.org/officeDocument/2006/relationships/hyperlink" Target="https://community.max.gov/x/3JC6L" TargetMode="External"/><Relationship Id="rId3775" Type="http://schemas.openxmlformats.org/officeDocument/2006/relationships/hyperlink" Target="https://community.max.gov/display/FedRAMPExternal/Innovative+ATO+Letters" TargetMode="External"/><Relationship Id="rId1113" Type="http://schemas.openxmlformats.org/officeDocument/2006/relationships/hyperlink" Target="https://marketplace.fedramp.gov/img/logos/CSP_logos/Project%20Hosts%20Logo.jpg" TargetMode="External"/><Relationship Id="rId2444" Type="http://schemas.openxmlformats.org/officeDocument/2006/relationships/hyperlink" Target="https://community.max.gov/download/attachments/992346706/ATO.Letter_MSO365_DoT_IRS_06.21.17.pdf?api=v2" TargetMode="External"/><Relationship Id="rId3774" Type="http://schemas.openxmlformats.org/officeDocument/2006/relationships/hyperlink" Target="https://community.max.gov/x/BwOUW" TargetMode="External"/><Relationship Id="rId1103" Type="http://schemas.openxmlformats.org/officeDocument/2006/relationships/hyperlink" Target="https://marketplace.fedramp.gov/img/logos/Agency_logos/US-DeptOfCommerce-Seal.png" TargetMode="External"/><Relationship Id="rId2434" Type="http://schemas.openxmlformats.org/officeDocument/2006/relationships/hyperlink" Target="https://community.max.gov/download/attachments/1155203545/ATO.Letter_GovDelivery_DoC_NIST_04.24.17.pdf?api=v2" TargetMode="External"/><Relationship Id="rId3766" Type="http://schemas.openxmlformats.org/officeDocument/2006/relationships/hyperlink" Target="http://www.servicenow.com" TargetMode="External"/><Relationship Id="rId1104" Type="http://schemas.openxmlformats.org/officeDocument/2006/relationships/hyperlink" Target="https://community.max.gov/x/0h0kSQ" TargetMode="External"/><Relationship Id="rId2435" Type="http://schemas.openxmlformats.org/officeDocument/2006/relationships/hyperlink" Target="http://www.granicus.com" TargetMode="External"/><Relationship Id="rId3765" Type="http://schemas.openxmlformats.org/officeDocument/2006/relationships/hyperlink" Target="https://community.max.gov/download/attachments/1155203837/ATO.Letter_ServiceNow_DoI_7.19.18.pdf?api=v2" TargetMode="External"/><Relationship Id="rId1105" Type="http://schemas.openxmlformats.org/officeDocument/2006/relationships/hyperlink" Target="https://community.max.gov/download/attachments/779322061/ATO.Letter_Accellion.Kiteworks_DOI_12.17.15.pdf?api=v2" TargetMode="External"/><Relationship Id="rId2436" Type="http://schemas.openxmlformats.org/officeDocument/2006/relationships/hyperlink" Target="https://marketplace.fedramp.gov/img/logos/CSP_logos/Granicus%20Logo.jpg" TargetMode="External"/><Relationship Id="rId3768" Type="http://schemas.openxmlformats.org/officeDocument/2006/relationships/hyperlink" Target="https://marketplace.fedramp.gov/img/logos/Agency_logos/US-DeptOfTheInterior-Seal.png" TargetMode="External"/><Relationship Id="rId1106" Type="http://schemas.openxmlformats.org/officeDocument/2006/relationships/hyperlink" Target="http://www.accellion.com/government" TargetMode="External"/><Relationship Id="rId2437" Type="http://schemas.openxmlformats.org/officeDocument/2006/relationships/hyperlink" Target="https://marketplace.fedramp.gov/img/logos/Agency_logos/US-DeptOfCommerce-Seal.png" TargetMode="External"/><Relationship Id="rId3767" Type="http://schemas.openxmlformats.org/officeDocument/2006/relationships/hyperlink" Target="https://marketplace.fedramp.gov/img/logos/CSP_logos/ServiceNow%20Logo.jpg" TargetMode="External"/><Relationship Id="rId1107" Type="http://schemas.openxmlformats.org/officeDocument/2006/relationships/hyperlink" Target="https://marketplace.fedramp.gov/img/logos/CSP_logos/Accellion%20Logo.jpg" TargetMode="External"/><Relationship Id="rId2438" Type="http://schemas.openxmlformats.org/officeDocument/2006/relationships/hyperlink" Target="https://community.max.gov/x/eQs3Kw" TargetMode="External"/><Relationship Id="rId1108" Type="http://schemas.openxmlformats.org/officeDocument/2006/relationships/hyperlink" Target="https://marketplace.fedramp.gov/img/logos/Agency_logos/US-DeptOfTheInterior-Seal.png" TargetMode="External"/><Relationship Id="rId2439" Type="http://schemas.openxmlformats.org/officeDocument/2006/relationships/hyperlink" Target="https://community.max.gov/download/attachments/992346725/ATO.Letter_Salesforce_DoL_06.18.17.pdf?api=v2" TargetMode="External"/><Relationship Id="rId3769" Type="http://schemas.openxmlformats.org/officeDocument/2006/relationships/hyperlink" Target="https://community.max.gov/x/3JC6L" TargetMode="External"/><Relationship Id="rId1109" Type="http://schemas.openxmlformats.org/officeDocument/2006/relationships/hyperlink" Target="https://community.max.gov/x/EYGKLQ" TargetMode="External"/><Relationship Id="rId519" Type="http://schemas.openxmlformats.org/officeDocument/2006/relationships/hyperlink" Target="http://www.fedhrnavigator.com/" TargetMode="External"/><Relationship Id="rId514" Type="http://schemas.openxmlformats.org/officeDocument/2006/relationships/hyperlink" Target="http://www.fedhrnavigator.com/" TargetMode="External"/><Relationship Id="rId513" Type="http://schemas.openxmlformats.org/officeDocument/2006/relationships/hyperlink" Target="https://community.max.gov/download/attachments/1155203360/ATO.Letter_EconSys_DOD.DISA_3.26.15.pdf?api=v2" TargetMode="External"/><Relationship Id="rId512" Type="http://schemas.openxmlformats.org/officeDocument/2006/relationships/hyperlink" Target="https://community.max.gov/x/eoVSJw" TargetMode="External"/><Relationship Id="rId511" Type="http://schemas.openxmlformats.org/officeDocument/2006/relationships/hyperlink" Target="https://marketplace.fedramp.gov/img/logos/Agency_logos/Environmental_Protection_Agency_logo.png" TargetMode="External"/><Relationship Id="rId518" Type="http://schemas.openxmlformats.org/officeDocument/2006/relationships/hyperlink" Target="https://community.max.gov/download/attachments/1155203360/ATO.Letter_EconSys_DOI_05.04.15.pdf?api=v2" TargetMode="External"/><Relationship Id="rId517" Type="http://schemas.openxmlformats.org/officeDocument/2006/relationships/hyperlink" Target="https://community.max.gov/x/eoVSJw" TargetMode="External"/><Relationship Id="rId516" Type="http://schemas.openxmlformats.org/officeDocument/2006/relationships/hyperlink" Target="https://marketplace.fedramp.gov/img/logos/Agency_logos/United_States_Department_of_Defense_Seal.png" TargetMode="External"/><Relationship Id="rId515" Type="http://schemas.openxmlformats.org/officeDocument/2006/relationships/hyperlink" Target="https://marketplace.fedramp.gov/img/logos/CSP_logos/EconSys%20Logo.jpg" TargetMode="External"/><Relationship Id="rId3760" Type="http://schemas.openxmlformats.org/officeDocument/2006/relationships/hyperlink" Target="https://community.max.gov/download/attachments/992346706/ATO.Letter_MSO365_TVA_7.19.18.pdf?api=v2" TargetMode="External"/><Relationship Id="rId510" Type="http://schemas.openxmlformats.org/officeDocument/2006/relationships/hyperlink" Target="https://marketplace.fedramp.gov/img/logos/CSP_logos/EconSys%20Logo.jpg" TargetMode="External"/><Relationship Id="rId2430" Type="http://schemas.openxmlformats.org/officeDocument/2006/relationships/hyperlink" Target="http://www.skillsoft.com" TargetMode="External"/><Relationship Id="rId3762" Type="http://schemas.openxmlformats.org/officeDocument/2006/relationships/hyperlink" Target="https://marketplace.fedramp.gov/img/logos/CSP_logos/Microsoft%20Logo.jpg" TargetMode="External"/><Relationship Id="rId1100" Type="http://schemas.openxmlformats.org/officeDocument/2006/relationships/hyperlink" Target="https://community.max.gov/x/74A2PQ" TargetMode="External"/><Relationship Id="rId2431" Type="http://schemas.openxmlformats.org/officeDocument/2006/relationships/hyperlink" Target="https://marketplace.fedramp.gov/img/logos/CSP_logos/Skillsoft%20Logo.jpg" TargetMode="External"/><Relationship Id="rId3761" Type="http://schemas.openxmlformats.org/officeDocument/2006/relationships/hyperlink" Target="http://www.microsoft.office.com" TargetMode="External"/><Relationship Id="rId1101" Type="http://schemas.openxmlformats.org/officeDocument/2006/relationships/hyperlink" Target="https://community.max.gov/download/attachments/1026982134/DOC%20BusinessUSA%20ATO%20Letter%202015.pdf?api=v2" TargetMode="External"/><Relationship Id="rId2432" Type="http://schemas.openxmlformats.org/officeDocument/2006/relationships/hyperlink" Target="https://marketplace.fedramp.gov/img/logos/Agency_logos/United_States_Department_of_Defense_Seal.png" TargetMode="External"/><Relationship Id="rId3764" Type="http://schemas.openxmlformats.org/officeDocument/2006/relationships/hyperlink" Target="https://community.max.gov/x/QoWaP" TargetMode="External"/><Relationship Id="rId1102" Type="http://schemas.openxmlformats.org/officeDocument/2006/relationships/hyperlink" Target="https://marketplace.fedramp.gov/img/logos/CSP_logos/Microsoft%20Logo.jpg" TargetMode="External"/><Relationship Id="rId2433" Type="http://schemas.openxmlformats.org/officeDocument/2006/relationships/hyperlink" Target="https://community.max.gov/x/FgQpLg" TargetMode="External"/><Relationship Id="rId3763" Type="http://schemas.openxmlformats.org/officeDocument/2006/relationships/hyperlink" Target="https://marketplace.fedramp.gov/img/logos/Agency_logos/US-TennesseeValleyAuthority-Logo.png" TargetMode="External"/><Relationship Id="rId3711" Type="http://schemas.openxmlformats.org/officeDocument/2006/relationships/hyperlink" Target="https://marketplace.fedramp.gov/img/logos/CSP_logos/TalaTek%20Logo.jpg" TargetMode="External"/><Relationship Id="rId3710" Type="http://schemas.openxmlformats.org/officeDocument/2006/relationships/hyperlink" Target="http://www.talatek.com" TargetMode="External"/><Relationship Id="rId3713" Type="http://schemas.openxmlformats.org/officeDocument/2006/relationships/hyperlink" Target="https://community.max.gov/x/zwHAW" TargetMode="External"/><Relationship Id="rId3712" Type="http://schemas.openxmlformats.org/officeDocument/2006/relationships/hyperlink" Target="https://marketplace.fedramp.gov/img/logos/Agency_logos/PBGC%20logo.png" TargetMode="External"/><Relationship Id="rId3715" Type="http://schemas.openxmlformats.org/officeDocument/2006/relationships/hyperlink" Target="https://www.arcgis.com" TargetMode="External"/><Relationship Id="rId3714" Type="http://schemas.openxmlformats.org/officeDocument/2006/relationships/hyperlink" Target="https://community.max.gov/download/attachments/766771821/ATO.Letter_EsriAGO_DoI_6.27.18.pdf?api=v2" TargetMode="External"/><Relationship Id="rId3717" Type="http://schemas.openxmlformats.org/officeDocument/2006/relationships/hyperlink" Target="https://marketplace.fedramp.gov/img/logos/Agency_logos/US-DeptOfTheInterior-Seal.png" TargetMode="External"/><Relationship Id="rId3716" Type="http://schemas.openxmlformats.org/officeDocument/2006/relationships/hyperlink" Target="https://marketplace.fedramp.gov/img/logos/CSP_logos/Esri%20Logo2.jpg" TargetMode="External"/><Relationship Id="rId3719" Type="http://schemas.openxmlformats.org/officeDocument/2006/relationships/hyperlink" Target="https://community.max.gov/download/attachments/930415021/ATO.Letter_Cornerstone_DoC_5.10.18.pdf?api=v2" TargetMode="External"/><Relationship Id="rId3718" Type="http://schemas.openxmlformats.org/officeDocument/2006/relationships/hyperlink" Target="https://community.max.gov/x/fgIhMg" TargetMode="External"/><Relationship Id="rId3700" Type="http://schemas.openxmlformats.org/officeDocument/2006/relationships/hyperlink" Target="http://www.oracle.com/us/industries/public-sector/government-cloud/index.html" TargetMode="External"/><Relationship Id="rId3702" Type="http://schemas.openxmlformats.org/officeDocument/2006/relationships/hyperlink" Target="https://marketplace.fedramp.gov/img/logos/Agency_logos/US-DeptOfTheTreasury-Seal.png" TargetMode="External"/><Relationship Id="rId3701" Type="http://schemas.openxmlformats.org/officeDocument/2006/relationships/hyperlink" Target="https://marketplace.fedramp.gov/img/logos/CSP_logos/Oracle%20Logo.jpg" TargetMode="External"/><Relationship Id="rId3704" Type="http://schemas.openxmlformats.org/officeDocument/2006/relationships/hyperlink" Target="https://community.max.gov/download/attachments/944866657/OROCK%20IL2%20ATO%20Letter%20Corrected%20Signed.pdf?api=v2" TargetMode="External"/><Relationship Id="rId3703" Type="http://schemas.openxmlformats.org/officeDocument/2006/relationships/hyperlink" Target="https://community.max.gov/x/XIVRO" TargetMode="External"/><Relationship Id="rId3706" Type="http://schemas.openxmlformats.org/officeDocument/2006/relationships/hyperlink" Target="https://marketplace.fedramp.gov/img/logos/CSP_logos/ORock%20Technologies%20Logo.jpg" TargetMode="External"/><Relationship Id="rId3705" Type="http://schemas.openxmlformats.org/officeDocument/2006/relationships/hyperlink" Target="http://orocktech.com" TargetMode="External"/><Relationship Id="rId3708" Type="http://schemas.openxmlformats.org/officeDocument/2006/relationships/hyperlink" Target="https://community.max.gov/x/UYwxT" TargetMode="External"/><Relationship Id="rId3707" Type="http://schemas.openxmlformats.org/officeDocument/2006/relationships/hyperlink" Target="https://marketplace.fedramp.gov/img/logos/Agency_logos/United_States_Department_of_Defense_Seal.png" TargetMode="External"/><Relationship Id="rId3709" Type="http://schemas.openxmlformats.org/officeDocument/2006/relationships/hyperlink" Target="https://community.max.gov/download/attachments/908035281/ATO.Letter_TalaTek_PBGC_6.26.18.pdf?api=v2" TargetMode="External"/><Relationship Id="rId2401" Type="http://schemas.openxmlformats.org/officeDocument/2006/relationships/hyperlink" Target="https://marketplace.fedramp.gov/img/logos/CSP_logos/Cornerstone%20Logo.jpg" TargetMode="External"/><Relationship Id="rId3733" Type="http://schemas.openxmlformats.org/officeDocument/2006/relationships/hyperlink" Target="https://marketplace.fedramp.gov/img/logos/Agency_logos/US-DeptOfEducation-Seal.png" TargetMode="External"/><Relationship Id="rId2402" Type="http://schemas.openxmlformats.org/officeDocument/2006/relationships/hyperlink" Target="https://marketplace.fedramp.gov/img/logos/Agency_logos/SEC%20Logo.jpg" TargetMode="External"/><Relationship Id="rId3732" Type="http://schemas.openxmlformats.org/officeDocument/2006/relationships/hyperlink" Target="https://marketplace.fedramp.gov/img/logos/CSP_logos/Salesforce%20Logo.jpg" TargetMode="External"/><Relationship Id="rId2403" Type="http://schemas.openxmlformats.org/officeDocument/2006/relationships/hyperlink" Target="https://community.max.gov/x/3JC6L" TargetMode="External"/><Relationship Id="rId3735" Type="http://schemas.openxmlformats.org/officeDocument/2006/relationships/hyperlink" Target="https://community.max.gov/download/attachments/1529481487/P-ATO_Infor_7.10.18.pdf?api=v2" TargetMode="External"/><Relationship Id="rId2404" Type="http://schemas.openxmlformats.org/officeDocument/2006/relationships/hyperlink" Target="https://community.max.gov/download/attachments/780173411/ATO.Letter_MSO365_DoT_OCC_06.01.17.pdf?api=v2" TargetMode="External"/><Relationship Id="rId3734" Type="http://schemas.openxmlformats.org/officeDocument/2006/relationships/hyperlink" Target="https://community.max.gov/x/Qo1tTQ" TargetMode="External"/><Relationship Id="rId2405" Type="http://schemas.openxmlformats.org/officeDocument/2006/relationships/hyperlink" Target="http://www.microsoft.office.com" TargetMode="External"/><Relationship Id="rId3737" Type="http://schemas.openxmlformats.org/officeDocument/2006/relationships/hyperlink" Target="https://marketplace.fedramp.gov/img/logos/CSP_logos/Infor%20Logo.jpg" TargetMode="External"/><Relationship Id="rId2406" Type="http://schemas.openxmlformats.org/officeDocument/2006/relationships/hyperlink" Target="https://marketplace.fedramp.gov/img/logos/CSP_logos/Microsoft%20Logo.jpg" TargetMode="External"/><Relationship Id="rId3736" Type="http://schemas.openxmlformats.org/officeDocument/2006/relationships/hyperlink" Target="http://www.infor.com" TargetMode="External"/><Relationship Id="rId2407" Type="http://schemas.openxmlformats.org/officeDocument/2006/relationships/hyperlink" Target="https://marketplace.fedramp.gov/img/logos/Agency_logos/US-DeptOfTheTreasury-Seal.png" TargetMode="External"/><Relationship Id="rId3739" Type="http://schemas.openxmlformats.org/officeDocument/2006/relationships/hyperlink" Target="https://community.max.gov/download/attachments/1356301811/ATO.Letter_SAPNS2_DoT_7.3.18.pdf?api=v2" TargetMode="External"/><Relationship Id="rId2408" Type="http://schemas.openxmlformats.org/officeDocument/2006/relationships/hyperlink" Target="https://community.max.gov/x/3JC6L" TargetMode="External"/><Relationship Id="rId3738" Type="http://schemas.openxmlformats.org/officeDocument/2006/relationships/hyperlink" Target="https://community.max.gov/x/XYIVPQ" TargetMode="External"/><Relationship Id="rId2409" Type="http://schemas.openxmlformats.org/officeDocument/2006/relationships/hyperlink" Target="https://community.max.gov/download/attachments/780173411/ATO.Letter_MSO365_DoC_NTIS_06.11.17.pdf?api=v2" TargetMode="External"/><Relationship Id="rId3731" Type="http://schemas.openxmlformats.org/officeDocument/2006/relationships/hyperlink" Target="http://www.salesforce.com/industries/public-sector" TargetMode="External"/><Relationship Id="rId2400" Type="http://schemas.openxmlformats.org/officeDocument/2006/relationships/hyperlink" Target="http://www.cornerstoneondemand.com/" TargetMode="External"/><Relationship Id="rId3730" Type="http://schemas.openxmlformats.org/officeDocument/2006/relationships/hyperlink" Target="https://community.max.gov/download/attachments/992346725/ATO.Letter_Salesforce_DoEd_6.26.18.pdf?api=v2" TargetMode="External"/><Relationship Id="rId3722" Type="http://schemas.openxmlformats.org/officeDocument/2006/relationships/hyperlink" Target="https://marketplace.fedramp.gov/img/logos/CSP_logos/Cornerstone%20Logo.jpg" TargetMode="External"/><Relationship Id="rId3721" Type="http://schemas.openxmlformats.org/officeDocument/2006/relationships/hyperlink" Target="http://www.cornerstoneondemand.com/" TargetMode="External"/><Relationship Id="rId3724" Type="http://schemas.openxmlformats.org/officeDocument/2006/relationships/hyperlink" Target="https://community.max.gov/x/VgGaSw" TargetMode="External"/><Relationship Id="rId3723" Type="http://schemas.openxmlformats.org/officeDocument/2006/relationships/hyperlink" Target="https://marketplace.fedramp.gov/img/logos/Agency_logos/US-DeptOfCommerce-Seal.png" TargetMode="External"/><Relationship Id="rId3726" Type="http://schemas.openxmlformats.org/officeDocument/2006/relationships/hyperlink" Target="http://www.qualtrics.com" TargetMode="External"/><Relationship Id="rId3725" Type="http://schemas.openxmlformats.org/officeDocument/2006/relationships/hyperlink" Target="https://community.max.gov/download/attachments/633177081/ATO.Letter_Qualtrics_HHS_6.20.18.pdf?api=v2" TargetMode="External"/><Relationship Id="rId3728" Type="http://schemas.openxmlformats.org/officeDocument/2006/relationships/hyperlink" Target="https://marketplace.fedramp.gov/img/logos/Agency_logos/US-DeptOfHHS-Seal.png" TargetMode="External"/><Relationship Id="rId3727" Type="http://schemas.openxmlformats.org/officeDocument/2006/relationships/hyperlink" Target="https://marketplace.fedramp.gov/img/logos/CSP_logos/Qualtrics%20Logo2.jpg" TargetMode="External"/><Relationship Id="rId3729" Type="http://schemas.openxmlformats.org/officeDocument/2006/relationships/hyperlink" Target="https://community.max.gov/x/eQs3Kw" TargetMode="External"/><Relationship Id="rId3720" Type="http://schemas.openxmlformats.org/officeDocument/2006/relationships/hyperlink" Target="mailto:DToy@csod.com" TargetMode="External"/><Relationship Id="rId590" Type="http://schemas.openxmlformats.org/officeDocument/2006/relationships/hyperlink" Target="http://www.microsoft.office.com" TargetMode="External"/><Relationship Id="rId589" Type="http://schemas.openxmlformats.org/officeDocument/2006/relationships/hyperlink" Target="https://community.max.gov/download/attachments/780173411/ATO.Letter_MS.O365_HHS.OIG_11.13.14.pdf?api=v2" TargetMode="External"/><Relationship Id="rId588" Type="http://schemas.openxmlformats.org/officeDocument/2006/relationships/hyperlink" Target="https://community.max.gov/x/3JC6L" TargetMode="External"/><Relationship Id="rId1170" Type="http://schemas.openxmlformats.org/officeDocument/2006/relationships/hyperlink" Target="http://www.box.com" TargetMode="External"/><Relationship Id="rId1171" Type="http://schemas.openxmlformats.org/officeDocument/2006/relationships/hyperlink" Target="https://marketplace.fedramp.gov/img/logos/CSP_logos/Box%20Logo.jpg" TargetMode="External"/><Relationship Id="rId583" Type="http://schemas.openxmlformats.org/officeDocument/2006/relationships/hyperlink" Target="https://community.max.gov/x/GgwdJg" TargetMode="External"/><Relationship Id="rId1172" Type="http://schemas.openxmlformats.org/officeDocument/2006/relationships/hyperlink" Target="https://marketplace.fedramp.gov/img/logos/Agency_logos/United_States_Department_of_Defense_Seal.png" TargetMode="External"/><Relationship Id="rId582" Type="http://schemas.openxmlformats.org/officeDocument/2006/relationships/hyperlink" Target="https://marketplace.fedramp.gov/img/logos/Agency_logos/United_States_Department_of_Defense_Seal.png" TargetMode="External"/><Relationship Id="rId1173" Type="http://schemas.openxmlformats.org/officeDocument/2006/relationships/hyperlink" Target="https://community.max.gov/x/ZgK0LQ" TargetMode="External"/><Relationship Id="rId581" Type="http://schemas.openxmlformats.org/officeDocument/2006/relationships/hyperlink" Target="https://marketplace.fedramp.gov/img/logos/CSP_logos/MicroPact%20Logo.jpg" TargetMode="External"/><Relationship Id="rId1174" Type="http://schemas.openxmlformats.org/officeDocument/2006/relationships/hyperlink" Target="https://community.max.gov/download/attachments/1155203349/P-ATO_Dell_04.21.16.pdf?api=v2" TargetMode="External"/><Relationship Id="rId580" Type="http://schemas.openxmlformats.org/officeDocument/2006/relationships/hyperlink" Target="http://www.micropact.com" TargetMode="External"/><Relationship Id="rId1175" Type="http://schemas.openxmlformats.org/officeDocument/2006/relationships/hyperlink" Target="http://www.mis-sciences.com" TargetMode="External"/><Relationship Id="rId587" Type="http://schemas.openxmlformats.org/officeDocument/2006/relationships/hyperlink" Target="https://marketplace.fedramp.gov/img/logos/Agency_logos/US-DeptOfTheInterior-Seal.png" TargetMode="External"/><Relationship Id="rId1176" Type="http://schemas.openxmlformats.org/officeDocument/2006/relationships/hyperlink" Target="https://marketplace.fedramp.gov/img/logos/CSP_logos/MIS%20Sciences%20Logo.jpg" TargetMode="External"/><Relationship Id="rId586" Type="http://schemas.openxmlformats.org/officeDocument/2006/relationships/hyperlink" Target="https://marketplace.fedramp.gov/img/logos/CSP_logos/MicroPact%20Logo.jpg" TargetMode="External"/><Relationship Id="rId1177" Type="http://schemas.openxmlformats.org/officeDocument/2006/relationships/hyperlink" Target="https://community.max.gov/x/j4PPPg" TargetMode="External"/><Relationship Id="rId585" Type="http://schemas.openxmlformats.org/officeDocument/2006/relationships/hyperlink" Target="http://www.micropact.com" TargetMode="External"/><Relationship Id="rId1178" Type="http://schemas.openxmlformats.org/officeDocument/2006/relationships/hyperlink" Target="https://community.max.gov/download/attachments/779322071/ATO.Letter_GDIT_OPM_11.03.15.pdf?api=v2" TargetMode="External"/><Relationship Id="rId584" Type="http://schemas.openxmlformats.org/officeDocument/2006/relationships/hyperlink" Target="https://community.max.gov/download/attachments/992346701/ATO.Letter_MicroPact_DOI_07.28.15.pdf?api=v2" TargetMode="External"/><Relationship Id="rId1179" Type="http://schemas.openxmlformats.org/officeDocument/2006/relationships/hyperlink" Target="http://www.gdit.com/cloudsolutions" TargetMode="External"/><Relationship Id="rId1169" Type="http://schemas.openxmlformats.org/officeDocument/2006/relationships/hyperlink" Target="https://community.max.gov/download/attachments/779322127/ATO.Letter_Box_DOD_04.19.16.pdf?api=v2" TargetMode="External"/><Relationship Id="rId579" Type="http://schemas.openxmlformats.org/officeDocument/2006/relationships/hyperlink" Target="https://community.max.gov/download/attachments/777093308/ATO.Letter_MicroPact_DOD.DISA_3.26.15.pdf?api=v2" TargetMode="External"/><Relationship Id="rId578" Type="http://schemas.openxmlformats.org/officeDocument/2006/relationships/hyperlink" Target="https://community.max.gov/x/GgwdJg" TargetMode="External"/><Relationship Id="rId577" Type="http://schemas.openxmlformats.org/officeDocument/2006/relationships/hyperlink" Target="https://marketplace.fedramp.gov/img/logos/Agency_logos/US-DeptOfLabor-Seal-AltColors.svg.png" TargetMode="External"/><Relationship Id="rId2490" Type="http://schemas.openxmlformats.org/officeDocument/2006/relationships/hyperlink" Target="https://community.max.gov/download/attachments/930415021/ATO.Letter_Cornerstone_DoC_Census_06.14.17.pdf?api=v2" TargetMode="External"/><Relationship Id="rId1160" Type="http://schemas.openxmlformats.org/officeDocument/2006/relationships/hyperlink" Target="https://community.max.gov/download/attachments/936118328/ATO.Letter_Aquia_Treasury_03.17.16.pdf?api=v2" TargetMode="External"/><Relationship Id="rId2491" Type="http://schemas.openxmlformats.org/officeDocument/2006/relationships/hyperlink" Target="mailto:DToy@csod.com" TargetMode="External"/><Relationship Id="rId572" Type="http://schemas.openxmlformats.org/officeDocument/2006/relationships/hyperlink" Target="https://marketplace.fedramp.gov/img/logos/Agency_logos/United_States_Department_of_Defense_Seal.png" TargetMode="External"/><Relationship Id="rId1161" Type="http://schemas.openxmlformats.org/officeDocument/2006/relationships/hyperlink" Target="http://www.acquia.com" TargetMode="External"/><Relationship Id="rId2492" Type="http://schemas.openxmlformats.org/officeDocument/2006/relationships/hyperlink" Target="http://www.cornerstoneondemand.com/" TargetMode="External"/><Relationship Id="rId571" Type="http://schemas.openxmlformats.org/officeDocument/2006/relationships/hyperlink" Target="http://www.leidos.com" TargetMode="External"/><Relationship Id="rId1162" Type="http://schemas.openxmlformats.org/officeDocument/2006/relationships/hyperlink" Target="https://marketplace.fedramp.gov/img/logos/CSP_logos/Acquia%20Logo.jpg" TargetMode="External"/><Relationship Id="rId2493" Type="http://schemas.openxmlformats.org/officeDocument/2006/relationships/hyperlink" Target="https://marketplace.fedramp.gov/img/logos/CSP_logos/Cornerstone%20Logo.jpg" TargetMode="External"/><Relationship Id="rId570" Type="http://schemas.openxmlformats.org/officeDocument/2006/relationships/hyperlink" Target="https://community.max.gov/download/attachments/1256458223/ATO.Letter_LM_DOD.DISA_3.26.15.pdf?api=v2" TargetMode="External"/><Relationship Id="rId1163" Type="http://schemas.openxmlformats.org/officeDocument/2006/relationships/hyperlink" Target="https://marketplace.fedramp.gov/img/logos/Agency_logos/US-DeptOfTheTreasury-Seal.png" TargetMode="External"/><Relationship Id="rId2494" Type="http://schemas.openxmlformats.org/officeDocument/2006/relationships/hyperlink" Target="https://marketplace.fedramp.gov/img/logos/Agency_logos/US-DeptOfCommerce-Seal.png" TargetMode="External"/><Relationship Id="rId1164" Type="http://schemas.openxmlformats.org/officeDocument/2006/relationships/hyperlink" Target="https://community.max.gov/x/FgQpLg" TargetMode="External"/><Relationship Id="rId2495" Type="http://schemas.openxmlformats.org/officeDocument/2006/relationships/hyperlink" Target="https://community.max.gov/x/vg_4Jg" TargetMode="External"/><Relationship Id="rId576" Type="http://schemas.openxmlformats.org/officeDocument/2006/relationships/hyperlink" Target="https://marketplace.fedramp.gov/img/logos/CSP_logos/MicroPact%20Logo.jpg" TargetMode="External"/><Relationship Id="rId1165" Type="http://schemas.openxmlformats.org/officeDocument/2006/relationships/hyperlink" Target="https://community.max.gov/download/attachments/1155203545/P-ATO_GovDelivery_03.09.16.pdf?api=v2" TargetMode="External"/><Relationship Id="rId2496" Type="http://schemas.openxmlformats.org/officeDocument/2006/relationships/hyperlink" Target="https://community.max.gov/download/attachments/1155204011/ATO.Letter_Softlayer_DoI_07.14.17.pdf?api=v2" TargetMode="External"/><Relationship Id="rId575" Type="http://schemas.openxmlformats.org/officeDocument/2006/relationships/hyperlink" Target="http://www.micropact.com" TargetMode="External"/><Relationship Id="rId1166" Type="http://schemas.openxmlformats.org/officeDocument/2006/relationships/hyperlink" Target="http://www.granicus.com" TargetMode="External"/><Relationship Id="rId2497" Type="http://schemas.openxmlformats.org/officeDocument/2006/relationships/hyperlink" Target="http://www.softlayer.com" TargetMode="External"/><Relationship Id="rId574" Type="http://schemas.openxmlformats.org/officeDocument/2006/relationships/hyperlink" Target="https://community.max.gov/download/attachments/777093308/ATO.Letter_MicroPact_DOL_03.23.15.pdf?api=v2" TargetMode="External"/><Relationship Id="rId1167" Type="http://schemas.openxmlformats.org/officeDocument/2006/relationships/hyperlink" Target="https://marketplace.fedramp.gov/img/logos/CSP_logos/Granicus%20Logo.jpg" TargetMode="External"/><Relationship Id="rId2498" Type="http://schemas.openxmlformats.org/officeDocument/2006/relationships/hyperlink" Target="https://marketplace.fedramp.gov/img/logos/CSP_logos/Softlayer%20Logo.jpg" TargetMode="External"/><Relationship Id="rId573" Type="http://schemas.openxmlformats.org/officeDocument/2006/relationships/hyperlink" Target="https://community.max.gov/x/GgwdJg" TargetMode="External"/><Relationship Id="rId1168" Type="http://schemas.openxmlformats.org/officeDocument/2006/relationships/hyperlink" Target="https://community.max.gov/x/UQK2PQ" TargetMode="External"/><Relationship Id="rId2499" Type="http://schemas.openxmlformats.org/officeDocument/2006/relationships/hyperlink" Target="https://marketplace.fedramp.gov/img/logos/Agency_logos/US-DeptOfTheInterior-Seal.png" TargetMode="External"/><Relationship Id="rId1190" Type="http://schemas.openxmlformats.org/officeDocument/2006/relationships/hyperlink" Target="https://marketplace.fedramp.gov/img/logos/CSP_logos/ARC-P%20Logo.jpg" TargetMode="External"/><Relationship Id="rId1191" Type="http://schemas.openxmlformats.org/officeDocument/2006/relationships/hyperlink" Target="https://marketplace.fedramp.gov/img/logos/Agency_logos/United_States_Department_of_Defense_Seal.png" TargetMode="External"/><Relationship Id="rId1192" Type="http://schemas.openxmlformats.org/officeDocument/2006/relationships/hyperlink" Target="https://community.max.gov/x/QoWaP" TargetMode="External"/><Relationship Id="rId1193" Type="http://schemas.openxmlformats.org/officeDocument/2006/relationships/hyperlink" Target="https://community.max.gov/download/attachments/1155203837/ATO.Letter_ServiceNow_SSA_04.01.16.pdf?api=v2" TargetMode="External"/><Relationship Id="rId1194" Type="http://schemas.openxmlformats.org/officeDocument/2006/relationships/hyperlink" Target="http://www.servicenow.com" TargetMode="External"/><Relationship Id="rId1195" Type="http://schemas.openxmlformats.org/officeDocument/2006/relationships/hyperlink" Target="https://marketplace.fedramp.gov/img/logos/CSP_logos/ServiceNow%20Logo.jpg" TargetMode="External"/><Relationship Id="rId1196" Type="http://schemas.openxmlformats.org/officeDocument/2006/relationships/hyperlink" Target="https://marketplace.fedramp.gov/img/logos/Agency_logos/US-SocialSecurityAdmin-Seal.png" TargetMode="External"/><Relationship Id="rId1197" Type="http://schemas.openxmlformats.org/officeDocument/2006/relationships/hyperlink" Target="https://community.max.gov/x/DpBJK" TargetMode="External"/><Relationship Id="rId1198" Type="http://schemas.openxmlformats.org/officeDocument/2006/relationships/hyperlink" Target="https://community.max.gov/download/attachments/1115488742/ATO%20Letter_AWSEW_NASA_11.25.15.pdf?api=v2" TargetMode="External"/><Relationship Id="rId1199" Type="http://schemas.openxmlformats.org/officeDocument/2006/relationships/hyperlink" Target="http://www.aws.amazon.com" TargetMode="External"/><Relationship Id="rId599" Type="http://schemas.openxmlformats.org/officeDocument/2006/relationships/hyperlink" Target="https://community.max.gov/download/attachments/780173411/ATO.Letter_MS.O365_DOD.DISA_3.26.15.pdf?api=v2" TargetMode="External"/><Relationship Id="rId1180" Type="http://schemas.openxmlformats.org/officeDocument/2006/relationships/hyperlink" Target="https://marketplace.fedramp.gov/img/logos/CSP_logos/GDIT%20Logo.jpg" TargetMode="External"/><Relationship Id="rId1181" Type="http://schemas.openxmlformats.org/officeDocument/2006/relationships/hyperlink" Target="https://marketplace.fedramp.gov/img/logos/Agency_logos/US-OfficeOfPersonnelManagement-Seal.png" TargetMode="External"/><Relationship Id="rId1182" Type="http://schemas.openxmlformats.org/officeDocument/2006/relationships/hyperlink" Target="https://community.max.gov/x/bI5VJQ" TargetMode="External"/><Relationship Id="rId594" Type="http://schemas.openxmlformats.org/officeDocument/2006/relationships/hyperlink" Target="https://community.max.gov/download/attachments/780173411/ATO.Letter_MS.O365_DOC.NIST_03.24.15.pdf?api=v2" TargetMode="External"/><Relationship Id="rId1183" Type="http://schemas.openxmlformats.org/officeDocument/2006/relationships/hyperlink" Target="https://community.max.gov/download/attachments/1155204092/ATO.Letter_AR_DISA_05.02.16.pdf?api=v2" TargetMode="External"/><Relationship Id="rId593" Type="http://schemas.openxmlformats.org/officeDocument/2006/relationships/hyperlink" Target="https://community.max.gov/x/3JC6L" TargetMode="External"/><Relationship Id="rId1184" Type="http://schemas.openxmlformats.org/officeDocument/2006/relationships/hyperlink" Target="http://www.autonomicresources.com" TargetMode="External"/><Relationship Id="rId592" Type="http://schemas.openxmlformats.org/officeDocument/2006/relationships/hyperlink" Target="https://marketplace.fedramp.gov/img/logos/Agency_logos/US-DeptOfHHS-Seal.png" TargetMode="External"/><Relationship Id="rId1185" Type="http://schemas.openxmlformats.org/officeDocument/2006/relationships/hyperlink" Target="https://marketplace.fedramp.gov/img/logos/CSP_logos/ARC-P%20Logo.jpg" TargetMode="External"/><Relationship Id="rId591" Type="http://schemas.openxmlformats.org/officeDocument/2006/relationships/hyperlink" Target="https://marketplace.fedramp.gov/img/logos/CSP_logos/Microsoft%20Logo.jpg" TargetMode="External"/><Relationship Id="rId1186" Type="http://schemas.openxmlformats.org/officeDocument/2006/relationships/hyperlink" Target="https://marketplace.fedramp.gov/img/logos/Agency_logos/United_States_Department_of_Defense_Seal.png" TargetMode="External"/><Relationship Id="rId598" Type="http://schemas.openxmlformats.org/officeDocument/2006/relationships/hyperlink" Target="https://community.max.gov/x/3JC6L" TargetMode="External"/><Relationship Id="rId1187" Type="http://schemas.openxmlformats.org/officeDocument/2006/relationships/hyperlink" Target="https://community.max.gov/x/OoJqLg" TargetMode="External"/><Relationship Id="rId597" Type="http://schemas.openxmlformats.org/officeDocument/2006/relationships/hyperlink" Target="https://marketplace.fedramp.gov/img/logos/Agency_logos/US-DeptOfCommerce-Seal.png" TargetMode="External"/><Relationship Id="rId1188" Type="http://schemas.openxmlformats.org/officeDocument/2006/relationships/hyperlink" Target="https://community.max.gov/download/attachments/1116602743/ATO.Letter_ARCWRX_DOD.DISA_03.20.16.pdf?api=v2" TargetMode="External"/><Relationship Id="rId596" Type="http://schemas.openxmlformats.org/officeDocument/2006/relationships/hyperlink" Target="https://marketplace.fedramp.gov/img/logos/CSP_logos/Microsoft%20Logo.jpg" TargetMode="External"/><Relationship Id="rId1189" Type="http://schemas.openxmlformats.org/officeDocument/2006/relationships/hyperlink" Target="http://www.autonomicresources.com" TargetMode="External"/><Relationship Id="rId595" Type="http://schemas.openxmlformats.org/officeDocument/2006/relationships/hyperlink" Target="http://www.microsoft.office.com" TargetMode="External"/><Relationship Id="rId1136" Type="http://schemas.openxmlformats.org/officeDocument/2006/relationships/hyperlink" Target="http://www.softlayer.com" TargetMode="External"/><Relationship Id="rId2467" Type="http://schemas.openxmlformats.org/officeDocument/2006/relationships/hyperlink" Target="https://marketplace.fedramp.gov/img/logos/CSP_logos/Box%20Logo.jpg" TargetMode="External"/><Relationship Id="rId3799" Type="http://schemas.openxmlformats.org/officeDocument/2006/relationships/hyperlink" Target="https://community.max.gov/x/BgD8Nw" TargetMode="External"/><Relationship Id="rId1137" Type="http://schemas.openxmlformats.org/officeDocument/2006/relationships/hyperlink" Target="https://marketplace.fedramp.gov/img/logos/CSP_logos/Softlayer%20Logo.jpg" TargetMode="External"/><Relationship Id="rId2468" Type="http://schemas.openxmlformats.org/officeDocument/2006/relationships/hyperlink" Target="https://marketplace.fedramp.gov/img/logos/Agency_logos/United_States_Department_of_Defense_Seal.png" TargetMode="External"/><Relationship Id="rId3798" Type="http://schemas.openxmlformats.org/officeDocument/2006/relationships/hyperlink" Target="https://marketplace.fedramp.gov/img/logos/Agency_logos/US-DeptOfTheTreasury-Seal.png" TargetMode="External"/><Relationship Id="rId1138" Type="http://schemas.openxmlformats.org/officeDocument/2006/relationships/hyperlink" Target="https://marketplace.fedramp.gov/img/logos/Agency_logos/US-DeptOfTheInterior-Seal.png" TargetMode="External"/><Relationship Id="rId2469" Type="http://schemas.openxmlformats.org/officeDocument/2006/relationships/hyperlink" Target="https://community.max.gov/x/eQs3Kw" TargetMode="External"/><Relationship Id="rId1139" Type="http://schemas.openxmlformats.org/officeDocument/2006/relationships/hyperlink" Target="https://community.max.gov/x/CIWzKw" TargetMode="External"/><Relationship Id="rId547" Type="http://schemas.openxmlformats.org/officeDocument/2006/relationships/hyperlink" Target="https://community.max.gov/download/attachments/1510411557/ATO.Letter_Huddle_DOD.DISA_6.11.15.pdf?api=v2" TargetMode="External"/><Relationship Id="rId546" Type="http://schemas.openxmlformats.org/officeDocument/2006/relationships/hyperlink" Target="https://community.max.gov/x/KoE7Mw" TargetMode="External"/><Relationship Id="rId545" Type="http://schemas.openxmlformats.org/officeDocument/2006/relationships/hyperlink" Target="https://marketplace.fedramp.gov/img/logos/Agency_logos/USAID-Seal.png" TargetMode="External"/><Relationship Id="rId544" Type="http://schemas.openxmlformats.org/officeDocument/2006/relationships/hyperlink" Target="https://marketplace.fedramp.gov/img/logos/CSP_logos/Huddle%20Logo.jpg" TargetMode="External"/><Relationship Id="rId549" Type="http://schemas.openxmlformats.org/officeDocument/2006/relationships/hyperlink" Target="https://marketplace.fedramp.gov/img/logos/CSP_logos/Huddle%20Logo.jpg" TargetMode="External"/><Relationship Id="rId548" Type="http://schemas.openxmlformats.org/officeDocument/2006/relationships/hyperlink" Target="http://www.huddle.com" TargetMode="External"/><Relationship Id="rId3791" Type="http://schemas.openxmlformats.org/officeDocument/2006/relationships/hyperlink" Target="https://www.valimail.com/solutions-for-government/" TargetMode="External"/><Relationship Id="rId2460" Type="http://schemas.openxmlformats.org/officeDocument/2006/relationships/hyperlink" Target="https://community.max.gov/download/attachments/1200588697/ATO%20Memo%20-%20Cylance.pdf?api=v2" TargetMode="External"/><Relationship Id="rId3790" Type="http://schemas.openxmlformats.org/officeDocument/2006/relationships/hyperlink" Target="https://community.max.gov/download/attachments/1506345151/ATO.Letter_Valimail_DoC_7.18.18.pdf?api=v2" TargetMode="External"/><Relationship Id="rId1130" Type="http://schemas.openxmlformats.org/officeDocument/2006/relationships/hyperlink" Target="https://community.max.gov/download/attachments/1131250262/ATO.Letter_Skillsoft_EPA_12.17.15.pdf?api=v2" TargetMode="External"/><Relationship Id="rId2461" Type="http://schemas.openxmlformats.org/officeDocument/2006/relationships/hyperlink" Target="http://www.cylance.com" TargetMode="External"/><Relationship Id="rId3793" Type="http://schemas.openxmlformats.org/officeDocument/2006/relationships/hyperlink" Target="https://marketplace.fedramp.gov/img/logos/Agency_logos/US-DeptOfCommerce-Seal.png" TargetMode="External"/><Relationship Id="rId1131" Type="http://schemas.openxmlformats.org/officeDocument/2006/relationships/hyperlink" Target="http://www.skillsoft.com" TargetMode="External"/><Relationship Id="rId2462" Type="http://schemas.openxmlformats.org/officeDocument/2006/relationships/hyperlink" Target="https://marketplace.fedramp.gov/img/logos/CSP_logos/Cylance%20Logo.jpg" TargetMode="External"/><Relationship Id="rId3792" Type="http://schemas.openxmlformats.org/officeDocument/2006/relationships/hyperlink" Target="https://marketplace.fedramp.gov/img/logos/CSP_logos/Valimail%20Logo2.jpg" TargetMode="External"/><Relationship Id="rId543" Type="http://schemas.openxmlformats.org/officeDocument/2006/relationships/hyperlink" Target="http://www.huddle.com" TargetMode="External"/><Relationship Id="rId1132" Type="http://schemas.openxmlformats.org/officeDocument/2006/relationships/hyperlink" Target="https://marketplace.fedramp.gov/img/logos/CSP_logos/Skillsoft%20Logo.jpg" TargetMode="External"/><Relationship Id="rId2463" Type="http://schemas.openxmlformats.org/officeDocument/2006/relationships/hyperlink" Target="https://marketplace.fedramp.gov/img/logos/Agency_logos/US-OfficeOfPersonnelManagement-Seal.png" TargetMode="External"/><Relationship Id="rId3795" Type="http://schemas.openxmlformats.org/officeDocument/2006/relationships/hyperlink" Target="https://community.max.gov/download/attachments/992346635/ATO.Letter_Blackberry_DoT_7.24.18.pdf?api=v2" TargetMode="External"/><Relationship Id="rId542" Type="http://schemas.openxmlformats.org/officeDocument/2006/relationships/hyperlink" Target="https://community.max.gov/download/attachments/992346693/ATO.Letter_Huddle_USAID_2.11.15.pdf?api=v2" TargetMode="External"/><Relationship Id="rId1133" Type="http://schemas.openxmlformats.org/officeDocument/2006/relationships/hyperlink" Target="https://marketplace.fedramp.gov/img/logos/Agency_logos/Environmental_Protection_Agency_logo.png" TargetMode="External"/><Relationship Id="rId2464" Type="http://schemas.openxmlformats.org/officeDocument/2006/relationships/hyperlink" Target="https://community.max.gov/x/UQK2PQ" TargetMode="External"/><Relationship Id="rId3794" Type="http://schemas.openxmlformats.org/officeDocument/2006/relationships/hyperlink" Target="https://community.max.gov/x/CgIoNQ" TargetMode="External"/><Relationship Id="rId541" Type="http://schemas.openxmlformats.org/officeDocument/2006/relationships/hyperlink" Target="https://community.max.gov/x/KoE7Mw" TargetMode="External"/><Relationship Id="rId1134" Type="http://schemas.openxmlformats.org/officeDocument/2006/relationships/hyperlink" Target="https://community.max.gov/x/xoRmN" TargetMode="External"/><Relationship Id="rId2465" Type="http://schemas.openxmlformats.org/officeDocument/2006/relationships/hyperlink" Target="https://community.max.gov/download/attachments/1035338333/ATO.Letter_Box_DoD_DISA_06.25.17.pdf?api=v2" TargetMode="External"/><Relationship Id="rId3797" Type="http://schemas.openxmlformats.org/officeDocument/2006/relationships/hyperlink" Target="https://marketplace.fedramp.gov/img/logos/CSP_logos/BlackBerry%20Logo.jpg" TargetMode="External"/><Relationship Id="rId540" Type="http://schemas.openxmlformats.org/officeDocument/2006/relationships/hyperlink" Target="https://marketplace.fedramp.gov/img/logos/CSP_logos/MicroFocus%20Logo.jpg" TargetMode="External"/><Relationship Id="rId1135" Type="http://schemas.openxmlformats.org/officeDocument/2006/relationships/hyperlink" Target="https://community.max.gov/download/attachments/1256458317/ATO.Letter_SoftLayer_FCC_06.16.15.pdf?api=v2" TargetMode="External"/><Relationship Id="rId2466" Type="http://schemas.openxmlformats.org/officeDocument/2006/relationships/hyperlink" Target="http://www.box.com" TargetMode="External"/><Relationship Id="rId3796" Type="http://schemas.openxmlformats.org/officeDocument/2006/relationships/hyperlink" Target="http://blackberry.athoc.com" TargetMode="External"/><Relationship Id="rId1125" Type="http://schemas.openxmlformats.org/officeDocument/2006/relationships/hyperlink" Target="https://community.max.gov/download/attachments/1256458288/ATO.Letter_ServiceNow_DOC_10.02.15.pdf?api=v2" TargetMode="External"/><Relationship Id="rId2456" Type="http://schemas.openxmlformats.org/officeDocument/2006/relationships/hyperlink" Target="http://www.microsoft.com" TargetMode="External"/><Relationship Id="rId3788" Type="http://schemas.openxmlformats.org/officeDocument/2006/relationships/hyperlink" Target="https://marketplace.fedramp.gov/img/logos/Agency_logos/US-DeptOfHHS-Seal.png" TargetMode="External"/><Relationship Id="rId1126" Type="http://schemas.openxmlformats.org/officeDocument/2006/relationships/hyperlink" Target="http://www.servicenow.com" TargetMode="External"/><Relationship Id="rId2457" Type="http://schemas.openxmlformats.org/officeDocument/2006/relationships/hyperlink" Target="https://marketplace.fedramp.gov/img/logos/CSP_logos/Microsoft%20Logo.jpg" TargetMode="External"/><Relationship Id="rId3787" Type="http://schemas.openxmlformats.org/officeDocument/2006/relationships/hyperlink" Target="https://marketplace.fedramp.gov/img/logos/CSP_logos/ServiceNow%20Logo.jpg" TargetMode="External"/><Relationship Id="rId1127" Type="http://schemas.openxmlformats.org/officeDocument/2006/relationships/hyperlink" Target="https://marketplace.fedramp.gov/img/logos/CSP_logos/ServiceNow%20Logo.jpg" TargetMode="External"/><Relationship Id="rId2458" Type="http://schemas.openxmlformats.org/officeDocument/2006/relationships/hyperlink" Target="https://marketplace.fedramp.gov/img/logos/Agency_logos/US-DeptOfTheTreasury-Seal.png" TargetMode="External"/><Relationship Id="rId1128" Type="http://schemas.openxmlformats.org/officeDocument/2006/relationships/hyperlink" Target="https://marketplace.fedramp.gov/img/logos/Agency_logos/US-DeptOfCommerce-Seal.png" TargetMode="External"/><Relationship Id="rId2459" Type="http://schemas.openxmlformats.org/officeDocument/2006/relationships/hyperlink" Target="https://community.max.gov/x/eoePRw" TargetMode="External"/><Relationship Id="rId3789" Type="http://schemas.openxmlformats.org/officeDocument/2006/relationships/hyperlink" Target="https://community.max.gov/x/uQDJWQ" TargetMode="External"/><Relationship Id="rId1129" Type="http://schemas.openxmlformats.org/officeDocument/2006/relationships/hyperlink" Target="https://community.max.gov/x/FoUvOw" TargetMode="External"/><Relationship Id="rId536" Type="http://schemas.openxmlformats.org/officeDocument/2006/relationships/hyperlink" Target="https://marketplace.fedramp.gov/img/logos/Agency_logos/US-DeptOfCommerce-Seal.png" TargetMode="External"/><Relationship Id="rId535" Type="http://schemas.openxmlformats.org/officeDocument/2006/relationships/hyperlink" Target="https://marketplace.fedramp.gov/img/logos/CSP_logos/Esri%20Logo2.jpg" TargetMode="External"/><Relationship Id="rId534" Type="http://schemas.openxmlformats.org/officeDocument/2006/relationships/hyperlink" Target="http://www.esri.com" TargetMode="External"/><Relationship Id="rId533" Type="http://schemas.openxmlformats.org/officeDocument/2006/relationships/hyperlink" Target="https://community.max.gov/download/attachments/992346679/ATO.Letter_ESRI_DOC.Census_09.04.15.pdf?api=v2" TargetMode="External"/><Relationship Id="rId539" Type="http://schemas.openxmlformats.org/officeDocument/2006/relationships/hyperlink" Target="https://software.microfocus.com/en-us/home" TargetMode="External"/><Relationship Id="rId538" Type="http://schemas.openxmlformats.org/officeDocument/2006/relationships/hyperlink" Target="https://community.max.gov/download/attachments/1155203492/P-ATO_HPE.FOD_01.27.15.pdf?api=v2" TargetMode="External"/><Relationship Id="rId537" Type="http://schemas.openxmlformats.org/officeDocument/2006/relationships/hyperlink" Target="https://community.max.gov/x/SJMsKw" TargetMode="External"/><Relationship Id="rId3780" Type="http://schemas.openxmlformats.org/officeDocument/2006/relationships/hyperlink" Target="https://community.max.gov/download/attachments/939262826/ATO.Letter_Everbridge_FHFA_6.7.18.pdf?api=v2" TargetMode="External"/><Relationship Id="rId2450" Type="http://schemas.openxmlformats.org/officeDocument/2006/relationships/hyperlink" Target="mailto:adamsoh@microsoft.com" TargetMode="External"/><Relationship Id="rId3782" Type="http://schemas.openxmlformats.org/officeDocument/2006/relationships/hyperlink" Target="https://marketplace.fedramp.gov/img/logos/CSP_logos/Everbridge%20Logo.jpg" TargetMode="External"/><Relationship Id="rId1120" Type="http://schemas.openxmlformats.org/officeDocument/2006/relationships/hyperlink" Target="https://community.max.gov/x/QoWaP" TargetMode="External"/><Relationship Id="rId2451" Type="http://schemas.openxmlformats.org/officeDocument/2006/relationships/hyperlink" Target="http://azure.microsoft.com/en-us/" TargetMode="External"/><Relationship Id="rId3781" Type="http://schemas.openxmlformats.org/officeDocument/2006/relationships/hyperlink" Target="http://www.everbridge.com/" TargetMode="External"/><Relationship Id="rId532" Type="http://schemas.openxmlformats.org/officeDocument/2006/relationships/hyperlink" Target="https://community.max.gov/x/44BdLw" TargetMode="External"/><Relationship Id="rId1121" Type="http://schemas.openxmlformats.org/officeDocument/2006/relationships/hyperlink" Target="https://community.max.gov/download/attachments/1155203837/P-ATO_ServiceNow_02.17.16.pdf?api=v2" TargetMode="External"/><Relationship Id="rId2452" Type="http://schemas.openxmlformats.org/officeDocument/2006/relationships/hyperlink" Target="https://marketplace.fedramp.gov/img/logos/CSP_logos/Microsoft%20Logo.jpg" TargetMode="External"/><Relationship Id="rId3784" Type="http://schemas.openxmlformats.org/officeDocument/2006/relationships/hyperlink" Target="https://community.max.gov/x/QoWaP" TargetMode="External"/><Relationship Id="rId531" Type="http://schemas.openxmlformats.org/officeDocument/2006/relationships/hyperlink" Target="https://marketplace.fedramp.gov/img/logos/Agency_logos/US-DeptOfCommerce-Seal.png" TargetMode="External"/><Relationship Id="rId1122" Type="http://schemas.openxmlformats.org/officeDocument/2006/relationships/hyperlink" Target="http://www.servicenow.com" TargetMode="External"/><Relationship Id="rId2453" Type="http://schemas.openxmlformats.org/officeDocument/2006/relationships/hyperlink" Target="https://marketplace.fedramp.gov/img/logos/Agency_logos/US-DeptOfTheTreasury-Seal.png" TargetMode="External"/><Relationship Id="rId3783" Type="http://schemas.openxmlformats.org/officeDocument/2006/relationships/hyperlink" Target="https://marketplace.fedramp.gov/img/logos/Agency_logos/FHFA%20Logo.jpg" TargetMode="External"/><Relationship Id="rId530" Type="http://schemas.openxmlformats.org/officeDocument/2006/relationships/hyperlink" Target="https://marketplace.fedramp.gov/img/logos/CSP_logos/Esri%20Logo2.jpg" TargetMode="External"/><Relationship Id="rId1123" Type="http://schemas.openxmlformats.org/officeDocument/2006/relationships/hyperlink" Target="https://marketplace.fedramp.gov/img/logos/CSP_logos/ServiceNow%20Logo.jpg" TargetMode="External"/><Relationship Id="rId2454" Type="http://schemas.openxmlformats.org/officeDocument/2006/relationships/hyperlink" Target="https://community.max.gov/x/XgZfJw" TargetMode="External"/><Relationship Id="rId3786" Type="http://schemas.openxmlformats.org/officeDocument/2006/relationships/hyperlink" Target="http://www.servicenow.com" TargetMode="External"/><Relationship Id="rId1124" Type="http://schemas.openxmlformats.org/officeDocument/2006/relationships/hyperlink" Target="https://community.max.gov/x/QoWaP" TargetMode="External"/><Relationship Id="rId2455" Type="http://schemas.openxmlformats.org/officeDocument/2006/relationships/hyperlink" Target="https://community.max.gov/download/attachments/1155204180/ATO.Letter_MSGFS_DoT_IRS_06.21.17.pdf?api=v2" TargetMode="External"/><Relationship Id="rId3785" Type="http://schemas.openxmlformats.org/officeDocument/2006/relationships/hyperlink" Target="https://community.max.gov/download/attachments/1155203837/ATO.Letter_ServiceNow_HHS_CMS_7.23.18.pdf?api=v2" TargetMode="External"/><Relationship Id="rId1158" Type="http://schemas.openxmlformats.org/officeDocument/2006/relationships/hyperlink" Target="https://marketplace.fedramp.gov/img/logos/Agency_logos/USAC-logo.png" TargetMode="External"/><Relationship Id="rId2489" Type="http://schemas.openxmlformats.org/officeDocument/2006/relationships/hyperlink" Target="https://community.max.gov/x/fgIhMg" TargetMode="External"/><Relationship Id="rId1159" Type="http://schemas.openxmlformats.org/officeDocument/2006/relationships/hyperlink" Target="https://community.max.gov/x/GAugKw" TargetMode="External"/><Relationship Id="rId569" Type="http://schemas.openxmlformats.org/officeDocument/2006/relationships/hyperlink" Target="https://community.max.gov/x/AxXrJQ" TargetMode="External"/><Relationship Id="rId568" Type="http://schemas.openxmlformats.org/officeDocument/2006/relationships/hyperlink" Target="https://marketplace.fedramp.gov/img/logos/CSP_logos/IT-CNP%20Logo.jpg" TargetMode="External"/><Relationship Id="rId567" Type="http://schemas.openxmlformats.org/officeDocument/2006/relationships/hyperlink" Target="http://www.govdatahosting.com/" TargetMode="External"/><Relationship Id="rId566" Type="http://schemas.openxmlformats.org/officeDocument/2006/relationships/hyperlink" Target="https://community.max.gov/download/attachments/1155203715/P-ATO_IT-CNP_07.17.15.pdf?api=v2" TargetMode="External"/><Relationship Id="rId2480" Type="http://schemas.openxmlformats.org/officeDocument/2006/relationships/hyperlink" Target="https://community.max.gov/download/attachments/1130635691/ATO.Letter_Salesforce_USDA_07.03.17.pdf?api=v2" TargetMode="External"/><Relationship Id="rId561" Type="http://schemas.openxmlformats.org/officeDocument/2006/relationships/hyperlink" Target="https://community.max.gov/download/attachments/1256458204/ATO.Letter_IBM.SCG_DOD.DISA_3.26.15.pdf?api=v2" TargetMode="External"/><Relationship Id="rId1150" Type="http://schemas.openxmlformats.org/officeDocument/2006/relationships/hyperlink" Target="https://community.max.gov/download/attachments/1113425425/ATO.Letter_AWS.GC_NSF_3.25.16.pdf?api=v2" TargetMode="External"/><Relationship Id="rId2481" Type="http://schemas.openxmlformats.org/officeDocument/2006/relationships/hyperlink" Target="http://www.salesforce.com/industries/public-sector" TargetMode="External"/><Relationship Id="rId560" Type="http://schemas.openxmlformats.org/officeDocument/2006/relationships/hyperlink" Target="https://community.max.gov/x/dIjXJg" TargetMode="External"/><Relationship Id="rId1151" Type="http://schemas.openxmlformats.org/officeDocument/2006/relationships/hyperlink" Target="http://www.aws.amazon.com" TargetMode="External"/><Relationship Id="rId2482" Type="http://schemas.openxmlformats.org/officeDocument/2006/relationships/hyperlink" Target="https://marketplace.fedramp.gov/img/logos/CSP_logos/Salesforce%20Logo.jpg" TargetMode="External"/><Relationship Id="rId1152" Type="http://schemas.openxmlformats.org/officeDocument/2006/relationships/hyperlink" Target="https://marketplace.fedramp.gov/img/logos/CSP_logos/Amazon%20Logo.jpg" TargetMode="External"/><Relationship Id="rId2483" Type="http://schemas.openxmlformats.org/officeDocument/2006/relationships/hyperlink" Target="https://marketplace.fedramp.gov/img/logos/Agency_logos/US-DeptOfAgriculture-Seal2.png" TargetMode="External"/><Relationship Id="rId1153" Type="http://schemas.openxmlformats.org/officeDocument/2006/relationships/hyperlink" Target="https://marketplace.fedramp.gov/img/logos/Agency_logos/NSF.png" TargetMode="External"/><Relationship Id="rId2484" Type="http://schemas.openxmlformats.org/officeDocument/2006/relationships/hyperlink" Target="https://community.max.gov/x/vg_4Jg" TargetMode="External"/><Relationship Id="rId565" Type="http://schemas.openxmlformats.org/officeDocument/2006/relationships/hyperlink" Target="https://community.max.gov/x/zAebJw" TargetMode="External"/><Relationship Id="rId1154" Type="http://schemas.openxmlformats.org/officeDocument/2006/relationships/hyperlink" Target="https://community.max.gov/x/lAC8Mg" TargetMode="External"/><Relationship Id="rId2485" Type="http://schemas.openxmlformats.org/officeDocument/2006/relationships/hyperlink" Target="https://community.max.gov/download/attachments/1155204011/ATO.Letter_Softlayer_USDA_USFS_07.05.17.pdf?api=v2" TargetMode="External"/><Relationship Id="rId564" Type="http://schemas.openxmlformats.org/officeDocument/2006/relationships/hyperlink" Target="https://marketplace.fedramp.gov/img/logos/Agency_logos/United_States_Department_of_Defense_Seal.png" TargetMode="External"/><Relationship Id="rId1155" Type="http://schemas.openxmlformats.org/officeDocument/2006/relationships/hyperlink" Target="https://community.max.gov/download/attachments/1115488812/ATO.Letter_Appian_USAC_02.05.16.pdf?api=v2" TargetMode="External"/><Relationship Id="rId2486" Type="http://schemas.openxmlformats.org/officeDocument/2006/relationships/hyperlink" Target="http://www.softlayer.com" TargetMode="External"/><Relationship Id="rId563" Type="http://schemas.openxmlformats.org/officeDocument/2006/relationships/hyperlink" Target="https://marketplace.fedramp.gov/img/logos/CSP_logos/IBM%20Logo.jpg" TargetMode="External"/><Relationship Id="rId1156" Type="http://schemas.openxmlformats.org/officeDocument/2006/relationships/hyperlink" Target="http://www.appian.com" TargetMode="External"/><Relationship Id="rId2487" Type="http://schemas.openxmlformats.org/officeDocument/2006/relationships/hyperlink" Target="https://marketplace.fedramp.gov/img/logos/CSP_logos/Softlayer%20Logo.jpg" TargetMode="External"/><Relationship Id="rId562" Type="http://schemas.openxmlformats.org/officeDocument/2006/relationships/hyperlink" Target="http://www-01.ibm.com/software/lotus/cloud/government/" TargetMode="External"/><Relationship Id="rId1157" Type="http://schemas.openxmlformats.org/officeDocument/2006/relationships/hyperlink" Target="https://marketplace.fedramp.gov/img/logos/CSP_logos/Appian%20Logo.jpg" TargetMode="External"/><Relationship Id="rId2488" Type="http://schemas.openxmlformats.org/officeDocument/2006/relationships/hyperlink" Target="https://marketplace.fedramp.gov/img/logos/Agency_logos/US-DeptOfAgriculture-Seal2.png" TargetMode="External"/><Relationship Id="rId1147" Type="http://schemas.openxmlformats.org/officeDocument/2006/relationships/hyperlink" Target="https://marketplace.fedramp.gov/img/logos/CSP_logos/Microsoft%20Logo.jpg" TargetMode="External"/><Relationship Id="rId2478" Type="http://schemas.openxmlformats.org/officeDocument/2006/relationships/hyperlink" Target="https://marketplace.fedramp.gov/img/logos/Agency_logos/US-DeptOfTheInterior-Seal.png" TargetMode="External"/><Relationship Id="rId1148" Type="http://schemas.openxmlformats.org/officeDocument/2006/relationships/hyperlink" Target="https://marketplace.fedramp.gov/img/logos/Agency_logos/NSF.png" TargetMode="External"/><Relationship Id="rId2479" Type="http://schemas.openxmlformats.org/officeDocument/2006/relationships/hyperlink" Target="https://community.max.gov/x/eQs3Kw" TargetMode="External"/><Relationship Id="rId1149" Type="http://schemas.openxmlformats.org/officeDocument/2006/relationships/hyperlink" Target="https://community.max.gov/x/ApBJK" TargetMode="External"/><Relationship Id="rId558" Type="http://schemas.openxmlformats.org/officeDocument/2006/relationships/hyperlink" Target="http://www.maas360.com" TargetMode="External"/><Relationship Id="rId557" Type="http://schemas.openxmlformats.org/officeDocument/2006/relationships/hyperlink" Target="https://community.max.gov/download/attachments/1155203596/P-ATO_Fiberlink.MaaS360_08.05.15.pdf?api=v2" TargetMode="External"/><Relationship Id="rId556" Type="http://schemas.openxmlformats.org/officeDocument/2006/relationships/hyperlink" Target="https://community.max.gov/x/GBU6Jg" TargetMode="External"/><Relationship Id="rId555" Type="http://schemas.openxmlformats.org/officeDocument/2006/relationships/hyperlink" Target="https://marketplace.fedramp.gov/img/logos/Agency_logos/US-DeptOfHHS-Seal.png" TargetMode="External"/><Relationship Id="rId559" Type="http://schemas.openxmlformats.org/officeDocument/2006/relationships/hyperlink" Target="https://marketplace.fedramp.gov/img/logos/CSP_logos/MaaS360%20Logo.jpg" TargetMode="External"/><Relationship Id="rId550" Type="http://schemas.openxmlformats.org/officeDocument/2006/relationships/hyperlink" Target="https://marketplace.fedramp.gov/img/logos/Agency_logos/United_States_Department_of_Defense_Seal.png" TargetMode="External"/><Relationship Id="rId2470" Type="http://schemas.openxmlformats.org/officeDocument/2006/relationships/hyperlink" Target="https://community.max.gov/download/attachments/1130635691/ATO.Letter_Salesforce_DoD_DISA_06.25.17.pdf?api=v2" TargetMode="External"/><Relationship Id="rId1140" Type="http://schemas.openxmlformats.org/officeDocument/2006/relationships/hyperlink" Target="https://community.max.gov/download/attachments/1256458277/ATO.Letter_VMware.Carpathia_DOI_12.17.15.pdf?api=v2" TargetMode="External"/><Relationship Id="rId2471" Type="http://schemas.openxmlformats.org/officeDocument/2006/relationships/hyperlink" Target="http://www.salesforce.com/industries/public-sector" TargetMode="External"/><Relationship Id="rId1141" Type="http://schemas.openxmlformats.org/officeDocument/2006/relationships/hyperlink" Target="http://www.qtsdatacenters.com/products-and-solutions/cloud-services/qts-government-cloud" TargetMode="External"/><Relationship Id="rId2472" Type="http://schemas.openxmlformats.org/officeDocument/2006/relationships/hyperlink" Target="https://marketplace.fedramp.gov/img/logos/CSP_logos/Salesforce%20Logo.jpg" TargetMode="External"/><Relationship Id="rId1142" Type="http://schemas.openxmlformats.org/officeDocument/2006/relationships/hyperlink" Target="https://marketplace.fedramp.gov/img/logos/CSP_logos/QTS%20Logo.jpg" TargetMode="External"/><Relationship Id="rId2473" Type="http://schemas.openxmlformats.org/officeDocument/2006/relationships/hyperlink" Target="https://marketplace.fedramp.gov/img/logos/Agency_logos/United_States_Department_of_Defense_Seal.png" TargetMode="External"/><Relationship Id="rId554" Type="http://schemas.openxmlformats.org/officeDocument/2006/relationships/hyperlink" Target="https://marketplace.fedramp.gov/img/logos/CSP_logos/Huddle%20Logo.jpg" TargetMode="External"/><Relationship Id="rId1143" Type="http://schemas.openxmlformats.org/officeDocument/2006/relationships/hyperlink" Target="https://marketplace.fedramp.gov/img/logos/Agency_logos/US-DeptOfTheInterior-Seal.png" TargetMode="External"/><Relationship Id="rId2474" Type="http://schemas.openxmlformats.org/officeDocument/2006/relationships/hyperlink" Target="https://community.max.gov/x/QoXGSg" TargetMode="External"/><Relationship Id="rId553" Type="http://schemas.openxmlformats.org/officeDocument/2006/relationships/hyperlink" Target="http://www.huddle.com" TargetMode="External"/><Relationship Id="rId1144" Type="http://schemas.openxmlformats.org/officeDocument/2006/relationships/hyperlink" Target="https://community.max.gov/x/3JC6L" TargetMode="External"/><Relationship Id="rId2475" Type="http://schemas.openxmlformats.org/officeDocument/2006/relationships/hyperlink" Target="https://community.max.gov/download/attachments/1113818351/ATO.Letter_FireEye_DoI_04.26.17.pdf?api=v2" TargetMode="External"/><Relationship Id="rId552" Type="http://schemas.openxmlformats.org/officeDocument/2006/relationships/hyperlink" Target="https://community.max.gov/download/attachments/992346693/ATO.Letter_Huddle_HHS_9.30.15.pdf?api=v2" TargetMode="External"/><Relationship Id="rId1145" Type="http://schemas.openxmlformats.org/officeDocument/2006/relationships/hyperlink" Target="https://community.max.gov/download/attachments/992346706/ATO.Letter_MS.O365_NSF_3.25.16.pdf?api=v2" TargetMode="External"/><Relationship Id="rId2476" Type="http://schemas.openxmlformats.org/officeDocument/2006/relationships/hyperlink" Target="http://www.FireEye.com" TargetMode="External"/><Relationship Id="rId551" Type="http://schemas.openxmlformats.org/officeDocument/2006/relationships/hyperlink" Target="https://community.max.gov/x/KoE7Mw" TargetMode="External"/><Relationship Id="rId1146" Type="http://schemas.openxmlformats.org/officeDocument/2006/relationships/hyperlink" Target="http://www.microsoft.office.com" TargetMode="External"/><Relationship Id="rId2477" Type="http://schemas.openxmlformats.org/officeDocument/2006/relationships/hyperlink" Target="https://marketplace.fedramp.gov/img/logos/CSP_logos/FireEye%20Logo.jpg" TargetMode="External"/><Relationship Id="rId495" Type="http://schemas.openxmlformats.org/officeDocument/2006/relationships/hyperlink" Target="http://www.cornerstoneondemand.com/" TargetMode="External"/><Relationship Id="rId494" Type="http://schemas.openxmlformats.org/officeDocument/2006/relationships/hyperlink" Target="mailto:DToy@csod.com" TargetMode="External"/><Relationship Id="rId493" Type="http://schemas.openxmlformats.org/officeDocument/2006/relationships/hyperlink" Target="https://community.max.gov/download/attachments/930415021/ATO.Letter_Cornerstone.OnDemand_Treasury_09.22.15.pdf?api=v2" TargetMode="External"/><Relationship Id="rId492" Type="http://schemas.openxmlformats.org/officeDocument/2006/relationships/hyperlink" Target="https://community.max.gov/x/fgIhMg" TargetMode="External"/><Relationship Id="rId499" Type="http://schemas.openxmlformats.org/officeDocument/2006/relationships/hyperlink" Target="https://community.max.gov/download/attachments/1153174344/P-ATO_DGS_09.24.15.pdf?api=v2" TargetMode="External"/><Relationship Id="rId498" Type="http://schemas.openxmlformats.org/officeDocument/2006/relationships/hyperlink" Target="https://community.max.gov/x/GATJO" TargetMode="External"/><Relationship Id="rId497" Type="http://schemas.openxmlformats.org/officeDocument/2006/relationships/hyperlink" Target="https://marketplace.fedramp.gov/img/logos/Agency_logos/US-DeptOfTheTreasury-Seal.png" TargetMode="External"/><Relationship Id="rId496" Type="http://schemas.openxmlformats.org/officeDocument/2006/relationships/hyperlink" Target="https://marketplace.fedramp.gov/img/logos/CSP_logos/Cornerstone%20Logo.jpg" TargetMode="External"/><Relationship Id="rId3810" Type="http://schemas.openxmlformats.org/officeDocument/2006/relationships/hyperlink" Target="https://community.max.gov/download/attachments/1285427222/ATO%20Letter_TrapWire_DoD_PFPA_1.11.18.pdf?api=v2" TargetMode="External"/><Relationship Id="rId3812" Type="http://schemas.openxmlformats.org/officeDocument/2006/relationships/hyperlink" Target="https://marketplace.fedramp.gov/img/logos/CSP_logos/Trapwire%20Logo.jpg" TargetMode="External"/><Relationship Id="rId3811" Type="http://schemas.openxmlformats.org/officeDocument/2006/relationships/hyperlink" Target="http://www.trapwire.com" TargetMode="External"/><Relationship Id="rId3814" Type="http://schemas.openxmlformats.org/officeDocument/2006/relationships/hyperlink" Target="https://community.max.gov/x/CgIoNQ" TargetMode="External"/><Relationship Id="rId3813" Type="http://schemas.openxmlformats.org/officeDocument/2006/relationships/hyperlink" Target="https://marketplace.fedramp.gov/img/logos/Agency_logos/United_States_Department_of_Defense_Seal.png" TargetMode="External"/><Relationship Id="rId3816" Type="http://schemas.openxmlformats.org/officeDocument/2006/relationships/hyperlink" Target="http://blackberry.athoc.com" TargetMode="External"/><Relationship Id="rId3815" Type="http://schemas.openxmlformats.org/officeDocument/2006/relationships/hyperlink" Target="https://community.max.gov/download/attachments/992346635/ATO.Letter_Blackberry_DHS_7.18.18.pdf?api=v2" TargetMode="External"/><Relationship Id="rId3818" Type="http://schemas.openxmlformats.org/officeDocument/2006/relationships/hyperlink" Target="https://marketplace.fedramp.gov/img/logos/Agency_logos/Seal_of_the_United_States_Department_of_Homeland_Security.png" TargetMode="External"/><Relationship Id="rId3817" Type="http://schemas.openxmlformats.org/officeDocument/2006/relationships/hyperlink" Target="https://marketplace.fedramp.gov/img/logos/CSP_logos/BlackBerry%20Logo.jpg" TargetMode="External"/><Relationship Id="rId3819" Type="http://schemas.openxmlformats.org/officeDocument/2006/relationships/hyperlink" Target="https://community.max.gov/x/DA0QX" TargetMode="External"/><Relationship Id="rId3801" Type="http://schemas.openxmlformats.org/officeDocument/2006/relationships/hyperlink" Target="http://www.everbridge.com/" TargetMode="External"/><Relationship Id="rId3800" Type="http://schemas.openxmlformats.org/officeDocument/2006/relationships/hyperlink" Target="https://community.max.gov/download/attachments/939262826/ATO.Letter_Everbridge_DoC_3.31.18.pdf?api=v2" TargetMode="External"/><Relationship Id="rId3803" Type="http://schemas.openxmlformats.org/officeDocument/2006/relationships/hyperlink" Target="https://marketplace.fedramp.gov/img/logos/Agency_logos/US-DeptOfCommerce-Seal.png" TargetMode="External"/><Relationship Id="rId3802" Type="http://schemas.openxmlformats.org/officeDocument/2006/relationships/hyperlink" Target="https://marketplace.fedramp.gov/img/logos/CSP_logos/Everbridge%20Logo.jpg" TargetMode="External"/><Relationship Id="rId3805" Type="http://schemas.openxmlformats.org/officeDocument/2006/relationships/hyperlink" Target="https://community.max.gov/download/attachments/936118328/ATO.Letter_Acquia_CFTC_3.8.18.pdf?api=v2" TargetMode="External"/><Relationship Id="rId3804" Type="http://schemas.openxmlformats.org/officeDocument/2006/relationships/hyperlink" Target="https://community.max.gov/x/GAugKw" TargetMode="External"/><Relationship Id="rId3807" Type="http://schemas.openxmlformats.org/officeDocument/2006/relationships/hyperlink" Target="https://marketplace.fedramp.gov/img/logos/CSP_logos/Acquia%20Logo.jpg" TargetMode="External"/><Relationship Id="rId3806" Type="http://schemas.openxmlformats.org/officeDocument/2006/relationships/hyperlink" Target="http://www.acquia.com" TargetMode="External"/><Relationship Id="rId3809" Type="http://schemas.openxmlformats.org/officeDocument/2006/relationships/hyperlink" Target="https://community.max.gov/x/BxCeT" TargetMode="External"/><Relationship Id="rId3808" Type="http://schemas.openxmlformats.org/officeDocument/2006/relationships/hyperlink" Target="https://marketplace.fedramp.gov/img/logos/Agency_logos/CFTC%20Logo.jpg" TargetMode="External"/><Relationship Id="rId1213" Type="http://schemas.openxmlformats.org/officeDocument/2006/relationships/hyperlink" Target="https://marketplace.fedramp.gov/img/logos/CSP_logos/Amazon%20Logo.jpg" TargetMode="External"/><Relationship Id="rId2544" Type="http://schemas.openxmlformats.org/officeDocument/2006/relationships/hyperlink" Target="https://marketplace.fedramp.gov/img/logos/Agency_logos/US-SurfaceTransportationBoard-Seal.png" TargetMode="External"/><Relationship Id="rId3876" Type="http://schemas.openxmlformats.org/officeDocument/2006/relationships/hyperlink" Target="https://www.armedia.com" TargetMode="External"/><Relationship Id="rId1214" Type="http://schemas.openxmlformats.org/officeDocument/2006/relationships/hyperlink" Target="https://marketplace.fedramp.gov/img/logos/Agency_logos/US-DeptOfTheInterior-Seal.png" TargetMode="External"/><Relationship Id="rId2545" Type="http://schemas.openxmlformats.org/officeDocument/2006/relationships/hyperlink" Target="https://community.max.gov/x/GAugKw" TargetMode="External"/><Relationship Id="rId3875" Type="http://schemas.openxmlformats.org/officeDocument/2006/relationships/hyperlink" Target="https://community.max.gov/x/yQ_4Jg" TargetMode="External"/><Relationship Id="rId1215" Type="http://schemas.openxmlformats.org/officeDocument/2006/relationships/hyperlink" Target="https://community.max.gov/x/QoWaP" TargetMode="External"/><Relationship Id="rId2546" Type="http://schemas.openxmlformats.org/officeDocument/2006/relationships/hyperlink" Target="https://community.max.gov/download/attachments/936118328/ATO.Letter_Acquia_DoT_IRS_07.24.17.pdf?api=v2" TargetMode="External"/><Relationship Id="rId3878" Type="http://schemas.openxmlformats.org/officeDocument/2006/relationships/hyperlink" Target="https://marketplace.fedramp.gov/img/logos/Agency_logos/PRC%20Logo.jpg" TargetMode="External"/><Relationship Id="rId1216" Type="http://schemas.openxmlformats.org/officeDocument/2006/relationships/hyperlink" Target="https://community.max.gov/download/attachments/1155203837/ATO%20Letter_ServiceNow_DOE_05.19.16.pdf?api=v2" TargetMode="External"/><Relationship Id="rId2547" Type="http://schemas.openxmlformats.org/officeDocument/2006/relationships/hyperlink" Target="http://www.acquia.com" TargetMode="External"/><Relationship Id="rId3877" Type="http://schemas.openxmlformats.org/officeDocument/2006/relationships/hyperlink" Target="https://marketplace.fedramp.gov/img/logos/CSP_logos/Armedia%20Logo.jpg" TargetMode="External"/><Relationship Id="rId1217" Type="http://schemas.openxmlformats.org/officeDocument/2006/relationships/hyperlink" Target="http://www.servicenow.com" TargetMode="External"/><Relationship Id="rId2548" Type="http://schemas.openxmlformats.org/officeDocument/2006/relationships/hyperlink" Target="https://marketplace.fedramp.gov/img/logos/CSP_logos/Acquia%20Logo.jpg" TargetMode="External"/><Relationship Id="rId1218" Type="http://schemas.openxmlformats.org/officeDocument/2006/relationships/hyperlink" Target="https://marketplace.fedramp.gov/img/logos/CSP_logos/ServiceNow%20Logo.jpg" TargetMode="External"/><Relationship Id="rId2549" Type="http://schemas.openxmlformats.org/officeDocument/2006/relationships/hyperlink" Target="https://marketplace.fedramp.gov/img/logos/Agency_logos/US-DeptOfTheTreasury-Seal.png" TargetMode="External"/><Relationship Id="rId3879" Type="http://schemas.openxmlformats.org/officeDocument/2006/relationships/hyperlink" Target="https://community.max.gov/x/yAKZX" TargetMode="External"/><Relationship Id="rId1219" Type="http://schemas.openxmlformats.org/officeDocument/2006/relationships/hyperlink" Target="https://marketplace.fedramp.gov/img/logos/Agency_logos/US-DeptOfEnergy-Seal.png" TargetMode="External"/><Relationship Id="rId3870" Type="http://schemas.openxmlformats.org/officeDocument/2006/relationships/hyperlink" Target="https://marketplace.fedramp.gov/img/logos/CSP_logos/4tell%20Logo.jpg" TargetMode="External"/><Relationship Id="rId2540" Type="http://schemas.openxmlformats.org/officeDocument/2006/relationships/hyperlink" Target="https://community.max.gov/x/-oSIOg" TargetMode="External"/><Relationship Id="rId3872" Type="http://schemas.openxmlformats.org/officeDocument/2006/relationships/hyperlink" Target="https://www.aconex.com/." TargetMode="External"/><Relationship Id="rId1210" Type="http://schemas.openxmlformats.org/officeDocument/2006/relationships/hyperlink" Target="https://community.max.gov/x/ApBJK" TargetMode="External"/><Relationship Id="rId2541" Type="http://schemas.openxmlformats.org/officeDocument/2006/relationships/hyperlink" Target="https://community.max.gov/download/attachments/982025475/ATO.Letter_Okta_STB_07.24.17.PDF?api=v2" TargetMode="External"/><Relationship Id="rId3871" Type="http://schemas.openxmlformats.org/officeDocument/2006/relationships/hyperlink" Target="https://marketplace.fedramp.gov/img/logos/Agency_logos/NGA%20Logo.png" TargetMode="External"/><Relationship Id="rId1211" Type="http://schemas.openxmlformats.org/officeDocument/2006/relationships/hyperlink" Target="https://community.max.gov/download/attachments/1113425425/ATO.Letter_AWSGC_DoI_04.13.16.pdf?api=v2" TargetMode="External"/><Relationship Id="rId2542" Type="http://schemas.openxmlformats.org/officeDocument/2006/relationships/hyperlink" Target="https://www.okta.com/" TargetMode="External"/><Relationship Id="rId3874" Type="http://schemas.openxmlformats.org/officeDocument/2006/relationships/hyperlink" Target="https://marketplace.fedramp.gov/img/logos/Agency_logos/US-DeptOfEnergy-Seal.png" TargetMode="External"/><Relationship Id="rId1212" Type="http://schemas.openxmlformats.org/officeDocument/2006/relationships/hyperlink" Target="http://www.aws.amazon.com" TargetMode="External"/><Relationship Id="rId2543" Type="http://schemas.openxmlformats.org/officeDocument/2006/relationships/hyperlink" Target="https://marketplace.fedramp.gov/img/logos/CSP_logos/Okta%20Logo.jpg" TargetMode="External"/><Relationship Id="rId3873" Type="http://schemas.openxmlformats.org/officeDocument/2006/relationships/hyperlink" Target="https://marketplace.fedramp.gov/img/logos/CSP_logos/Aconex%20Logo.jpg" TargetMode="External"/><Relationship Id="rId1202" Type="http://schemas.openxmlformats.org/officeDocument/2006/relationships/hyperlink" Target="https://community.max.gov/x/7AcQL" TargetMode="External"/><Relationship Id="rId2533" Type="http://schemas.openxmlformats.org/officeDocument/2006/relationships/hyperlink" Target="https://marketplace.fedramp.gov/img/logos/CSP_logos/Acquia%20Logo.jpg" TargetMode="External"/><Relationship Id="rId3865" Type="http://schemas.openxmlformats.org/officeDocument/2006/relationships/hyperlink" Target="https://community.max.gov/download/attachments/1495797634/ATO.Letter_Intelliworx_DoI_5.30.18.pdf?api=v2" TargetMode="External"/><Relationship Id="rId1203" Type="http://schemas.openxmlformats.org/officeDocument/2006/relationships/hyperlink" Target="https://community.max.gov/download/attachments/1155204077/P-ATO_ATT.AGC_05.09.16.pdf?api=v2" TargetMode="External"/><Relationship Id="rId2534" Type="http://schemas.openxmlformats.org/officeDocument/2006/relationships/hyperlink" Target="https://marketplace.fedramp.gov/img/logos/Agency_logos/Seal_of_the_United_States_Department_of_Veterans_Affairs_(1989-2012).png" TargetMode="External"/><Relationship Id="rId3864" Type="http://schemas.openxmlformats.org/officeDocument/2006/relationships/hyperlink" Target="https://community.max.gov/x/aoFsP" TargetMode="External"/><Relationship Id="rId1204" Type="http://schemas.openxmlformats.org/officeDocument/2006/relationships/hyperlink" Target="http://www.att.com" TargetMode="External"/><Relationship Id="rId2535" Type="http://schemas.openxmlformats.org/officeDocument/2006/relationships/hyperlink" Target="https://community.max.gov/x/GgwdJg" TargetMode="External"/><Relationship Id="rId3867" Type="http://schemas.openxmlformats.org/officeDocument/2006/relationships/hyperlink" Target="https://marketplace.fedramp.gov/img/logos/CSP_logos/Intelliworx%20Logo.jpg" TargetMode="External"/><Relationship Id="rId1205" Type="http://schemas.openxmlformats.org/officeDocument/2006/relationships/hyperlink" Target="https://community.max.gov/x/AYIHJw" TargetMode="External"/><Relationship Id="rId2536" Type="http://schemas.openxmlformats.org/officeDocument/2006/relationships/hyperlink" Target="https://community.max.gov/download/attachments/992346701/ATO.Letter_MicroPact_DoD_DISA_07.21.17.pdf?api=v2" TargetMode="External"/><Relationship Id="rId3866" Type="http://schemas.openxmlformats.org/officeDocument/2006/relationships/hyperlink" Target="http://www.hrworx.com" TargetMode="External"/><Relationship Id="rId1206" Type="http://schemas.openxmlformats.org/officeDocument/2006/relationships/hyperlink" Target="https://community.max.gov/download/attachments/1293687616/ATO%20Letter_Virtustream_DOI_05.20.16.pdf?api=v2" TargetMode="External"/><Relationship Id="rId2537" Type="http://schemas.openxmlformats.org/officeDocument/2006/relationships/hyperlink" Target="http://www.micropact.com" TargetMode="External"/><Relationship Id="rId3869" Type="http://schemas.openxmlformats.org/officeDocument/2006/relationships/hyperlink" Target="http://www.4tellsolutions.com/gov-platform" TargetMode="External"/><Relationship Id="rId1207" Type="http://schemas.openxmlformats.org/officeDocument/2006/relationships/hyperlink" Target="http://www.virtustream.com" TargetMode="External"/><Relationship Id="rId2538" Type="http://schemas.openxmlformats.org/officeDocument/2006/relationships/hyperlink" Target="https://marketplace.fedramp.gov/img/logos/CSP_logos/MicroPact%20Logo.jpg" TargetMode="External"/><Relationship Id="rId3868" Type="http://schemas.openxmlformats.org/officeDocument/2006/relationships/hyperlink" Target="https://marketplace.fedramp.gov/img/logos/Agency_logos/US-DeptOfTheInterior-Seal.png" TargetMode="External"/><Relationship Id="rId1208" Type="http://schemas.openxmlformats.org/officeDocument/2006/relationships/hyperlink" Target="https://marketplace.fedramp.gov/img/logos/CSP_logos/Virtustream%20Logo.jpg" TargetMode="External"/><Relationship Id="rId2539" Type="http://schemas.openxmlformats.org/officeDocument/2006/relationships/hyperlink" Target="https://marketplace.fedramp.gov/img/logos/Agency_logos/United_States_Department_of_Defense_Seal.png" TargetMode="External"/><Relationship Id="rId1209" Type="http://schemas.openxmlformats.org/officeDocument/2006/relationships/hyperlink" Target="https://marketplace.fedramp.gov/img/logos/Agency_logos/US-DeptOfTheInterior-Seal.png" TargetMode="External"/><Relationship Id="rId3861" Type="http://schemas.openxmlformats.org/officeDocument/2006/relationships/hyperlink" Target="http://www.granicus.com" TargetMode="External"/><Relationship Id="rId2530" Type="http://schemas.openxmlformats.org/officeDocument/2006/relationships/hyperlink" Target="https://community.max.gov/x/GAugKw" TargetMode="External"/><Relationship Id="rId3860" Type="http://schemas.openxmlformats.org/officeDocument/2006/relationships/hyperlink" Target="https://community.max.gov/download/attachments/1155203545/ATO.Letter_GovDelivery_DoJ_ATF_7.30.18.pdf?api=v2" TargetMode="External"/><Relationship Id="rId1200" Type="http://schemas.openxmlformats.org/officeDocument/2006/relationships/hyperlink" Target="https://marketplace.fedramp.gov/img/logos/CSP_logos/Amazon%20Logo.jpg" TargetMode="External"/><Relationship Id="rId2531" Type="http://schemas.openxmlformats.org/officeDocument/2006/relationships/hyperlink" Target="https://community.max.gov/download/attachments/936118328/ATO.Letter_Acquia_VA_06.14.17.pdf?api=v2" TargetMode="External"/><Relationship Id="rId3863" Type="http://schemas.openxmlformats.org/officeDocument/2006/relationships/hyperlink" Target="https://marketplace.fedramp.gov/img/logos/Agency_logos/Seal_of_the_United_States_Department_of_Justice.png" TargetMode="External"/><Relationship Id="rId1201" Type="http://schemas.openxmlformats.org/officeDocument/2006/relationships/hyperlink" Target="https://marketplace.fedramp.gov/img/logos/Agency_logos/NASA_logo.png" TargetMode="External"/><Relationship Id="rId2532" Type="http://schemas.openxmlformats.org/officeDocument/2006/relationships/hyperlink" Target="http://www.acquia.com" TargetMode="External"/><Relationship Id="rId3862" Type="http://schemas.openxmlformats.org/officeDocument/2006/relationships/hyperlink" Target="https://marketplace.fedramp.gov/img/logos/CSP_logos/Granicus%20Logo.jpg" TargetMode="External"/><Relationship Id="rId1235" Type="http://schemas.openxmlformats.org/officeDocument/2006/relationships/hyperlink" Target="https://community.max.gov/x/WQOaLQ" TargetMode="External"/><Relationship Id="rId2566" Type="http://schemas.openxmlformats.org/officeDocument/2006/relationships/hyperlink" Target="https://community.max.gov/download/attachments/1155203715/ATO.Letter_IT-CNP_VA_07.05.17.pdf?api=v2" TargetMode="External"/><Relationship Id="rId3898" Type="http://schemas.openxmlformats.org/officeDocument/2006/relationships/hyperlink" Target="http://www.ca.com" TargetMode="External"/><Relationship Id="rId1236" Type="http://schemas.openxmlformats.org/officeDocument/2006/relationships/hyperlink" Target="https://community.max.gov/download/attachments/1155203796/ATO%20Letter_OracleSC_CFPB_12.10.15.PDF?api=v2" TargetMode="External"/><Relationship Id="rId2567" Type="http://schemas.openxmlformats.org/officeDocument/2006/relationships/hyperlink" Target="http://www.govdatahosting.com/" TargetMode="External"/><Relationship Id="rId3897" Type="http://schemas.openxmlformats.org/officeDocument/2006/relationships/hyperlink" Target="https://community.max.gov/x/6gvgTQ" TargetMode="External"/><Relationship Id="rId1237" Type="http://schemas.openxmlformats.org/officeDocument/2006/relationships/hyperlink" Target="http://cloud.oracle.com/public-sector-cloud" TargetMode="External"/><Relationship Id="rId2568" Type="http://schemas.openxmlformats.org/officeDocument/2006/relationships/hyperlink" Target="https://marketplace.fedramp.gov/img/logos/CSP_logos/IT-CNP%20Logo.jpg" TargetMode="External"/><Relationship Id="rId1238" Type="http://schemas.openxmlformats.org/officeDocument/2006/relationships/hyperlink" Target="https://marketplace.fedramp.gov/img/logos/CSP_logos/Oracle%20Logo.jpg" TargetMode="External"/><Relationship Id="rId2569" Type="http://schemas.openxmlformats.org/officeDocument/2006/relationships/hyperlink" Target="https://marketplace.fedramp.gov/img/logos/Agency_logos/Seal_of_the_United_States_Department_of_Veterans_Affairs_(1989-2012).png" TargetMode="External"/><Relationship Id="rId3899" Type="http://schemas.openxmlformats.org/officeDocument/2006/relationships/hyperlink" Target="https://marketplace.fedramp.gov/img/logos/CSP_logos/CA%20Tech%20Logo.jpg" TargetMode="External"/><Relationship Id="rId1239" Type="http://schemas.openxmlformats.org/officeDocument/2006/relationships/hyperlink" Target="https://marketplace.fedramp.gov/img/logos/Agency_logos/CFPB_Logo.png" TargetMode="External"/><Relationship Id="rId409" Type="http://schemas.openxmlformats.org/officeDocument/2006/relationships/hyperlink" Target="https://marketplace.fedramp.gov/img/logos/CSP_logos/Amazon%20Logo.jpg" TargetMode="External"/><Relationship Id="rId404" Type="http://schemas.openxmlformats.org/officeDocument/2006/relationships/hyperlink" Target="https://marketplace.fedramp.gov/img/logos/CSP_logos/Amazon%20Logo.jpg" TargetMode="External"/><Relationship Id="rId403" Type="http://schemas.openxmlformats.org/officeDocument/2006/relationships/hyperlink" Target="http://www.aws.amazon.com" TargetMode="External"/><Relationship Id="rId402" Type="http://schemas.openxmlformats.org/officeDocument/2006/relationships/hyperlink" Target="https://community.max.gov/download/attachments/1115488742/ATO.Letter_AWS.EW_NASA.03.04.15.pdf?api=v2" TargetMode="External"/><Relationship Id="rId401" Type="http://schemas.openxmlformats.org/officeDocument/2006/relationships/hyperlink" Target="https://community.max.gov/x/DpBJK" TargetMode="External"/><Relationship Id="rId408" Type="http://schemas.openxmlformats.org/officeDocument/2006/relationships/hyperlink" Target="http://www.aws.amazon.com" TargetMode="External"/><Relationship Id="rId407" Type="http://schemas.openxmlformats.org/officeDocument/2006/relationships/hyperlink" Target="https://community.max.gov/download/attachments/1115488742/ATO.Letter_AWS.Redshift_DOD.DISA_3.26.15.pdf?api=v2" TargetMode="External"/><Relationship Id="rId406" Type="http://schemas.openxmlformats.org/officeDocument/2006/relationships/hyperlink" Target="https://community.max.gov/x/DpBJK" TargetMode="External"/><Relationship Id="rId405" Type="http://schemas.openxmlformats.org/officeDocument/2006/relationships/hyperlink" Target="https://marketplace.fedramp.gov/img/logos/Agency_logos/NASA_logo.png" TargetMode="External"/><Relationship Id="rId3890" Type="http://schemas.openxmlformats.org/officeDocument/2006/relationships/hyperlink" Target="https://community.max.gov/x/EYGKLQ" TargetMode="External"/><Relationship Id="rId2560" Type="http://schemas.openxmlformats.org/officeDocument/2006/relationships/hyperlink" Target="https://community.max.gov/x/VJM5JQ" TargetMode="External"/><Relationship Id="rId3892" Type="http://schemas.openxmlformats.org/officeDocument/2006/relationships/hyperlink" Target="https://marketplace.fedramp.gov/img/logos/CSP_logos/Brightwork%20Logo.jpg" TargetMode="External"/><Relationship Id="rId1230" Type="http://schemas.openxmlformats.org/officeDocument/2006/relationships/hyperlink" Target="https://community.max.gov/x/9AQHPQ" TargetMode="External"/><Relationship Id="rId2561" Type="http://schemas.openxmlformats.org/officeDocument/2006/relationships/hyperlink" Target="https://community.max.gov/download/attachments/1116602747/ATO.Letter_CGI_VA_07.05.17.pdf?api=v2" TargetMode="External"/><Relationship Id="rId3891" Type="http://schemas.openxmlformats.org/officeDocument/2006/relationships/hyperlink" Target="http://www.projecthosts.com" TargetMode="External"/><Relationship Id="rId400" Type="http://schemas.openxmlformats.org/officeDocument/2006/relationships/hyperlink" Target="https://marketplace.fedramp.gov/img/logos/Agency_logos/US-DeptOfHUD-Seal.png" TargetMode="External"/><Relationship Id="rId1231" Type="http://schemas.openxmlformats.org/officeDocument/2006/relationships/hyperlink" Target="https://community.max.gov/download/attachments/1023870206/USAID%20FedConnect%20FedRAMP%20Signed%20ATO%20Letter_5-18-2016.pdf?api=v2" TargetMode="External"/><Relationship Id="rId2562" Type="http://schemas.openxmlformats.org/officeDocument/2006/relationships/hyperlink" Target="http://www.cgi.com" TargetMode="External"/><Relationship Id="rId3894" Type="http://schemas.openxmlformats.org/officeDocument/2006/relationships/hyperlink" Target="http://www.broadsoft.com" TargetMode="External"/><Relationship Id="rId1232" Type="http://schemas.openxmlformats.org/officeDocument/2006/relationships/hyperlink" Target="http://www.compusearch.com" TargetMode="External"/><Relationship Id="rId2563" Type="http://schemas.openxmlformats.org/officeDocument/2006/relationships/hyperlink" Target="https://marketplace.fedramp.gov/img/logos/CSP_logos/CGI%20Federal.jpg" TargetMode="External"/><Relationship Id="rId3893" Type="http://schemas.openxmlformats.org/officeDocument/2006/relationships/hyperlink" Target="https://community.max.gov/x/7IbySQ" TargetMode="External"/><Relationship Id="rId1233" Type="http://schemas.openxmlformats.org/officeDocument/2006/relationships/hyperlink" Target="https://marketplace.fedramp.gov/img/logos/CSP_logos/Compusearch%20Logo.jpg" TargetMode="External"/><Relationship Id="rId2564" Type="http://schemas.openxmlformats.org/officeDocument/2006/relationships/hyperlink" Target="https://marketplace.fedramp.gov/img/logos/Agency_logos/Seal_of_the_United_States_Department_of_Veterans_Affairs_(1989-2012).png" TargetMode="External"/><Relationship Id="rId3896" Type="http://schemas.openxmlformats.org/officeDocument/2006/relationships/hyperlink" Target="https://marketplace.fedramp.gov/img/logos/Agency_logos/Senate%20Logo.jpg" TargetMode="External"/><Relationship Id="rId1234" Type="http://schemas.openxmlformats.org/officeDocument/2006/relationships/hyperlink" Target="https://marketplace.fedramp.gov/img/logos/Agency_logos/USAID-Seal.png" TargetMode="External"/><Relationship Id="rId2565" Type="http://schemas.openxmlformats.org/officeDocument/2006/relationships/hyperlink" Target="https://community.max.gov/x/zAebJw" TargetMode="External"/><Relationship Id="rId3895" Type="http://schemas.openxmlformats.org/officeDocument/2006/relationships/hyperlink" Target="https://marketplace.fedramp.gov/img/logos/CSP_logos/Broadsoft%20Logo.jpg" TargetMode="External"/><Relationship Id="rId1224" Type="http://schemas.openxmlformats.org/officeDocument/2006/relationships/hyperlink" Target="https://marketplace.fedramp.gov/img/logos/Agency_logos/cncs_1.png" TargetMode="External"/><Relationship Id="rId2555" Type="http://schemas.openxmlformats.org/officeDocument/2006/relationships/hyperlink" Target="https://community.max.gov/x/lAC8Mg" TargetMode="External"/><Relationship Id="rId3887" Type="http://schemas.openxmlformats.org/officeDocument/2006/relationships/hyperlink" Target="https://community.max.gov/x/YgwMU" TargetMode="External"/><Relationship Id="rId1225" Type="http://schemas.openxmlformats.org/officeDocument/2006/relationships/hyperlink" Target="https://community.max.gov/x/KoE7Mw" TargetMode="External"/><Relationship Id="rId2556" Type="http://schemas.openxmlformats.org/officeDocument/2006/relationships/hyperlink" Target="https://community.max.gov/download/attachments/1115488812/ATO.Letter_Appian_DoA_05.09.17.pdf?api=v2" TargetMode="External"/><Relationship Id="rId3886" Type="http://schemas.openxmlformats.org/officeDocument/2006/relationships/hyperlink" Target="https://marketplace.fedramp.gov/img/logos/Agency_logos/House%20of%20Reps%20Logo.jpg" TargetMode="External"/><Relationship Id="rId1226" Type="http://schemas.openxmlformats.org/officeDocument/2006/relationships/hyperlink" Target="https://community.max.gov/download/attachments/992346693/ATO%20Letter_Huddle_DoE_06.02.16.pdf?api=v2" TargetMode="External"/><Relationship Id="rId2557" Type="http://schemas.openxmlformats.org/officeDocument/2006/relationships/hyperlink" Target="http://www.appian.com" TargetMode="External"/><Relationship Id="rId3889" Type="http://schemas.openxmlformats.org/officeDocument/2006/relationships/hyperlink" Target="https://marketplace.fedramp.gov/img/logos/CSP_logos/Axon%20Logo.jpg" TargetMode="External"/><Relationship Id="rId1227" Type="http://schemas.openxmlformats.org/officeDocument/2006/relationships/hyperlink" Target="http://www.huddle.com" TargetMode="External"/><Relationship Id="rId2558" Type="http://schemas.openxmlformats.org/officeDocument/2006/relationships/hyperlink" Target="https://marketplace.fedramp.gov/img/logos/CSP_logos/Appian%20Logo.jpg" TargetMode="External"/><Relationship Id="rId3888" Type="http://schemas.openxmlformats.org/officeDocument/2006/relationships/hyperlink" Target="http://www.axon.com" TargetMode="External"/><Relationship Id="rId1228" Type="http://schemas.openxmlformats.org/officeDocument/2006/relationships/hyperlink" Target="https://marketplace.fedramp.gov/img/logos/CSP_logos/Huddle%20Logo.jpg" TargetMode="External"/><Relationship Id="rId2559" Type="http://schemas.openxmlformats.org/officeDocument/2006/relationships/hyperlink" Target="https://marketplace.fedramp.gov/img/logos/Agency_logos/US-DeptOfAgriculture-Seal2.png" TargetMode="External"/><Relationship Id="rId1229" Type="http://schemas.openxmlformats.org/officeDocument/2006/relationships/hyperlink" Target="https://marketplace.fedramp.gov/img/logos/Agency_logos/US-DeptOfEnergy-Seal.png" TargetMode="External"/><Relationship Id="rId3881" Type="http://schemas.openxmlformats.org/officeDocument/2006/relationships/hyperlink" Target="https://marketplace.fedramp.gov/img/logos/CSP_logos/Asure%20Logo.jpg" TargetMode="External"/><Relationship Id="rId2550" Type="http://schemas.openxmlformats.org/officeDocument/2006/relationships/hyperlink" Target="https://community.max.gov/x/DpBJK" TargetMode="External"/><Relationship Id="rId3880" Type="http://schemas.openxmlformats.org/officeDocument/2006/relationships/hyperlink" Target="https://www.asuresoftware.com/product-lineup/full-service-room-scheduling/" TargetMode="External"/><Relationship Id="rId1220" Type="http://schemas.openxmlformats.org/officeDocument/2006/relationships/hyperlink" Target="https://community.max.gov/x/VJM5JQ" TargetMode="External"/><Relationship Id="rId2551" Type="http://schemas.openxmlformats.org/officeDocument/2006/relationships/hyperlink" Target="https://community.max.gov/download/attachments/1115488742/ATO.Letter_AWSEW_DoT_IRS_07.24.17.pdf?api=v2" TargetMode="External"/><Relationship Id="rId3883" Type="http://schemas.openxmlformats.org/officeDocument/2006/relationships/hyperlink" Target="https://community.max.gov/x/84P4UQ" TargetMode="External"/><Relationship Id="rId1221" Type="http://schemas.openxmlformats.org/officeDocument/2006/relationships/hyperlink" Target="https://community.max.gov/download/attachments/1116602747/ATO%20Letter_CGI_CNCS_05.31.16.pdf?api=v2" TargetMode="External"/><Relationship Id="rId2552" Type="http://schemas.openxmlformats.org/officeDocument/2006/relationships/hyperlink" Target="http://www.aws.amazon.com" TargetMode="External"/><Relationship Id="rId3882" Type="http://schemas.openxmlformats.org/officeDocument/2006/relationships/hyperlink" Target="https://marketplace.fedramp.gov/img/logos/Agency_logos/US-DeptOfTheTreasury-Seal.png" TargetMode="External"/><Relationship Id="rId1222" Type="http://schemas.openxmlformats.org/officeDocument/2006/relationships/hyperlink" Target="http://www.cgi.com" TargetMode="External"/><Relationship Id="rId2553" Type="http://schemas.openxmlformats.org/officeDocument/2006/relationships/hyperlink" Target="https://marketplace.fedramp.gov/img/logos/CSP_logos/Amazon%20Logo.jpg" TargetMode="External"/><Relationship Id="rId3885" Type="http://schemas.openxmlformats.org/officeDocument/2006/relationships/hyperlink" Target="https://marketplace.fedramp.gov/img/logos/CSP_logos/Avaya%20Logo.jpg" TargetMode="External"/><Relationship Id="rId1223" Type="http://schemas.openxmlformats.org/officeDocument/2006/relationships/hyperlink" Target="https://marketplace.fedramp.gov/img/logos/CSP_logos/CGI%20Federal.jpg" TargetMode="External"/><Relationship Id="rId2554" Type="http://schemas.openxmlformats.org/officeDocument/2006/relationships/hyperlink" Target="https://marketplace.fedramp.gov/img/logos/Agency_logos/US-DeptOfTheTreasury-Seal.png" TargetMode="External"/><Relationship Id="rId3884" Type="http://schemas.openxmlformats.org/officeDocument/2006/relationships/hyperlink" Target="https://www.avaya.com/en/fedramp" TargetMode="External"/><Relationship Id="rId2500" Type="http://schemas.openxmlformats.org/officeDocument/2006/relationships/hyperlink" Target="https://community.max.gov/x/AYIHJw" TargetMode="External"/><Relationship Id="rId3832" Type="http://schemas.openxmlformats.org/officeDocument/2006/relationships/hyperlink" Target="https://marketplace.fedramp.gov/img/logos/CSP_logos/MicroPact%20Logo.jpg" TargetMode="External"/><Relationship Id="rId2501" Type="http://schemas.openxmlformats.org/officeDocument/2006/relationships/hyperlink" Target="https://community.max.gov/download/attachments/1155204052/ATO.Letter_Virtustream_DoI_07.14.17.pdf?api=v2" TargetMode="External"/><Relationship Id="rId3831" Type="http://schemas.openxmlformats.org/officeDocument/2006/relationships/hyperlink" Target="http://www.micropact.com" TargetMode="External"/><Relationship Id="rId2502" Type="http://schemas.openxmlformats.org/officeDocument/2006/relationships/hyperlink" Target="http://www.virtustream.com" TargetMode="External"/><Relationship Id="rId3834" Type="http://schemas.openxmlformats.org/officeDocument/2006/relationships/hyperlink" Target="https://community.max.gov/display/FedRAMPExternal/MS+Azure+ATO+Letters" TargetMode="External"/><Relationship Id="rId2503" Type="http://schemas.openxmlformats.org/officeDocument/2006/relationships/hyperlink" Target="https://marketplace.fedramp.gov/img/logos/CSP_logos/Virtustream%20Logo.jpg" TargetMode="External"/><Relationship Id="rId3833" Type="http://schemas.openxmlformats.org/officeDocument/2006/relationships/hyperlink" Target="https://marketplace.fedramp.gov/img/logos/Agency_logos/Peace%20Corps%20Logo.jpg" TargetMode="External"/><Relationship Id="rId2504" Type="http://schemas.openxmlformats.org/officeDocument/2006/relationships/hyperlink" Target="https://marketplace.fedramp.gov/img/logos/Agency_logos/US-DeptOfTheInterior-Seal.png" TargetMode="External"/><Relationship Id="rId3836" Type="http://schemas.openxmlformats.org/officeDocument/2006/relationships/hyperlink" Target="http://azure.microsoft.com/en-us/" TargetMode="External"/><Relationship Id="rId2505" Type="http://schemas.openxmlformats.org/officeDocument/2006/relationships/hyperlink" Target="https://community.max.gov/x/3YEYLg" TargetMode="External"/><Relationship Id="rId3835" Type="http://schemas.openxmlformats.org/officeDocument/2006/relationships/hyperlink" Target="https://community.max.gov/download/attachments/1155204218/ATO.Letter_MSAzure_DoC_USPTO_7.31.18.pdf?api=v2" TargetMode="External"/><Relationship Id="rId2506" Type="http://schemas.openxmlformats.org/officeDocument/2006/relationships/hyperlink" Target="https://community.max.gov/download/attachments/920093566/ATO.Letter_MAXGSS_DoD_DISA_07.17.17.PDF?api=v2" TargetMode="External"/><Relationship Id="rId3838" Type="http://schemas.openxmlformats.org/officeDocument/2006/relationships/hyperlink" Target="https://marketplace.fedramp.gov/img/logos/Agency_logos/US-DeptOfCommerce-Seal.png" TargetMode="External"/><Relationship Id="rId2507" Type="http://schemas.openxmlformats.org/officeDocument/2006/relationships/hyperlink" Target="https://www.MAX.gov" TargetMode="External"/><Relationship Id="rId3837" Type="http://schemas.openxmlformats.org/officeDocument/2006/relationships/hyperlink" Target="https://marketplace.fedramp.gov/img/logos/CSP_logos/Microsoft%20Logo.jpg" TargetMode="External"/><Relationship Id="rId2508" Type="http://schemas.openxmlformats.org/officeDocument/2006/relationships/hyperlink" Target="https://marketplace.fedramp.gov/img/logos/CSP_logos/OMB%20Logo.jpg" TargetMode="External"/><Relationship Id="rId2509" Type="http://schemas.openxmlformats.org/officeDocument/2006/relationships/hyperlink" Target="https://marketplace.fedramp.gov/img/logos/Agency_logos/United_States_Department_of_Defense_Seal.png" TargetMode="External"/><Relationship Id="rId3839" Type="http://schemas.openxmlformats.org/officeDocument/2006/relationships/hyperlink" Target="https://community.max.gov/x/3JC6L" TargetMode="External"/><Relationship Id="rId3830" Type="http://schemas.openxmlformats.org/officeDocument/2006/relationships/hyperlink" Target="https://community.max.gov/download/attachments/992346701/ATO.Letter_MicroPact_PC_8.9.18.pdf?api=v2" TargetMode="External"/><Relationship Id="rId3821" Type="http://schemas.openxmlformats.org/officeDocument/2006/relationships/hyperlink" Target="http://www.zscaler.com" TargetMode="External"/><Relationship Id="rId3820" Type="http://schemas.openxmlformats.org/officeDocument/2006/relationships/hyperlink" Target="https://community.max.gov/download/attachments/1544555797/FCC-ZPA-FedRAMP-ATO-Letter%20-%20Signed.pdf?api=v2" TargetMode="External"/><Relationship Id="rId3823" Type="http://schemas.openxmlformats.org/officeDocument/2006/relationships/hyperlink" Target="https://marketplace.fedramp.gov/img/logos/Agency_logos/US-FCC-Seal.png" TargetMode="External"/><Relationship Id="rId3822" Type="http://schemas.openxmlformats.org/officeDocument/2006/relationships/hyperlink" Target="https://marketplace.fedramp.gov/img/logos/CSP_logos/Zscaler%20Logo.jpg" TargetMode="External"/><Relationship Id="rId3825" Type="http://schemas.openxmlformats.org/officeDocument/2006/relationships/hyperlink" Target="https://community.max.gov/download/attachments/1469416733/ATO.Letter_Acendre_FHFA_7.12.18.pdf?api=v2" TargetMode="External"/><Relationship Id="rId3824" Type="http://schemas.openxmlformats.org/officeDocument/2006/relationships/hyperlink" Target="https://community.max.gov/x/zQKpPg" TargetMode="External"/><Relationship Id="rId3827" Type="http://schemas.openxmlformats.org/officeDocument/2006/relationships/hyperlink" Target="https://marketplace.fedramp.gov/img/logos/CSP_logos/Acendre%20Logo.jpg" TargetMode="External"/><Relationship Id="rId3826" Type="http://schemas.openxmlformats.org/officeDocument/2006/relationships/hyperlink" Target="https://www.acendre.com" TargetMode="External"/><Relationship Id="rId3829" Type="http://schemas.openxmlformats.org/officeDocument/2006/relationships/hyperlink" Target="https://community.max.gov/x/GgwdJg" TargetMode="External"/><Relationship Id="rId3828" Type="http://schemas.openxmlformats.org/officeDocument/2006/relationships/hyperlink" Target="https://marketplace.fedramp.gov/img/logos/Agency_logos/FHFA%20Logo.jpg" TargetMode="External"/><Relationship Id="rId2522" Type="http://schemas.openxmlformats.org/officeDocument/2006/relationships/hyperlink" Target="http://www.salesforce.com/industries/public-sector" TargetMode="External"/><Relationship Id="rId3854" Type="http://schemas.openxmlformats.org/officeDocument/2006/relationships/hyperlink" Target="https://community.max.gov/x/6wCXNg" TargetMode="External"/><Relationship Id="rId2523" Type="http://schemas.openxmlformats.org/officeDocument/2006/relationships/hyperlink" Target="https://marketplace.fedramp.gov/img/logos/CSP_logos/Salesforce%20Logo.jpg" TargetMode="External"/><Relationship Id="rId3853" Type="http://schemas.openxmlformats.org/officeDocument/2006/relationships/hyperlink" Target="https://marketplace.fedramp.gov/img/logos/Agency_logos/US-DeptOfCommerce-Seal.png" TargetMode="External"/><Relationship Id="rId2524" Type="http://schemas.openxmlformats.org/officeDocument/2006/relationships/hyperlink" Target="https://marketplace.fedramp.gov/img/logos/Agency_logos/US-SocialSecurityAdmin-Seal.png" TargetMode="External"/><Relationship Id="rId3856" Type="http://schemas.openxmlformats.org/officeDocument/2006/relationships/hyperlink" Target="http://www.1901group.com" TargetMode="External"/><Relationship Id="rId2525" Type="http://schemas.openxmlformats.org/officeDocument/2006/relationships/hyperlink" Target="https://community.max.gov/x/nAG9PQ" TargetMode="External"/><Relationship Id="rId3855" Type="http://schemas.openxmlformats.org/officeDocument/2006/relationships/hyperlink" Target="https://community.max.gov/download/attachments/915866150/ATO.Letter_1901_USAB_7.26.18.pdf?api=v2" TargetMode="External"/><Relationship Id="rId2526" Type="http://schemas.openxmlformats.org/officeDocument/2006/relationships/hyperlink" Target="https://community.max.gov/download/attachments/1179582858/ATO.Letter_MSCRMOL_SSA_02.07.17.pdf?api=v2" TargetMode="External"/><Relationship Id="rId3858" Type="http://schemas.openxmlformats.org/officeDocument/2006/relationships/hyperlink" Target="https://marketplace.fedramp.gov/img/logos/Agency_logos/USAB%20Logo.jpg" TargetMode="External"/><Relationship Id="rId2527" Type="http://schemas.openxmlformats.org/officeDocument/2006/relationships/hyperlink" Target="https://www.microsoft.com/en-us/dynamics/public-sector.aspx" TargetMode="External"/><Relationship Id="rId3857" Type="http://schemas.openxmlformats.org/officeDocument/2006/relationships/hyperlink" Target="https://marketplace.fedramp.gov/img/logos/CSP_logos/1901%20Logo.jpg" TargetMode="External"/><Relationship Id="rId2528" Type="http://schemas.openxmlformats.org/officeDocument/2006/relationships/hyperlink" Target="https://marketplace.fedramp.gov/img/logos/CSP_logos/Microsoft%20Logo.jpg" TargetMode="External"/><Relationship Id="rId2529" Type="http://schemas.openxmlformats.org/officeDocument/2006/relationships/hyperlink" Target="https://marketplace.fedramp.gov/img/logos/Agency_logos/US-SocialSecurityAdmin-Seal.png" TargetMode="External"/><Relationship Id="rId3859" Type="http://schemas.openxmlformats.org/officeDocument/2006/relationships/hyperlink" Target="https://community.max.gov/x/FgQpLg" TargetMode="External"/><Relationship Id="rId3850" Type="http://schemas.openxmlformats.org/officeDocument/2006/relationships/hyperlink" Target="https://community.max.gov/download/attachments/992346701/ATO.Letter_MicroPact_DoC_USPTO_5.18.18.pdf?api=v2" TargetMode="External"/><Relationship Id="rId2520" Type="http://schemas.openxmlformats.org/officeDocument/2006/relationships/hyperlink" Target="https://community.max.gov/x/eQs3Kw" TargetMode="External"/><Relationship Id="rId3852" Type="http://schemas.openxmlformats.org/officeDocument/2006/relationships/hyperlink" Target="https://marketplace.fedramp.gov/img/logos/CSP_logos/MicroPact%20Logo.jpg" TargetMode="External"/><Relationship Id="rId2521" Type="http://schemas.openxmlformats.org/officeDocument/2006/relationships/hyperlink" Target="https://community.max.gov/download/attachments/992346725/ATO.Letter_Salesforce_SSA_02.07.17.pdf?api=v2" TargetMode="External"/><Relationship Id="rId3851" Type="http://schemas.openxmlformats.org/officeDocument/2006/relationships/hyperlink" Target="http://www.micropact.com" TargetMode="External"/><Relationship Id="rId2511" Type="http://schemas.openxmlformats.org/officeDocument/2006/relationships/hyperlink" Target="https://community.max.gov/download/attachments/920093586/ATO.Letter_MAXSS_DoD_DISA_07.17.17.PDF?api=v2" TargetMode="External"/><Relationship Id="rId3843" Type="http://schemas.openxmlformats.org/officeDocument/2006/relationships/hyperlink" Target="https://marketplace.fedramp.gov/img/logos/Agency_logos/US-DeptOfCommerce-Seal.png" TargetMode="External"/><Relationship Id="rId2512" Type="http://schemas.openxmlformats.org/officeDocument/2006/relationships/hyperlink" Target="https://www.MAX.gov" TargetMode="External"/><Relationship Id="rId3842" Type="http://schemas.openxmlformats.org/officeDocument/2006/relationships/hyperlink" Target="https://marketplace.fedramp.gov/img/logos/CSP_logos/Microsoft%20Logo.jpg" TargetMode="External"/><Relationship Id="rId2513" Type="http://schemas.openxmlformats.org/officeDocument/2006/relationships/hyperlink" Target="https://marketplace.fedramp.gov/img/logos/CSP_logos/OMB%20Logo.jpg" TargetMode="External"/><Relationship Id="rId3845" Type="http://schemas.openxmlformats.org/officeDocument/2006/relationships/hyperlink" Target="https://community.max.gov/download/attachments/992346701/ATO.Letter_MicroPact_DoC_USPTO_7.18.18.pdf?api=v2" TargetMode="External"/><Relationship Id="rId2514" Type="http://schemas.openxmlformats.org/officeDocument/2006/relationships/hyperlink" Target="https://marketplace.fedramp.gov/img/logos/Agency_logos/United_States_Department_of_Defense_Seal.png" TargetMode="External"/><Relationship Id="rId3844" Type="http://schemas.openxmlformats.org/officeDocument/2006/relationships/hyperlink" Target="https://community.max.gov/x/GgwdJg" TargetMode="External"/><Relationship Id="rId2515" Type="http://schemas.openxmlformats.org/officeDocument/2006/relationships/hyperlink" Target="https://community.max.gov/x/RgLbR" TargetMode="External"/><Relationship Id="rId3847" Type="http://schemas.openxmlformats.org/officeDocument/2006/relationships/hyperlink" Target="https://marketplace.fedramp.gov/img/logos/CSP_logos/MicroPact%20Logo.jpg" TargetMode="External"/><Relationship Id="rId2516" Type="http://schemas.openxmlformats.org/officeDocument/2006/relationships/hyperlink" Target="https://community.max.gov/download/attachments/1155203654/ATO.Letter_IBMSCG_DoD_DHMS_06.28.17.pdf?api=v2" TargetMode="External"/><Relationship Id="rId3846" Type="http://schemas.openxmlformats.org/officeDocument/2006/relationships/hyperlink" Target="http://www.micropact.com" TargetMode="External"/><Relationship Id="rId2517" Type="http://schemas.openxmlformats.org/officeDocument/2006/relationships/hyperlink" Target="http://www-01.ibm.com/software/lotus/cloud/government/" TargetMode="External"/><Relationship Id="rId3849" Type="http://schemas.openxmlformats.org/officeDocument/2006/relationships/hyperlink" Target="https://community.max.gov/x/GgwdJg" TargetMode="External"/><Relationship Id="rId2518" Type="http://schemas.openxmlformats.org/officeDocument/2006/relationships/hyperlink" Target="https://marketplace.fedramp.gov/img/logos/CSP_logos/IBM%20Logo.jpg" TargetMode="External"/><Relationship Id="rId3848" Type="http://schemas.openxmlformats.org/officeDocument/2006/relationships/hyperlink" Target="https://marketplace.fedramp.gov/img/logos/Agency_logos/US-DeptOfCommerce-Seal.png" TargetMode="External"/><Relationship Id="rId2519" Type="http://schemas.openxmlformats.org/officeDocument/2006/relationships/hyperlink" Target="https://marketplace.fedramp.gov/img/logos/Agency_logos/United_States_Department_of_Defense_Seal.png" TargetMode="External"/><Relationship Id="rId3841" Type="http://schemas.openxmlformats.org/officeDocument/2006/relationships/hyperlink" Target="http://www.microsoft.office.com" TargetMode="External"/><Relationship Id="rId2510" Type="http://schemas.openxmlformats.org/officeDocument/2006/relationships/hyperlink" Target="https://community.max.gov/x/4IEYLg" TargetMode="External"/><Relationship Id="rId3840" Type="http://schemas.openxmlformats.org/officeDocument/2006/relationships/hyperlink" Target="https://community.max.gov/download/attachments/992346706/ATO.Letter_MSO365_DoC_USPTO_7.31.18.pdf?api=v2" TargetMode="External"/><Relationship Id="rId469" Type="http://schemas.openxmlformats.org/officeDocument/2006/relationships/hyperlink" Target="https://community.max.gov/download/attachments/992346654/ATO.Letter_BlackMesh_DOE_04.08.15.pdf?api=v2" TargetMode="External"/><Relationship Id="rId468" Type="http://schemas.openxmlformats.org/officeDocument/2006/relationships/hyperlink" Target="https://community.max.gov/x/VgJbMg" TargetMode="External"/><Relationship Id="rId467" Type="http://schemas.openxmlformats.org/officeDocument/2006/relationships/hyperlink" Target="https://marketplace.fedramp.gov/img/logos/Agency_logos/United_States_Department_of_Defense_Seal.png" TargetMode="External"/><Relationship Id="rId1290" Type="http://schemas.openxmlformats.org/officeDocument/2006/relationships/hyperlink" Target="https://marketplace.fedramp.gov/img/logos/CSP_logos/Amazon%20Logo.jpg" TargetMode="External"/><Relationship Id="rId1291" Type="http://schemas.openxmlformats.org/officeDocument/2006/relationships/hyperlink" Target="https://marketplace.fedramp.gov/img/logos/Agency_logos/United_States_Department_of_Defense_Seal.png" TargetMode="External"/><Relationship Id="rId1292" Type="http://schemas.openxmlformats.org/officeDocument/2006/relationships/hyperlink" Target="https://community.max.gov/x/DpBJK" TargetMode="External"/><Relationship Id="rId462" Type="http://schemas.openxmlformats.org/officeDocument/2006/relationships/hyperlink" Target="https://marketplace.fedramp.gov/img/logos/Agency_logos/Seal_of_the_United_States_Department_of_Justice.png" TargetMode="External"/><Relationship Id="rId1293" Type="http://schemas.openxmlformats.org/officeDocument/2006/relationships/hyperlink" Target="https://community.max.gov/download/attachments/1113425425/ATO%20Letter_AWSGC_DOD_Navy__12.14.15.pdf?api=v2" TargetMode="External"/><Relationship Id="rId461" Type="http://schemas.openxmlformats.org/officeDocument/2006/relationships/hyperlink" Target="https://marketplace.fedramp.gov/img/logos/CSP_logos/Avue%20Logo.jpg" TargetMode="External"/><Relationship Id="rId1294" Type="http://schemas.openxmlformats.org/officeDocument/2006/relationships/hyperlink" Target="http://www.aws.amazon.com" TargetMode="External"/><Relationship Id="rId460" Type="http://schemas.openxmlformats.org/officeDocument/2006/relationships/hyperlink" Target="http://www.avuetech.com/" TargetMode="External"/><Relationship Id="rId1295" Type="http://schemas.openxmlformats.org/officeDocument/2006/relationships/hyperlink" Target="https://marketplace.fedramp.gov/img/logos/CSP_logos/Amazon%20Logo.jpg" TargetMode="External"/><Relationship Id="rId1296" Type="http://schemas.openxmlformats.org/officeDocument/2006/relationships/hyperlink" Target="https://marketplace.fedramp.gov/img/logos/Agency_logos/United_States_Department_of_Defense_Seal.png" TargetMode="External"/><Relationship Id="rId466" Type="http://schemas.openxmlformats.org/officeDocument/2006/relationships/hyperlink" Target="https://marketplace.fedramp.gov/img/logos/CSP_logos/Avue%20Logo.jpg" TargetMode="External"/><Relationship Id="rId1297" Type="http://schemas.openxmlformats.org/officeDocument/2006/relationships/hyperlink" Target="https://community.max.gov/x/DpBJK" TargetMode="External"/><Relationship Id="rId465" Type="http://schemas.openxmlformats.org/officeDocument/2006/relationships/hyperlink" Target="http://www.avuetech.com/" TargetMode="External"/><Relationship Id="rId1298" Type="http://schemas.openxmlformats.org/officeDocument/2006/relationships/hyperlink" Target="https://community.max.gov/download/attachments/858489309/ATO%20Letter_AWSEW_DVA__11.06.15.pdf?api=v2" TargetMode="External"/><Relationship Id="rId464" Type="http://schemas.openxmlformats.org/officeDocument/2006/relationships/hyperlink" Target="https://community.max.gov/download/attachments/1510411522/ATO.Letter_Avue_DOD.DISA_6.11.15.pdf?api=v2" TargetMode="External"/><Relationship Id="rId1299" Type="http://schemas.openxmlformats.org/officeDocument/2006/relationships/hyperlink" Target="http://www.aws.amazon.com" TargetMode="External"/><Relationship Id="rId463" Type="http://schemas.openxmlformats.org/officeDocument/2006/relationships/hyperlink" Target="https://community.max.gov/x/NYE7Mw" TargetMode="External"/><Relationship Id="rId459" Type="http://schemas.openxmlformats.org/officeDocument/2006/relationships/hyperlink" Target="https://community.max.gov/download/attachments/1510411522/ATO.Letter_Avue_DOJ_03.27.15.pdf?api=v2" TargetMode="External"/><Relationship Id="rId458" Type="http://schemas.openxmlformats.org/officeDocument/2006/relationships/hyperlink" Target="https://community.max.gov/x/NYE7Mw" TargetMode="External"/><Relationship Id="rId457" Type="http://schemas.openxmlformats.org/officeDocument/2006/relationships/hyperlink" Target="https://marketplace.fedramp.gov/img/logos/CSP_logos/ARC-P%20Logo.jpg" TargetMode="External"/><Relationship Id="rId456" Type="http://schemas.openxmlformats.org/officeDocument/2006/relationships/hyperlink" Target="http://www.autonomicresources.com" TargetMode="External"/><Relationship Id="rId1280" Type="http://schemas.openxmlformats.org/officeDocument/2006/relationships/hyperlink" Target="https://marketplace.fedramp.gov/img/logos/CSP_logos/Amazon%20Logo.jpg" TargetMode="External"/><Relationship Id="rId1281" Type="http://schemas.openxmlformats.org/officeDocument/2006/relationships/hyperlink" Target="https://marketplace.fedramp.gov/img/logos/Agency_logos/US-DeptOfCommerce-Seal.png" TargetMode="External"/><Relationship Id="rId451" Type="http://schemas.openxmlformats.org/officeDocument/2006/relationships/hyperlink" Target="http://www.autonomicresources.com" TargetMode="External"/><Relationship Id="rId1282" Type="http://schemas.openxmlformats.org/officeDocument/2006/relationships/hyperlink" Target="https://community.max.gov/x/DpBJK" TargetMode="External"/><Relationship Id="rId450" Type="http://schemas.openxmlformats.org/officeDocument/2006/relationships/hyperlink" Target="https://community.max.gov/download/attachments/1155204092/ATO.Letter_ARC-P_DOD.DISA_3.26.15.pdf?api=v2" TargetMode="External"/><Relationship Id="rId1283" Type="http://schemas.openxmlformats.org/officeDocument/2006/relationships/hyperlink" Target="https://community.max.gov/download/attachments/858489309/ATO%20Letter_AWSGC_AWSEW_DOC__05.12.16.pdf?api=v2" TargetMode="External"/><Relationship Id="rId1284" Type="http://schemas.openxmlformats.org/officeDocument/2006/relationships/hyperlink" Target="http://www.aws.amazon.com" TargetMode="External"/><Relationship Id="rId1285" Type="http://schemas.openxmlformats.org/officeDocument/2006/relationships/hyperlink" Target="https://marketplace.fedramp.gov/img/logos/CSP_logos/Amazon%20Logo.jpg" TargetMode="External"/><Relationship Id="rId455" Type="http://schemas.openxmlformats.org/officeDocument/2006/relationships/hyperlink" Target="https://community.max.gov/download/attachments/1116602743/P-ATO_ARCWRX_09.24.15.pdf?api=v2" TargetMode="External"/><Relationship Id="rId1286" Type="http://schemas.openxmlformats.org/officeDocument/2006/relationships/hyperlink" Target="https://marketplace.fedramp.gov/img/logos/Agency_logos/US-DeptOfCommerce-Seal.png" TargetMode="External"/><Relationship Id="rId454" Type="http://schemas.openxmlformats.org/officeDocument/2006/relationships/hyperlink" Target="https://community.max.gov/x/OoJqLg" TargetMode="External"/><Relationship Id="rId1287" Type="http://schemas.openxmlformats.org/officeDocument/2006/relationships/hyperlink" Target="https://community.max.gov/x/DpBJK" TargetMode="External"/><Relationship Id="rId453" Type="http://schemas.openxmlformats.org/officeDocument/2006/relationships/hyperlink" Target="https://marketplace.fedramp.gov/img/logos/Agency_logos/United_States_Department_of_Defense_Seal.png" TargetMode="External"/><Relationship Id="rId1288" Type="http://schemas.openxmlformats.org/officeDocument/2006/relationships/hyperlink" Target="https://community.max.gov/download/attachments/1113425425/ATO%20Letter_AWSGC_DOD_DHA__04.18.16.pdf?api=v2" TargetMode="External"/><Relationship Id="rId452" Type="http://schemas.openxmlformats.org/officeDocument/2006/relationships/hyperlink" Target="https://marketplace.fedramp.gov/img/logos/CSP_logos/ARC-P%20Logo.jpg" TargetMode="External"/><Relationship Id="rId1289" Type="http://schemas.openxmlformats.org/officeDocument/2006/relationships/hyperlink" Target="http://www.aws.amazon.com" TargetMode="External"/><Relationship Id="rId3018" Type="http://schemas.openxmlformats.org/officeDocument/2006/relationships/hyperlink" Target="https://www.springcm.com/" TargetMode="External"/><Relationship Id="rId3017" Type="http://schemas.openxmlformats.org/officeDocument/2006/relationships/hyperlink" Target="https://community.max.gov/download/attachments/1162777036/ATO.Letter_SpringCM_USDA_7.13.17.pdf?api=v2" TargetMode="External"/><Relationship Id="rId3019" Type="http://schemas.openxmlformats.org/officeDocument/2006/relationships/hyperlink" Target="https://marketplace.fedramp.gov/img/logos/CSP_logos/SpringCM%20Logo.jpg" TargetMode="External"/><Relationship Id="rId491" Type="http://schemas.openxmlformats.org/officeDocument/2006/relationships/hyperlink" Target="https://marketplace.fedramp.gov/img/logos/Agency_logos/United_States_Department_of_Defense_Seal.png" TargetMode="External"/><Relationship Id="rId490" Type="http://schemas.openxmlformats.org/officeDocument/2006/relationships/hyperlink" Target="http://www.ctc.com/" TargetMode="External"/><Relationship Id="rId489" Type="http://schemas.openxmlformats.org/officeDocument/2006/relationships/hyperlink" Target="mailto:heckm@ctc.com" TargetMode="External"/><Relationship Id="rId484" Type="http://schemas.openxmlformats.org/officeDocument/2006/relationships/hyperlink" Target="mailto:chris.grady@cleargovsolutions.com" TargetMode="External"/><Relationship Id="rId3010" Type="http://schemas.openxmlformats.org/officeDocument/2006/relationships/hyperlink" Target="https://marketplace.fedramp.gov/img/logos/Agency_logos/US-DeptOfAgriculture-Seal2.png" TargetMode="External"/><Relationship Id="rId483" Type="http://schemas.openxmlformats.org/officeDocument/2006/relationships/hyperlink" Target="https://community.max.gov/download/attachments/1153174291/ATO.Letter_CGS_DOD.DISA_3.26.15.pdf?api=v2" TargetMode="External"/><Relationship Id="rId482" Type="http://schemas.openxmlformats.org/officeDocument/2006/relationships/hyperlink" Target="https://community.max.gov/x/p4i8Jw" TargetMode="External"/><Relationship Id="rId3012" Type="http://schemas.openxmlformats.org/officeDocument/2006/relationships/hyperlink" Target="https://community.max.gov/download/attachments/992346725/ATO.Letter_Salesforce_HHS_1.25.18.pdf?api=v2" TargetMode="External"/><Relationship Id="rId481" Type="http://schemas.openxmlformats.org/officeDocument/2006/relationships/hyperlink" Target="http://www.cleargovsolutions.com/" TargetMode="External"/><Relationship Id="rId3011" Type="http://schemas.openxmlformats.org/officeDocument/2006/relationships/hyperlink" Target="https://community.max.gov/x/eQs3Kw" TargetMode="External"/><Relationship Id="rId488" Type="http://schemas.openxmlformats.org/officeDocument/2006/relationships/hyperlink" Target="https://community.max.gov/download/attachments/1153174318/ATO.Letter_CTC_DOD.DISA_3.26.15.pdf?api=v2" TargetMode="External"/><Relationship Id="rId3014" Type="http://schemas.openxmlformats.org/officeDocument/2006/relationships/hyperlink" Target="https://marketplace.fedramp.gov/img/logos/CSP_logos/Salesforce%20Logo.jpg" TargetMode="External"/><Relationship Id="rId487" Type="http://schemas.openxmlformats.org/officeDocument/2006/relationships/hyperlink" Target="https://community.max.gov/x/yxUGJg" TargetMode="External"/><Relationship Id="rId3013" Type="http://schemas.openxmlformats.org/officeDocument/2006/relationships/hyperlink" Target="http://www.salesforce.com/industries/public-sector" TargetMode="External"/><Relationship Id="rId486" Type="http://schemas.openxmlformats.org/officeDocument/2006/relationships/hyperlink" Target="https://marketplace.fedramp.gov/img/logos/Agency_logos/United_States_Department_of_Defense_Seal.png" TargetMode="External"/><Relationship Id="rId3016" Type="http://schemas.openxmlformats.org/officeDocument/2006/relationships/hyperlink" Target="https://community.max.gov/x/xpFORQ" TargetMode="External"/><Relationship Id="rId485" Type="http://schemas.openxmlformats.org/officeDocument/2006/relationships/hyperlink" Target="http://www.cleargovsolutions.com/" TargetMode="External"/><Relationship Id="rId3015" Type="http://schemas.openxmlformats.org/officeDocument/2006/relationships/hyperlink" Target="https://marketplace.fedramp.gov/img/logos/Agency_logos/US-DeptOfHHS-Seal.png" TargetMode="External"/><Relationship Id="rId3007" Type="http://schemas.openxmlformats.org/officeDocument/2006/relationships/hyperlink" Target="https://community.max.gov/download/attachments/1116602815/ATO.Letter_Akamai_USDA_9.13.17.pdf?api=v2" TargetMode="External"/><Relationship Id="rId3006" Type="http://schemas.openxmlformats.org/officeDocument/2006/relationships/hyperlink" Target="https://community.max.gov/x/wgmOJQ" TargetMode="External"/><Relationship Id="rId3009" Type="http://schemas.openxmlformats.org/officeDocument/2006/relationships/hyperlink" Target="https://marketplace.fedramp.gov/img/logos/CSP_logos/Akamai%20Logo.jpg" TargetMode="External"/><Relationship Id="rId3008" Type="http://schemas.openxmlformats.org/officeDocument/2006/relationships/hyperlink" Target="http://www.akamai.com" TargetMode="External"/><Relationship Id="rId480" Type="http://schemas.openxmlformats.org/officeDocument/2006/relationships/hyperlink" Target="mailto:chris.grady@cleargovsolutions.com" TargetMode="External"/><Relationship Id="rId479" Type="http://schemas.openxmlformats.org/officeDocument/2006/relationships/hyperlink" Target="https://community.max.gov/download/attachments/1153174291/P-ATO_CGS_10.20.14.pdf?api=v2" TargetMode="External"/><Relationship Id="rId478" Type="http://schemas.openxmlformats.org/officeDocument/2006/relationships/hyperlink" Target="https://community.max.gov/x/p4i8Jw" TargetMode="External"/><Relationship Id="rId473" Type="http://schemas.openxmlformats.org/officeDocument/2006/relationships/hyperlink" Target="https://community.max.gov/x/VgJbMg" TargetMode="External"/><Relationship Id="rId472" Type="http://schemas.openxmlformats.org/officeDocument/2006/relationships/hyperlink" Target="https://marketplace.fedramp.gov/img/logos/Agency_logos/US-DeptOfEnergy-Seal.png" TargetMode="External"/><Relationship Id="rId471" Type="http://schemas.openxmlformats.org/officeDocument/2006/relationships/hyperlink" Target="https://marketplace.fedramp.gov/img/logos/CSP_logos/Blackmesh%20Logo.jpg" TargetMode="External"/><Relationship Id="rId3001" Type="http://schemas.openxmlformats.org/officeDocument/2006/relationships/hyperlink" Target="https://community.max.gov/x/vQIZOg" TargetMode="External"/><Relationship Id="rId470" Type="http://schemas.openxmlformats.org/officeDocument/2006/relationships/hyperlink" Target="http://www.blackmesh.com" TargetMode="External"/><Relationship Id="rId3000" Type="http://schemas.openxmlformats.org/officeDocument/2006/relationships/hyperlink" Target="https://marketplace.fedramp.gov/img/logos/Agency_logos/US-DeptOfAgriculture-Seal2.png" TargetMode="External"/><Relationship Id="rId477" Type="http://schemas.openxmlformats.org/officeDocument/2006/relationships/hyperlink" Target="https://marketplace.fedramp.gov/img/logos/Agency_logos/United_States_Department_of_Defense_Seal.png" TargetMode="External"/><Relationship Id="rId3003" Type="http://schemas.openxmlformats.org/officeDocument/2006/relationships/hyperlink" Target="http://www.proofpoint.com" TargetMode="External"/><Relationship Id="rId476" Type="http://schemas.openxmlformats.org/officeDocument/2006/relationships/hyperlink" Target="https://marketplace.fedramp.gov/img/logos/CSP_logos/Blackmesh%20Logo.jpg" TargetMode="External"/><Relationship Id="rId3002" Type="http://schemas.openxmlformats.org/officeDocument/2006/relationships/hyperlink" Target="https://community.max.gov/download/attachments/974717633/ATO.Letter_Proofpoint_USDA_10.11.17.pdf?api=v2" TargetMode="External"/><Relationship Id="rId475" Type="http://schemas.openxmlformats.org/officeDocument/2006/relationships/hyperlink" Target="http://www.blackmesh.com" TargetMode="External"/><Relationship Id="rId3005" Type="http://schemas.openxmlformats.org/officeDocument/2006/relationships/hyperlink" Target="https://marketplace.fedramp.gov/img/logos/Agency_logos/US-DeptOfAgriculture-Seal2.png" TargetMode="External"/><Relationship Id="rId474" Type="http://schemas.openxmlformats.org/officeDocument/2006/relationships/hyperlink" Target="https://community.max.gov/download/attachments/992346654/ATO.Letter_Blackmesh_DOD.DISA_6.11.15.pdf?api=v2" TargetMode="External"/><Relationship Id="rId3004" Type="http://schemas.openxmlformats.org/officeDocument/2006/relationships/hyperlink" Target="https://marketplace.fedramp.gov/img/logos/CSP_logos/Proofpoint%20Logo.jpg" TargetMode="External"/><Relationship Id="rId1257" Type="http://schemas.openxmlformats.org/officeDocument/2006/relationships/hyperlink" Target="https://community.max.gov/x/3JC6L" TargetMode="External"/><Relationship Id="rId2588" Type="http://schemas.openxmlformats.org/officeDocument/2006/relationships/hyperlink" Target="https://marketplace.fedramp.gov/img/logos/CSP_logos/Akamai%20Logo.jpg" TargetMode="External"/><Relationship Id="rId1258" Type="http://schemas.openxmlformats.org/officeDocument/2006/relationships/hyperlink" Target="https://community.max.gov/download/attachments/992346706/ATO%20Letter_MSO365_STB_06.14.16.PDF?api=v2" TargetMode="External"/><Relationship Id="rId2589" Type="http://schemas.openxmlformats.org/officeDocument/2006/relationships/hyperlink" Target="https://marketplace.fedramp.gov/img/logos/Agency_logos/US-DeptOfLabor-Seal-AltColors.svg.png" TargetMode="External"/><Relationship Id="rId1259" Type="http://schemas.openxmlformats.org/officeDocument/2006/relationships/hyperlink" Target="http://www.microsoft.office.com" TargetMode="External"/><Relationship Id="rId426" Type="http://schemas.openxmlformats.org/officeDocument/2006/relationships/hyperlink" Target="https://community.max.gov/download/attachments/1113425425/ATO.Letter_AWS.GC_NLRB_10.24.14.pdf?api=v2" TargetMode="External"/><Relationship Id="rId425" Type="http://schemas.openxmlformats.org/officeDocument/2006/relationships/hyperlink" Target="https://community.max.gov/x/ApBJK" TargetMode="External"/><Relationship Id="rId424" Type="http://schemas.openxmlformats.org/officeDocument/2006/relationships/hyperlink" Target="https://marketplace.fedramp.gov/img/logos/Agency_logos/US-DeptOfCommerce-Seal.png" TargetMode="External"/><Relationship Id="rId423" Type="http://schemas.openxmlformats.org/officeDocument/2006/relationships/hyperlink" Target="https://marketplace.fedramp.gov/img/logos/CSP_logos/Arcanum%20Logo.jpg" TargetMode="External"/><Relationship Id="rId429" Type="http://schemas.openxmlformats.org/officeDocument/2006/relationships/hyperlink" Target="https://marketplace.fedramp.gov/img/logos/Agency_logos/National_Labor_Relations_Board_logo_-_color.png" TargetMode="External"/><Relationship Id="rId428" Type="http://schemas.openxmlformats.org/officeDocument/2006/relationships/hyperlink" Target="https://marketplace.fedramp.gov/img/logos/CSP_logos/Amazon%20Logo.jpg" TargetMode="External"/><Relationship Id="rId427" Type="http://schemas.openxmlformats.org/officeDocument/2006/relationships/hyperlink" Target="http://www.aws.amazon.com" TargetMode="External"/><Relationship Id="rId2580" Type="http://schemas.openxmlformats.org/officeDocument/2006/relationships/hyperlink" Target="https://community.max.gov/x/eQs3Kw" TargetMode="External"/><Relationship Id="rId1250" Type="http://schemas.openxmlformats.org/officeDocument/2006/relationships/hyperlink" Target="http://www.skyhighnetworks.com" TargetMode="External"/><Relationship Id="rId2581" Type="http://schemas.openxmlformats.org/officeDocument/2006/relationships/hyperlink" Target="https://community.max.gov/download/attachments/992346725/ATO.Letter_Salesforce_DoL_07.24.17.pdf?api=v2" TargetMode="External"/><Relationship Id="rId1251" Type="http://schemas.openxmlformats.org/officeDocument/2006/relationships/hyperlink" Target="https://marketplace.fedramp.gov/img/logos/CSP_logos/Skyhigh%20Logo.jpg" TargetMode="External"/><Relationship Id="rId2582" Type="http://schemas.openxmlformats.org/officeDocument/2006/relationships/hyperlink" Target="http://www.salesforce.com/industries/public-sector" TargetMode="External"/><Relationship Id="rId1252" Type="http://schemas.openxmlformats.org/officeDocument/2006/relationships/hyperlink" Target="https://community.max.gov/x/9QLJO" TargetMode="External"/><Relationship Id="rId2583" Type="http://schemas.openxmlformats.org/officeDocument/2006/relationships/hyperlink" Target="https://marketplace.fedramp.gov/img/logos/CSP_logos/Salesforce%20Logo.jpg" TargetMode="External"/><Relationship Id="rId422" Type="http://schemas.openxmlformats.org/officeDocument/2006/relationships/hyperlink" Target="http://www.thearcanumgroup.com" TargetMode="External"/><Relationship Id="rId1253" Type="http://schemas.openxmlformats.org/officeDocument/2006/relationships/hyperlink" Target="https://community.max.gov/download/attachments/1115488830/ATO%20Letter_Accenture_NSF_06.20.16.pdf?api=v2" TargetMode="External"/><Relationship Id="rId2584" Type="http://schemas.openxmlformats.org/officeDocument/2006/relationships/hyperlink" Target="https://marketplace.fedramp.gov/img/logos/Agency_logos/US-DeptOfLabor-Seal-AltColors.svg.png" TargetMode="External"/><Relationship Id="rId421" Type="http://schemas.openxmlformats.org/officeDocument/2006/relationships/hyperlink" Target="https://community.max.gov/download/attachments/944865902/ATO.Letter_Arcanum_DOC.Census_09.24.15.pdf?api=v2" TargetMode="External"/><Relationship Id="rId1254" Type="http://schemas.openxmlformats.org/officeDocument/2006/relationships/hyperlink" Target="https://www.accenture.com/us-en/afs-industry-index.aspx" TargetMode="External"/><Relationship Id="rId2585" Type="http://schemas.openxmlformats.org/officeDocument/2006/relationships/hyperlink" Target="https://community.max.gov/x/wgmOJQ" TargetMode="External"/><Relationship Id="rId420" Type="http://schemas.openxmlformats.org/officeDocument/2006/relationships/hyperlink" Target="https://marketplace.fedramp.gov/img/logos/Agency_logos/US-TennesseeValleyAuthority-Logo.png" TargetMode="External"/><Relationship Id="rId1255" Type="http://schemas.openxmlformats.org/officeDocument/2006/relationships/hyperlink" Target="https://marketplace.fedramp.gov/img/logos/CSP_logos/Accenture%20Logo2.jpg" TargetMode="External"/><Relationship Id="rId2586" Type="http://schemas.openxmlformats.org/officeDocument/2006/relationships/hyperlink" Target="https://community.max.gov/download/attachments/1116602815/ATO.Letter_Akamai_DoL_07.24.17.pdf?api=v2" TargetMode="External"/><Relationship Id="rId1256" Type="http://schemas.openxmlformats.org/officeDocument/2006/relationships/hyperlink" Target="https://marketplace.fedramp.gov/img/logos/Agency_logos/NSF.png" TargetMode="External"/><Relationship Id="rId2587" Type="http://schemas.openxmlformats.org/officeDocument/2006/relationships/hyperlink" Target="http://www.akamai.com" TargetMode="External"/><Relationship Id="rId1246" Type="http://schemas.openxmlformats.org/officeDocument/2006/relationships/hyperlink" Target="https://community.max.gov/x/0oCMPQ" TargetMode="External"/><Relationship Id="rId2577" Type="http://schemas.openxmlformats.org/officeDocument/2006/relationships/hyperlink" Target="http://www.granicus.com" TargetMode="External"/><Relationship Id="rId1247" Type="http://schemas.openxmlformats.org/officeDocument/2006/relationships/hyperlink" Target="http://www.qualys.com" TargetMode="External"/><Relationship Id="rId2578" Type="http://schemas.openxmlformats.org/officeDocument/2006/relationships/hyperlink" Target="https://marketplace.fedramp.gov/img/logos/CSP_logos/Granicus%20Logo.jpg" TargetMode="External"/><Relationship Id="rId1248" Type="http://schemas.openxmlformats.org/officeDocument/2006/relationships/hyperlink" Target="https://marketplace.fedramp.gov/img/logos/CSP_logos/Qualys%20Logo3.jpg" TargetMode="External"/><Relationship Id="rId2579" Type="http://schemas.openxmlformats.org/officeDocument/2006/relationships/hyperlink" Target="https://marketplace.fedramp.gov/img/logos/Agency_logos/US-DeptOfLabor-Seal-AltColors.svg.png" TargetMode="External"/><Relationship Id="rId1249" Type="http://schemas.openxmlformats.org/officeDocument/2006/relationships/hyperlink" Target="https://community.max.gov/x/YQURNQ" TargetMode="External"/><Relationship Id="rId415" Type="http://schemas.openxmlformats.org/officeDocument/2006/relationships/hyperlink" Target="https://marketplace.fedramp.gov/img/logos/Agency_logos/US-DeptOfCommerce-Seal.png" TargetMode="External"/><Relationship Id="rId414" Type="http://schemas.openxmlformats.org/officeDocument/2006/relationships/hyperlink" Target="https://marketplace.fedramp.gov/img/logos/CSP_logos/Amazon%20Logo.jpg" TargetMode="External"/><Relationship Id="rId413" Type="http://schemas.openxmlformats.org/officeDocument/2006/relationships/hyperlink" Target="http://www.aws.amazon.com" TargetMode="External"/><Relationship Id="rId412" Type="http://schemas.openxmlformats.org/officeDocument/2006/relationships/hyperlink" Target="https://community.max.gov/download/attachments/1115488742/ATO.Letter_AWS.EW_DOC_08.26.15.pdf?api=v2" TargetMode="External"/><Relationship Id="rId419" Type="http://schemas.openxmlformats.org/officeDocument/2006/relationships/hyperlink" Target="https://marketplace.fedramp.gov/img/logos/CSP_logos/Amazon%20Logo.jpg" TargetMode="External"/><Relationship Id="rId418" Type="http://schemas.openxmlformats.org/officeDocument/2006/relationships/hyperlink" Target="http://www.aws.amazon.com" TargetMode="External"/><Relationship Id="rId417" Type="http://schemas.openxmlformats.org/officeDocument/2006/relationships/hyperlink" Target="https://community.max.gov/download/attachments/1115488742/ATO.Letter_AWS.EW_TVA_06.26.15.pdf?api=v2" TargetMode="External"/><Relationship Id="rId416" Type="http://schemas.openxmlformats.org/officeDocument/2006/relationships/hyperlink" Target="https://community.max.gov/x/DpBJK" TargetMode="External"/><Relationship Id="rId2570" Type="http://schemas.openxmlformats.org/officeDocument/2006/relationships/hyperlink" Target="https://community.max.gov/x/wgmOJQ" TargetMode="External"/><Relationship Id="rId1240" Type="http://schemas.openxmlformats.org/officeDocument/2006/relationships/hyperlink" Target="https://community.max.gov/x/daF3Jg" TargetMode="External"/><Relationship Id="rId2571" Type="http://schemas.openxmlformats.org/officeDocument/2006/relationships/hyperlink" Target="https://community.max.gov/download/attachments/1116602815/ATO.Letter_Akamai_VA_03.09.17.pdf?api=v2" TargetMode="External"/><Relationship Id="rId1241" Type="http://schemas.openxmlformats.org/officeDocument/2006/relationships/hyperlink" Target="http://www.deloitte.com" TargetMode="External"/><Relationship Id="rId2572" Type="http://schemas.openxmlformats.org/officeDocument/2006/relationships/hyperlink" Target="http://www.akamai.com" TargetMode="External"/><Relationship Id="rId411" Type="http://schemas.openxmlformats.org/officeDocument/2006/relationships/hyperlink" Target="https://community.max.gov/x/DpBJK" TargetMode="External"/><Relationship Id="rId1242" Type="http://schemas.openxmlformats.org/officeDocument/2006/relationships/hyperlink" Target="https://marketplace.fedramp.gov/img/logos/CSP_logos/Deloitte%20Logo.jpg" TargetMode="External"/><Relationship Id="rId2573" Type="http://schemas.openxmlformats.org/officeDocument/2006/relationships/hyperlink" Target="https://marketplace.fedramp.gov/img/logos/CSP_logos/Akamai%20Logo.jpg" TargetMode="External"/><Relationship Id="rId410" Type="http://schemas.openxmlformats.org/officeDocument/2006/relationships/hyperlink" Target="https://marketplace.fedramp.gov/img/logos/Agency_logos/United_States_Department_of_Defense_Seal.png" TargetMode="External"/><Relationship Id="rId1243" Type="http://schemas.openxmlformats.org/officeDocument/2006/relationships/hyperlink" Target="https://community.max.gov/x/WwTOMg" TargetMode="External"/><Relationship Id="rId2574" Type="http://schemas.openxmlformats.org/officeDocument/2006/relationships/hyperlink" Target="https://marketplace.fedramp.gov/img/logos/Agency_logos/Seal_of_the_United_States_Department_of_Veterans_Affairs_(1989-2012).png" TargetMode="External"/><Relationship Id="rId1244" Type="http://schemas.openxmlformats.org/officeDocument/2006/relationships/hyperlink" Target="http://www.knightpoint.com" TargetMode="External"/><Relationship Id="rId2575" Type="http://schemas.openxmlformats.org/officeDocument/2006/relationships/hyperlink" Target="https://community.max.gov/x/FgQpLg" TargetMode="External"/><Relationship Id="rId1245" Type="http://schemas.openxmlformats.org/officeDocument/2006/relationships/hyperlink" Target="https://marketplace.fedramp.gov/img/logos/CSP_logos/Knightpoint%20Logo.jpg" TargetMode="External"/><Relationship Id="rId2576" Type="http://schemas.openxmlformats.org/officeDocument/2006/relationships/hyperlink" Target="https://community.max.gov/download/attachments/1155203545/ATO.Letter_GovDelivery_DoL_07.24.17.pdf?api=v2" TargetMode="External"/><Relationship Id="rId1279" Type="http://schemas.openxmlformats.org/officeDocument/2006/relationships/hyperlink" Target="http://www.aws.amazon.com" TargetMode="External"/><Relationship Id="rId448" Type="http://schemas.openxmlformats.org/officeDocument/2006/relationships/hyperlink" Target="https://marketplace.fedramp.gov/img/logos/Agency_logos/US-DeptOfEnergy-Seal.png" TargetMode="External"/><Relationship Id="rId447" Type="http://schemas.openxmlformats.org/officeDocument/2006/relationships/hyperlink" Target="https://marketplace.fedramp.gov/img/logos/CSP_logos/ARC-P%20Logo.jpg" TargetMode="External"/><Relationship Id="rId446" Type="http://schemas.openxmlformats.org/officeDocument/2006/relationships/hyperlink" Target="http://www.autonomicresources.com" TargetMode="External"/><Relationship Id="rId445" Type="http://schemas.openxmlformats.org/officeDocument/2006/relationships/hyperlink" Target="https://community.max.gov/download/attachments/1155204092/ATO.Letter_AR.ARC-P_DOE_10.14.14.pdf?api=v2" TargetMode="External"/><Relationship Id="rId449" Type="http://schemas.openxmlformats.org/officeDocument/2006/relationships/hyperlink" Target="https://community.max.gov/x/bI5VJQ" TargetMode="External"/><Relationship Id="rId1270" Type="http://schemas.openxmlformats.org/officeDocument/2006/relationships/hyperlink" Target="https://marketplace.fedramp.gov/img/logos/CSP_logos/Appian%20Logo.jpg" TargetMode="External"/><Relationship Id="rId440" Type="http://schemas.openxmlformats.org/officeDocument/2006/relationships/hyperlink" Target="https://community.max.gov/x/aY5VJQ" TargetMode="External"/><Relationship Id="rId1271" Type="http://schemas.openxmlformats.org/officeDocument/2006/relationships/hyperlink" Target="https://marketplace.fedramp.gov/img/logos/Agency_logos/US-DeptOfLabor-Seal-AltColors.svg.png" TargetMode="External"/><Relationship Id="rId1272" Type="http://schemas.openxmlformats.org/officeDocument/2006/relationships/hyperlink" Target="https://community.max.gov/x/ApBJK" TargetMode="External"/><Relationship Id="rId1273" Type="http://schemas.openxmlformats.org/officeDocument/2006/relationships/hyperlink" Target="https://community.max.gov/download/attachments/1113425425/ATO%20Letter_AWSGC_DOD_DISA_06.09.16.pdf?api=v2" TargetMode="External"/><Relationship Id="rId1274" Type="http://schemas.openxmlformats.org/officeDocument/2006/relationships/hyperlink" Target="http://www.aws.amazon.com" TargetMode="External"/><Relationship Id="rId444" Type="http://schemas.openxmlformats.org/officeDocument/2006/relationships/hyperlink" Target="https://community.max.gov/x/bI5VJQ" TargetMode="External"/><Relationship Id="rId1275" Type="http://schemas.openxmlformats.org/officeDocument/2006/relationships/hyperlink" Target="https://marketplace.fedramp.gov/img/logos/CSP_logos/Amazon%20Logo.jpg" TargetMode="External"/><Relationship Id="rId443" Type="http://schemas.openxmlformats.org/officeDocument/2006/relationships/hyperlink" Target="https://marketplace.fedramp.gov/img/logos/Agency_logos/United_States_Department_of_Defense_Seal.png" TargetMode="External"/><Relationship Id="rId1276" Type="http://schemas.openxmlformats.org/officeDocument/2006/relationships/hyperlink" Target="https://marketplace.fedramp.gov/img/logos/Agency_logos/United_States_Department_of_Defense_Seal.png" TargetMode="External"/><Relationship Id="rId442" Type="http://schemas.openxmlformats.org/officeDocument/2006/relationships/hyperlink" Target="https://www.synaptic.att.com/clouduser/" TargetMode="External"/><Relationship Id="rId1277" Type="http://schemas.openxmlformats.org/officeDocument/2006/relationships/hyperlink" Target="https://community.max.gov/x/DpBJK" TargetMode="External"/><Relationship Id="rId441" Type="http://schemas.openxmlformats.org/officeDocument/2006/relationships/hyperlink" Target="https://community.max.gov/download/attachments/1256457937/ATO.Letter_ATT_DOD.DISA_3.26.15.pdf?api=v2" TargetMode="External"/><Relationship Id="rId1278" Type="http://schemas.openxmlformats.org/officeDocument/2006/relationships/hyperlink" Target="https://community.max.gov/download/attachments/1113425425/ATO%20Letter_AWSGC_AWSEW_DOC__05.12.16.pdf?api=v2" TargetMode="External"/><Relationship Id="rId1268" Type="http://schemas.openxmlformats.org/officeDocument/2006/relationships/hyperlink" Target="https://community.max.gov/download/attachments/1115488812/ATO%20Letter_Appian_DOL_10.30.15.pdf?api=v2" TargetMode="External"/><Relationship Id="rId2599" Type="http://schemas.openxmlformats.org/officeDocument/2006/relationships/hyperlink" Target="https://marketplace.fedramp.gov/img/logos/Agency_logos/Seal_of_the_United_States_Department_of_Veterans_Affairs_(1989-2012).png" TargetMode="External"/><Relationship Id="rId1269" Type="http://schemas.openxmlformats.org/officeDocument/2006/relationships/hyperlink" Target="http://www.appian.com" TargetMode="External"/><Relationship Id="rId437" Type="http://schemas.openxmlformats.org/officeDocument/2006/relationships/hyperlink" Target="http://www.appian.com" TargetMode="External"/><Relationship Id="rId436" Type="http://schemas.openxmlformats.org/officeDocument/2006/relationships/hyperlink" Target="https://community.max.gov/download/attachments/1115488812/ATO.Letter_Appian_DOT_04.23.15.pdf?api=v2" TargetMode="External"/><Relationship Id="rId435" Type="http://schemas.openxmlformats.org/officeDocument/2006/relationships/hyperlink" Target="https://community.max.gov/x/lAC8Mg" TargetMode="External"/><Relationship Id="rId434" Type="http://schemas.openxmlformats.org/officeDocument/2006/relationships/hyperlink" Target="https://marketplace.fedramp.gov/img/logos/Agency_logos/US-DeptOfTheTreasury-Seal.png" TargetMode="External"/><Relationship Id="rId439" Type="http://schemas.openxmlformats.org/officeDocument/2006/relationships/hyperlink" Target="https://marketplace.fedramp.gov/img/logos/Agency_logos/768px-US-DeptOfTransportation-Seal.svg.png" TargetMode="External"/><Relationship Id="rId438" Type="http://schemas.openxmlformats.org/officeDocument/2006/relationships/hyperlink" Target="https://marketplace.fedramp.gov/img/logos/CSP_logos/Appian%20Logo.jpg" TargetMode="External"/><Relationship Id="rId2590" Type="http://schemas.openxmlformats.org/officeDocument/2006/relationships/hyperlink" Target="https://community.max.gov/x/_gPNKw" TargetMode="External"/><Relationship Id="rId1260" Type="http://schemas.openxmlformats.org/officeDocument/2006/relationships/hyperlink" Target="https://marketplace.fedramp.gov/img/logos/CSP_logos/Microsoft%20Logo.jpg" TargetMode="External"/><Relationship Id="rId2591" Type="http://schemas.openxmlformats.org/officeDocument/2006/relationships/hyperlink" Target="https://community.max.gov/download/attachments/1155203438/ATO.Letter_GDIT_DoL_06.20.17.pdf?api=v2" TargetMode="External"/><Relationship Id="rId1261" Type="http://schemas.openxmlformats.org/officeDocument/2006/relationships/hyperlink" Target="https://marketplace.fedramp.gov/img/logos/Agency_logos/US-SurfaceTransportationBoard-Seal.png" TargetMode="External"/><Relationship Id="rId2592" Type="http://schemas.openxmlformats.org/officeDocument/2006/relationships/hyperlink" Target="http://www.gdit.com/cloudsolutions" TargetMode="External"/><Relationship Id="rId1262" Type="http://schemas.openxmlformats.org/officeDocument/2006/relationships/hyperlink" Target="https://community.max.gov/x/DpBJK" TargetMode="External"/><Relationship Id="rId2593" Type="http://schemas.openxmlformats.org/officeDocument/2006/relationships/hyperlink" Target="https://marketplace.fedramp.gov/img/logos/CSP_logos/GDIT%20Logo.jpg" TargetMode="External"/><Relationship Id="rId1263" Type="http://schemas.openxmlformats.org/officeDocument/2006/relationships/hyperlink" Target="https://community.max.gov/download/attachments/1115488742/ATO%20Letter_AWSEW_STB_06.14.16.PDF?api=v2" TargetMode="External"/><Relationship Id="rId2594" Type="http://schemas.openxmlformats.org/officeDocument/2006/relationships/hyperlink" Target="https://marketplace.fedramp.gov/img/logos/Agency_logos/US-DeptOfLabor-Seal-AltColors.svg.png" TargetMode="External"/><Relationship Id="rId433" Type="http://schemas.openxmlformats.org/officeDocument/2006/relationships/hyperlink" Target="https://marketplace.fedramp.gov/img/logos/CSP_logos/Amazon%20Logo.jpg" TargetMode="External"/><Relationship Id="rId1264" Type="http://schemas.openxmlformats.org/officeDocument/2006/relationships/hyperlink" Target="http://www.aws.amazon.com" TargetMode="External"/><Relationship Id="rId2595" Type="http://schemas.openxmlformats.org/officeDocument/2006/relationships/hyperlink" Target="https://community.max.gov/x/YQURNQ" TargetMode="External"/><Relationship Id="rId432" Type="http://schemas.openxmlformats.org/officeDocument/2006/relationships/hyperlink" Target="http://www.aws.amazon.com" TargetMode="External"/><Relationship Id="rId1265" Type="http://schemas.openxmlformats.org/officeDocument/2006/relationships/hyperlink" Target="https://marketplace.fedramp.gov/img/logos/CSP_logos/Amazon%20Logo.jpg" TargetMode="External"/><Relationship Id="rId2596" Type="http://schemas.openxmlformats.org/officeDocument/2006/relationships/hyperlink" Target="https://community.max.gov/download/attachments/1350765119/ATO.Letter_Skyhigh_VA_07.18.17.pdf?api=v2" TargetMode="External"/><Relationship Id="rId431" Type="http://schemas.openxmlformats.org/officeDocument/2006/relationships/hyperlink" Target="https://community.max.gov/download/attachments/1113425425/ATO.Letter_AWSGC_Treasury_10.30.14.pdf?api=v2" TargetMode="External"/><Relationship Id="rId1266" Type="http://schemas.openxmlformats.org/officeDocument/2006/relationships/hyperlink" Target="https://marketplace.fedramp.gov/img/logos/Agency_logos/US-SurfaceTransportationBoard-Seal.png" TargetMode="External"/><Relationship Id="rId2597" Type="http://schemas.openxmlformats.org/officeDocument/2006/relationships/hyperlink" Target="http://www.skyhighnetworks.com" TargetMode="External"/><Relationship Id="rId430" Type="http://schemas.openxmlformats.org/officeDocument/2006/relationships/hyperlink" Target="https://community.max.gov/x/ApBJK" TargetMode="External"/><Relationship Id="rId1267" Type="http://schemas.openxmlformats.org/officeDocument/2006/relationships/hyperlink" Target="https://community.max.gov/x/lAC8Mg" TargetMode="External"/><Relationship Id="rId2598" Type="http://schemas.openxmlformats.org/officeDocument/2006/relationships/hyperlink" Target="https://marketplace.fedramp.gov/img/logos/CSP_logos/Skyhigh%20Logo.jpg" TargetMode="External"/><Relationship Id="rId3070" Type="http://schemas.openxmlformats.org/officeDocument/2006/relationships/hyperlink" Target="https://marketplace.fedramp.gov/img/logos/Agency_logos/US-DeptOfCommerce-Seal.png" TargetMode="External"/><Relationship Id="rId3072" Type="http://schemas.openxmlformats.org/officeDocument/2006/relationships/hyperlink" Target="https://community.max.gov/download/attachments/1181253908/ATO.Letter_Skyhigh_NASA_10.26.17.pdf?api=v2" TargetMode="External"/><Relationship Id="rId3071" Type="http://schemas.openxmlformats.org/officeDocument/2006/relationships/hyperlink" Target="https://community.max.gov/x/YQURNQ" TargetMode="External"/><Relationship Id="rId3074" Type="http://schemas.openxmlformats.org/officeDocument/2006/relationships/hyperlink" Target="https://marketplace.fedramp.gov/img/logos/CSP_logos/Skyhigh%20Logo.jpg" TargetMode="External"/><Relationship Id="rId3073" Type="http://schemas.openxmlformats.org/officeDocument/2006/relationships/hyperlink" Target="http://www.skyhighnetworks.com" TargetMode="External"/><Relationship Id="rId3076" Type="http://schemas.openxmlformats.org/officeDocument/2006/relationships/hyperlink" Target="https://community.max.gov/x/QoWaP" TargetMode="External"/><Relationship Id="rId3075" Type="http://schemas.openxmlformats.org/officeDocument/2006/relationships/hyperlink" Target="https://marketplace.fedramp.gov/img/logos/Agency_logos/NASA_logo.png" TargetMode="External"/><Relationship Id="rId3078" Type="http://schemas.openxmlformats.org/officeDocument/2006/relationships/hyperlink" Target="http://www.servicenow.com" TargetMode="External"/><Relationship Id="rId3077" Type="http://schemas.openxmlformats.org/officeDocument/2006/relationships/hyperlink" Target="https://community.max.gov/download/attachments/1155203837/ATO.Letter_ServiceNow_DoT_OCC_10.30.17.pdf?api=v2" TargetMode="External"/><Relationship Id="rId3079" Type="http://schemas.openxmlformats.org/officeDocument/2006/relationships/hyperlink" Target="https://marketplace.fedramp.gov/img/logos/CSP_logos/ServiceNow%20Logo.jpg" TargetMode="External"/><Relationship Id="rId3061" Type="http://schemas.openxmlformats.org/officeDocument/2006/relationships/hyperlink" Target="https://community.max.gov/x/EYGKLQ" TargetMode="External"/><Relationship Id="rId3060" Type="http://schemas.openxmlformats.org/officeDocument/2006/relationships/hyperlink" Target="https://marketplace.fedramp.gov/img/logos/Agency_logos/CIGIE%20Logo.jpg" TargetMode="External"/><Relationship Id="rId3063" Type="http://schemas.openxmlformats.org/officeDocument/2006/relationships/hyperlink" Target="http://www.projecthosts.com" TargetMode="External"/><Relationship Id="rId3062" Type="http://schemas.openxmlformats.org/officeDocument/2006/relationships/hyperlink" Target="https://community.max.gov/download/attachments/882934025/Sites.usa.gov%201%20Year%20LATO%20SAA%20Memo%2020171031.pdf?api=v2" TargetMode="External"/><Relationship Id="rId3065" Type="http://schemas.openxmlformats.org/officeDocument/2006/relationships/hyperlink" Target="https://marketplace.fedramp.gov/img/logos/Agency_logos/GSAlogo.png" TargetMode="External"/><Relationship Id="rId3064" Type="http://schemas.openxmlformats.org/officeDocument/2006/relationships/hyperlink" Target="https://marketplace.fedramp.gov/img/logos/CSP_logos/Project%20Hosts%20Logo.jpg" TargetMode="External"/><Relationship Id="rId3067" Type="http://schemas.openxmlformats.org/officeDocument/2006/relationships/hyperlink" Target="https://community.max.gov/download/attachments/1181253908/ATO.Letter_Skyhigh_DoC_NIST_10.26.17.pdf?api=v2" TargetMode="External"/><Relationship Id="rId3066" Type="http://schemas.openxmlformats.org/officeDocument/2006/relationships/hyperlink" Target="https://community.max.gov/x/YQURNQ" TargetMode="External"/><Relationship Id="rId3069" Type="http://schemas.openxmlformats.org/officeDocument/2006/relationships/hyperlink" Target="https://marketplace.fedramp.gov/img/logos/CSP_logos/Skyhigh%20Logo.jpg" TargetMode="External"/><Relationship Id="rId3068" Type="http://schemas.openxmlformats.org/officeDocument/2006/relationships/hyperlink" Target="http://www.skyhighnetworks.com" TargetMode="External"/><Relationship Id="rId3090" Type="http://schemas.openxmlformats.org/officeDocument/2006/relationships/hyperlink" Target="https://marketplace.fedramp.gov/img/logos/Agency_logos/Seal_of_the_United_States_Department_of_Justice.png" TargetMode="External"/><Relationship Id="rId3092" Type="http://schemas.openxmlformats.org/officeDocument/2006/relationships/hyperlink" Target="https://community.max.gov/download/attachments/1115488742/ATO.Letter_AWSEW_HHS_NIH_11.03.17.pdf?api=v2" TargetMode="External"/><Relationship Id="rId3091" Type="http://schemas.openxmlformats.org/officeDocument/2006/relationships/hyperlink" Target="https://community.max.gov/x/DpBJK" TargetMode="External"/><Relationship Id="rId3094" Type="http://schemas.openxmlformats.org/officeDocument/2006/relationships/hyperlink" Target="https://marketplace.fedramp.gov/img/logos/CSP_logos/Amazon%20Logo.jpg" TargetMode="External"/><Relationship Id="rId3093" Type="http://schemas.openxmlformats.org/officeDocument/2006/relationships/hyperlink" Target="http://www.aws.amazon.com" TargetMode="External"/><Relationship Id="rId3096" Type="http://schemas.openxmlformats.org/officeDocument/2006/relationships/hyperlink" Target="https://community.max.gov/x/vgVqQQ" TargetMode="External"/><Relationship Id="rId3095" Type="http://schemas.openxmlformats.org/officeDocument/2006/relationships/hyperlink" Target="https://marketplace.fedramp.gov/img/logos/Agency_logos/US-DeptOfHHS-Seal.png" TargetMode="External"/><Relationship Id="rId3098" Type="http://schemas.openxmlformats.org/officeDocument/2006/relationships/hyperlink" Target="http://www.aws.amazon.com" TargetMode="External"/><Relationship Id="rId3097" Type="http://schemas.openxmlformats.org/officeDocument/2006/relationships/hyperlink" Target="https://community.max.gov/download/attachments/1097467326/ATO.Letter_AWSGCHigh_HHS_NIH_11.03.17.pdf?api=v2" TargetMode="External"/><Relationship Id="rId3099" Type="http://schemas.openxmlformats.org/officeDocument/2006/relationships/hyperlink" Target="https://marketplace.fedramp.gov/img/logos/CSP_logos/Amazon%20Logo.jpg" TargetMode="External"/><Relationship Id="rId3081" Type="http://schemas.openxmlformats.org/officeDocument/2006/relationships/hyperlink" Target="https://community.max.gov/x/AYIHJw" TargetMode="External"/><Relationship Id="rId3080" Type="http://schemas.openxmlformats.org/officeDocument/2006/relationships/hyperlink" Target="https://marketplace.fedramp.gov/img/logos/Agency_logos/US-DeptOfTheTreasury-Seal.png" TargetMode="External"/><Relationship Id="rId3083" Type="http://schemas.openxmlformats.org/officeDocument/2006/relationships/hyperlink" Target="http://www.virtustream.com" TargetMode="External"/><Relationship Id="rId3082" Type="http://schemas.openxmlformats.org/officeDocument/2006/relationships/hyperlink" Target="https://community.max.gov/download/attachments/1155204052/ATO.Letter_Virtustream_DoT_OCC_11.03.17.pdf?api=v2" TargetMode="External"/><Relationship Id="rId3085" Type="http://schemas.openxmlformats.org/officeDocument/2006/relationships/hyperlink" Target="https://marketplace.fedramp.gov/img/logos/Agency_logos/US-DeptOfTheTreasury-Seal.png" TargetMode="External"/><Relationship Id="rId3084" Type="http://schemas.openxmlformats.org/officeDocument/2006/relationships/hyperlink" Target="https://marketplace.fedramp.gov/img/logos/CSP_logos/Virtustream%20Logo.jpg" TargetMode="External"/><Relationship Id="rId3087" Type="http://schemas.openxmlformats.org/officeDocument/2006/relationships/hyperlink" Target="https://community.max.gov/download/attachments/1115488742/ATO.Letter_AWSEW_DoJ_BOP_11.02.17.pdf?api=v2" TargetMode="External"/><Relationship Id="rId3086" Type="http://schemas.openxmlformats.org/officeDocument/2006/relationships/hyperlink" Target="https://community.max.gov/x/DpBJK" TargetMode="External"/><Relationship Id="rId3089" Type="http://schemas.openxmlformats.org/officeDocument/2006/relationships/hyperlink" Target="https://marketplace.fedramp.gov/img/logos/CSP_logos/Amazon%20Logo.jpg" TargetMode="External"/><Relationship Id="rId3088" Type="http://schemas.openxmlformats.org/officeDocument/2006/relationships/hyperlink" Target="http://www.aws.amazon.com" TargetMode="External"/><Relationship Id="rId3039" Type="http://schemas.openxmlformats.org/officeDocument/2006/relationships/hyperlink" Target="https://marketplace.fedramp.gov/img/logos/CSP_logos/Druva%20Logo.jpg" TargetMode="External"/><Relationship Id="rId1" Type="http://schemas.openxmlformats.org/officeDocument/2006/relationships/comments" Target="../comments1.xml"/><Relationship Id="rId2" Type="http://schemas.openxmlformats.org/officeDocument/2006/relationships/hyperlink" Target="https://community.max.gov/x/wgmOJQ" TargetMode="External"/><Relationship Id="rId3" Type="http://schemas.openxmlformats.org/officeDocument/2006/relationships/hyperlink" Target="https://community.max.gov/download/attachments/1116602815/P-ATO_Akamai_08.22.13.pdf?api=v2" TargetMode="External"/><Relationship Id="rId4" Type="http://schemas.openxmlformats.org/officeDocument/2006/relationships/hyperlink" Target="http://www.akamai.com" TargetMode="External"/><Relationship Id="rId3030" Type="http://schemas.openxmlformats.org/officeDocument/2006/relationships/hyperlink" Target="https://marketplace.fedramp.gov/img/logos/Agency_logos/Seal_of_the_United_States_Department_of_Homeland_Security.png" TargetMode="External"/><Relationship Id="rId9" Type="http://schemas.openxmlformats.org/officeDocument/2006/relationships/hyperlink" Target="https://marketplace.fedramp.gov/img/logos/CSP_logos/Akamai%20Logo.jpg" TargetMode="External"/><Relationship Id="rId3032" Type="http://schemas.openxmlformats.org/officeDocument/2006/relationships/hyperlink" Target="https://community.max.gov/download/attachments/1153174344/ATO.Letter_Rackspace_DHS_USCG_12.22.16.pdf?api=v2" TargetMode="External"/><Relationship Id="rId3031" Type="http://schemas.openxmlformats.org/officeDocument/2006/relationships/hyperlink" Target="https://community.max.gov/x/GATJO" TargetMode="External"/><Relationship Id="rId3034" Type="http://schemas.openxmlformats.org/officeDocument/2006/relationships/hyperlink" Target="https://marketplace.fedramp.gov/img/logos/CSP_logos/Rackspace%20Logo.jpg" TargetMode="External"/><Relationship Id="rId3033" Type="http://schemas.openxmlformats.org/officeDocument/2006/relationships/hyperlink" Target="http://www.rackspace.com/government" TargetMode="External"/><Relationship Id="rId5" Type="http://schemas.openxmlformats.org/officeDocument/2006/relationships/hyperlink" Target="https://marketplace.fedramp.gov/img/logos/CSP_logos/Akamai%20Logo.jpg" TargetMode="External"/><Relationship Id="rId3036" Type="http://schemas.openxmlformats.org/officeDocument/2006/relationships/hyperlink" Target="https://community.max.gov/x/BgL0Pg" TargetMode="External"/><Relationship Id="rId6" Type="http://schemas.openxmlformats.org/officeDocument/2006/relationships/hyperlink" Target="https://community.max.gov/x/wgmOJQ" TargetMode="External"/><Relationship Id="rId3035" Type="http://schemas.openxmlformats.org/officeDocument/2006/relationships/hyperlink" Target="https://marketplace.fedramp.gov/img/logos/Agency_logos/Seal_of_the_United_States_Department_of_Homeland_Security.png" TargetMode="External"/><Relationship Id="rId7" Type="http://schemas.openxmlformats.org/officeDocument/2006/relationships/hyperlink" Target="https://community.max.gov/download/attachments/1116602815/ATO.Letter_Akamai_DHS_09.24.13.pdf?api=v2" TargetMode="External"/><Relationship Id="rId3038" Type="http://schemas.openxmlformats.org/officeDocument/2006/relationships/hyperlink" Target="http://www.druva.com" TargetMode="External"/><Relationship Id="rId8" Type="http://schemas.openxmlformats.org/officeDocument/2006/relationships/hyperlink" Target="http://www.akamai.com" TargetMode="External"/><Relationship Id="rId3037" Type="http://schemas.openxmlformats.org/officeDocument/2006/relationships/hyperlink" Target="https://community.max.gov/download/attachments/1056178707/ATO.Letter_Druva_HHS_NCI_10.16.17.pdf?api=v2" TargetMode="External"/><Relationship Id="rId3029" Type="http://schemas.openxmlformats.org/officeDocument/2006/relationships/hyperlink" Target="https://marketplace.fedramp.gov/img/logos/CSP_logos/ServiceNow%20Logo.jpg" TargetMode="External"/><Relationship Id="rId3028" Type="http://schemas.openxmlformats.org/officeDocument/2006/relationships/hyperlink" Target="http://www.servicenow.com" TargetMode="External"/><Relationship Id="rId3021" Type="http://schemas.openxmlformats.org/officeDocument/2006/relationships/hyperlink" Target="https://community.max.gov/x/XYPDLw" TargetMode="External"/><Relationship Id="rId3020" Type="http://schemas.openxmlformats.org/officeDocument/2006/relationships/hyperlink" Target="https://marketplace.fedramp.gov/img/logos/Agency_logos/US-DeptOfAgriculture-Seal2.png" TargetMode="External"/><Relationship Id="rId3023" Type="http://schemas.openxmlformats.org/officeDocument/2006/relationships/hyperlink" Target="https://www.databank.com/" TargetMode="External"/><Relationship Id="rId3022" Type="http://schemas.openxmlformats.org/officeDocument/2006/relationships/hyperlink" Target="https://community.max.gov/download/attachments/992346672/ATO.Letter_EdgeHosting_FCA_FCSIC_09.29.17.PDF?api=v2" TargetMode="External"/><Relationship Id="rId3025" Type="http://schemas.openxmlformats.org/officeDocument/2006/relationships/hyperlink" Target="https://marketplace.fedramp.gov/img/logos/Agency_logos/FCA%20Logo.jpg" TargetMode="External"/><Relationship Id="rId3024" Type="http://schemas.openxmlformats.org/officeDocument/2006/relationships/hyperlink" Target="https://marketplace.fedramp.gov/img/logos/CSP_logos/DataBank%20Logo.jpg" TargetMode="External"/><Relationship Id="rId3027" Type="http://schemas.openxmlformats.org/officeDocument/2006/relationships/hyperlink" Target="https://community.max.gov/download/attachments/1155203837/ATO.Letter_ServiceNow_DHS_USCIS_9.29.17.pdf?api=v2" TargetMode="External"/><Relationship Id="rId3026" Type="http://schemas.openxmlformats.org/officeDocument/2006/relationships/hyperlink" Target="https://community.max.gov/x/QoWaP" TargetMode="External"/><Relationship Id="rId3050" Type="http://schemas.openxmlformats.org/officeDocument/2006/relationships/hyperlink" Target="https://marketplace.fedramp.gov/img/logos/Agency_logos/FDIC%20Logo.jpg" TargetMode="External"/><Relationship Id="rId3052" Type="http://schemas.openxmlformats.org/officeDocument/2006/relationships/hyperlink" Target="https://community.max.gov/download/attachments/992346731/ATO.Letter_TreasuryWC2_DoD_DISA_10.29.17.PDF?api=v2" TargetMode="External"/><Relationship Id="rId3051" Type="http://schemas.openxmlformats.org/officeDocument/2006/relationships/hyperlink" Target="https://community.max.gov/x/w4ZYL" TargetMode="External"/><Relationship Id="rId3054" Type="http://schemas.openxmlformats.org/officeDocument/2006/relationships/hyperlink" Target="https://marketplace.fedramp.gov/img/logos/CSP_logos/DoT%20Logo.jpg" TargetMode="External"/><Relationship Id="rId3053" Type="http://schemas.openxmlformats.org/officeDocument/2006/relationships/hyperlink" Target="http://workplace.gov" TargetMode="External"/><Relationship Id="rId3056" Type="http://schemas.openxmlformats.org/officeDocument/2006/relationships/hyperlink" Target="https://community.max.gov/x/vgVqQQ" TargetMode="External"/><Relationship Id="rId3055" Type="http://schemas.openxmlformats.org/officeDocument/2006/relationships/hyperlink" Target="https://marketplace.fedramp.gov/img/logos/Agency_logos/United_States_Department_of_Defense_Seal.png" TargetMode="External"/><Relationship Id="rId3058" Type="http://schemas.openxmlformats.org/officeDocument/2006/relationships/hyperlink" Target="http://www.aws.amazon.com" TargetMode="External"/><Relationship Id="rId3057" Type="http://schemas.openxmlformats.org/officeDocument/2006/relationships/hyperlink" Target="https://community.max.gov/download/attachments/1097467326/ATO.Letter_AWSGC_CIGIE_10.31.17.pdf?api=v2" TargetMode="External"/><Relationship Id="rId3059" Type="http://schemas.openxmlformats.org/officeDocument/2006/relationships/hyperlink" Target="https://marketplace.fedramp.gov/img/logos/CSP_logos/Amazon%20Logo.jpg" TargetMode="External"/><Relationship Id="rId3041" Type="http://schemas.openxmlformats.org/officeDocument/2006/relationships/hyperlink" Target="https://community.max.gov/x/eIbiS" TargetMode="External"/><Relationship Id="rId3040" Type="http://schemas.openxmlformats.org/officeDocument/2006/relationships/hyperlink" Target="https://marketplace.fedramp.gov/img/logos/Agency_logos/US-DeptOfHHS-Seal.png" TargetMode="External"/><Relationship Id="rId3043" Type="http://schemas.openxmlformats.org/officeDocument/2006/relationships/hyperlink" Target="http://www.ideascale.com" TargetMode="External"/><Relationship Id="rId3042" Type="http://schemas.openxmlformats.org/officeDocument/2006/relationships/hyperlink" Target="https://community.max.gov/download/attachments/700221105/ATO.Letter_IdeaScale_GSA_10.13.17.pdf?api=v2" TargetMode="External"/><Relationship Id="rId3045" Type="http://schemas.openxmlformats.org/officeDocument/2006/relationships/hyperlink" Target="https://marketplace.fedramp.gov/img/logos/Agency_logos/GSAlogo.png" TargetMode="External"/><Relationship Id="rId3044" Type="http://schemas.openxmlformats.org/officeDocument/2006/relationships/hyperlink" Target="https://marketplace.fedramp.gov/img/logos/CSP_logos/Ideascale%20Logo.jpg" TargetMode="External"/><Relationship Id="rId3047" Type="http://schemas.openxmlformats.org/officeDocument/2006/relationships/hyperlink" Target="https://community.max.gov/download/attachments/992346725/ATO.Letter_Salesforce_FDIC_10.25.17.pdf?api=v2" TargetMode="External"/><Relationship Id="rId3046" Type="http://schemas.openxmlformats.org/officeDocument/2006/relationships/hyperlink" Target="https://community.max.gov/x/eQs3Kw" TargetMode="External"/><Relationship Id="rId3049" Type="http://schemas.openxmlformats.org/officeDocument/2006/relationships/hyperlink" Target="https://marketplace.fedramp.gov/img/logos/CSP_logos/Salesforce%20Logo.jpg" TargetMode="External"/><Relationship Id="rId3048" Type="http://schemas.openxmlformats.org/officeDocument/2006/relationships/hyperlink" Target="http://www.salesforce.com/industries/public-sector" TargetMode="External"/><Relationship Id="rId3911" Type="http://schemas.openxmlformats.org/officeDocument/2006/relationships/hyperlink" Target="https://marketplace.fedramp.gov/img/logos/CSP_logos/CFI%20Logo.jpg" TargetMode="External"/><Relationship Id="rId3910" Type="http://schemas.openxmlformats.org/officeDocument/2006/relationships/hyperlink" Target="http://www.cfigroup.com" TargetMode="External"/><Relationship Id="rId3913" Type="http://schemas.openxmlformats.org/officeDocument/2006/relationships/hyperlink" Target="https://community.max.gov/x/7oLgVQ" TargetMode="External"/><Relationship Id="rId3912" Type="http://schemas.openxmlformats.org/officeDocument/2006/relationships/hyperlink" Target="https://marketplace.fedramp.gov/img/logos/Agency_logos/US-DeptOfHHS-Seal.png" TargetMode="External"/><Relationship Id="rId3915" Type="http://schemas.openxmlformats.org/officeDocument/2006/relationships/hyperlink" Target="https://marketplace.fedramp.gov/img/logos/CSP_logos/CircleCi%20Logo.jpg" TargetMode="External"/><Relationship Id="rId3914" Type="http://schemas.openxmlformats.org/officeDocument/2006/relationships/hyperlink" Target="https://circleci.com/" TargetMode="External"/><Relationship Id="rId3917" Type="http://schemas.openxmlformats.org/officeDocument/2006/relationships/hyperlink" Target="https://community.max.gov/x/U4c1WQ" TargetMode="External"/><Relationship Id="rId3916" Type="http://schemas.openxmlformats.org/officeDocument/2006/relationships/hyperlink" Target="https://marketplace.fedramp.gov/img/logos/Agency_logos/GSAlogo.png" TargetMode="External"/><Relationship Id="rId3919" Type="http://schemas.openxmlformats.org/officeDocument/2006/relationships/hyperlink" Target="https://marketplace.fedramp.gov/img/logos/CSP_logos/Cisco%20Logo.jpg" TargetMode="External"/><Relationship Id="rId3918" Type="http://schemas.openxmlformats.org/officeDocument/2006/relationships/hyperlink" Target="http://www.appdynamics.com" TargetMode="External"/><Relationship Id="rId3900" Type="http://schemas.openxmlformats.org/officeDocument/2006/relationships/hyperlink" Target="https://marketplace.fedramp.gov/img/logos/Agency_logos/US-DeptOfHHS-Seal.png" TargetMode="External"/><Relationship Id="rId3902" Type="http://schemas.openxmlformats.org/officeDocument/2006/relationships/hyperlink" Target="http://www.ca.com" TargetMode="External"/><Relationship Id="rId3901" Type="http://schemas.openxmlformats.org/officeDocument/2006/relationships/hyperlink" Target="https://community.max.gov/x/bg3gTQ" TargetMode="External"/><Relationship Id="rId3904" Type="http://schemas.openxmlformats.org/officeDocument/2006/relationships/hyperlink" Target="https://marketplace.fedramp.gov/img/logos/Agency_logos/US-DeptOfHHS-Seal.png" TargetMode="External"/><Relationship Id="rId3903" Type="http://schemas.openxmlformats.org/officeDocument/2006/relationships/hyperlink" Target="https://marketplace.fedramp.gov/img/logos/CSP_logos/CA%20Tech%20Logo.jpg" TargetMode="External"/><Relationship Id="rId3906" Type="http://schemas.openxmlformats.org/officeDocument/2006/relationships/hyperlink" Target="http://www.centrify.com" TargetMode="External"/><Relationship Id="rId3905" Type="http://schemas.openxmlformats.org/officeDocument/2006/relationships/hyperlink" Target="https://community.max.gov/x/HQgdU" TargetMode="External"/><Relationship Id="rId3908" Type="http://schemas.openxmlformats.org/officeDocument/2006/relationships/hyperlink" Target="https://marketplace.fedramp.gov/img/logos/Agency_logos/OPIC%20Logo.png" TargetMode="External"/><Relationship Id="rId3907" Type="http://schemas.openxmlformats.org/officeDocument/2006/relationships/hyperlink" Target="https://marketplace.fedramp.gov/img/logos/CSP_logos/Centrify%20Logo2.jpg" TargetMode="External"/><Relationship Id="rId3909" Type="http://schemas.openxmlformats.org/officeDocument/2006/relationships/hyperlink" Target="https://community.max.gov/x/YIHORQ" TargetMode="External"/><Relationship Id="rId3931" Type="http://schemas.openxmlformats.org/officeDocument/2006/relationships/hyperlink" Target="https://community.max.gov/x/c43USQ" TargetMode="External"/><Relationship Id="rId2600" Type="http://schemas.openxmlformats.org/officeDocument/2006/relationships/hyperlink" Target="https://community.max.gov/x/GwCsPQ" TargetMode="External"/><Relationship Id="rId3930" Type="http://schemas.openxmlformats.org/officeDocument/2006/relationships/hyperlink" Target="https://marketplace.fedramp.gov/img/logos/CSP_logos/Companion%20Data%20Logo.jpg" TargetMode="External"/><Relationship Id="rId2601" Type="http://schemas.openxmlformats.org/officeDocument/2006/relationships/hyperlink" Target="https://community.max.gov/download/attachments/1197709114/ATO.Letter_18F_DoT_IRS_07.31.17.pdf?api=v2" TargetMode="External"/><Relationship Id="rId3933" Type="http://schemas.openxmlformats.org/officeDocument/2006/relationships/hyperlink" Target="https://marketplace.fedramp.gov/img/logos/CSP_logos/Conservation%20Bio%20Institute%20Logo.jpg" TargetMode="External"/><Relationship Id="rId2602" Type="http://schemas.openxmlformats.org/officeDocument/2006/relationships/hyperlink" Target="http://www.cloud.gov" TargetMode="External"/><Relationship Id="rId3932" Type="http://schemas.openxmlformats.org/officeDocument/2006/relationships/hyperlink" Target="http://www.databasin.org" TargetMode="External"/><Relationship Id="rId2603" Type="http://schemas.openxmlformats.org/officeDocument/2006/relationships/hyperlink" Target="https://marketplace.fedramp.gov/img/logos/CSP_logos/Cloud.gov%20Logo.jpg" TargetMode="External"/><Relationship Id="rId3935" Type="http://schemas.openxmlformats.org/officeDocument/2006/relationships/hyperlink" Target="https://community.max.gov/x/eoizU" TargetMode="External"/><Relationship Id="rId2604" Type="http://schemas.openxmlformats.org/officeDocument/2006/relationships/hyperlink" Target="https://marketplace.fedramp.gov/img/logos/Agency_logos/US-DeptOfTheTreasury-Seal.png" TargetMode="External"/><Relationship Id="rId3934" Type="http://schemas.openxmlformats.org/officeDocument/2006/relationships/hyperlink" Target="https://marketplace.fedramp.gov/img/logos/Agency_logos/US-DeptOfTheInterior-Seal.png" TargetMode="External"/><Relationship Id="rId2605" Type="http://schemas.openxmlformats.org/officeDocument/2006/relationships/hyperlink" Target="https://community.max.gov/display/FedRAMPExternal/MS+Azure+ATO+Letters" TargetMode="External"/><Relationship Id="rId3937" Type="http://schemas.openxmlformats.org/officeDocument/2006/relationships/hyperlink" Target="https://marketplace.fedramp.gov/img/logos/CSP_logos/CORAS%20Logo.jpg" TargetMode="External"/><Relationship Id="rId2606" Type="http://schemas.openxmlformats.org/officeDocument/2006/relationships/hyperlink" Target="https://community.max.gov/download/attachments/1155204218/ATO.Letter_MSAzure_DoD_USAC_08.08.17.pdf?api=v2" TargetMode="External"/><Relationship Id="rId3936" Type="http://schemas.openxmlformats.org/officeDocument/2006/relationships/hyperlink" Target="https://coras.com/fedramp/" TargetMode="External"/><Relationship Id="rId808" Type="http://schemas.openxmlformats.org/officeDocument/2006/relationships/hyperlink" Target="https://marketplace.fedramp.gov/img/logos/CSP_logos/Oracle%20Logo.jpg" TargetMode="External"/><Relationship Id="rId2607" Type="http://schemas.openxmlformats.org/officeDocument/2006/relationships/hyperlink" Target="mailto:adamsoh@microsoft.com" TargetMode="External"/><Relationship Id="rId3939" Type="http://schemas.openxmlformats.org/officeDocument/2006/relationships/hyperlink" Target="https://community.max.gov/x/8YngVQ" TargetMode="External"/><Relationship Id="rId807" Type="http://schemas.openxmlformats.org/officeDocument/2006/relationships/hyperlink" Target="http://cloud.oracle.com/public-sector-cloud" TargetMode="External"/><Relationship Id="rId2608" Type="http://schemas.openxmlformats.org/officeDocument/2006/relationships/hyperlink" Target="http://azure.microsoft.com/en-us/" TargetMode="External"/><Relationship Id="rId3938" Type="http://schemas.openxmlformats.org/officeDocument/2006/relationships/hyperlink" Target="https://community.max.gov/x/RhArW" TargetMode="External"/><Relationship Id="rId806" Type="http://schemas.openxmlformats.org/officeDocument/2006/relationships/hyperlink" Target="https://community.max.gov/download/attachments/1256458267/ATO%20Letter_OracleSC_CFPB_01.13.15.pdf?api=v2" TargetMode="External"/><Relationship Id="rId2609" Type="http://schemas.openxmlformats.org/officeDocument/2006/relationships/hyperlink" Target="https://marketplace.fedramp.gov/img/logos/CSP_logos/Microsoft%20Logo.jpg" TargetMode="External"/><Relationship Id="rId805" Type="http://schemas.openxmlformats.org/officeDocument/2006/relationships/hyperlink" Target="https://community.max.gov/x/WQOaLQ" TargetMode="External"/><Relationship Id="rId809" Type="http://schemas.openxmlformats.org/officeDocument/2006/relationships/hyperlink" Target="https://marketplace.fedramp.gov/img/logos/Agency_logos/CFPB_Logo.png" TargetMode="External"/><Relationship Id="rId800" Type="http://schemas.openxmlformats.org/officeDocument/2006/relationships/hyperlink" Target="https://community.max.gov/x/DpBJK" TargetMode="External"/><Relationship Id="rId804" Type="http://schemas.openxmlformats.org/officeDocument/2006/relationships/hyperlink" Target="https://marketplace.fedramp.gov/img/logos/Agency_logos/CFPB_Logo.png" TargetMode="External"/><Relationship Id="rId803" Type="http://schemas.openxmlformats.org/officeDocument/2006/relationships/hyperlink" Target="https://marketplace.fedramp.gov/img/logos/CSP_logos/Amazon%20Logo.jpg" TargetMode="External"/><Relationship Id="rId802" Type="http://schemas.openxmlformats.org/officeDocument/2006/relationships/hyperlink" Target="http://www.aws.amazon.com" TargetMode="External"/><Relationship Id="rId801" Type="http://schemas.openxmlformats.org/officeDocument/2006/relationships/hyperlink" Target="https://community.max.gov/download/attachments/1115488742/ATO%20Letter_AWSEW_CFPB_05.18.15.pdf?api=v2" TargetMode="External"/><Relationship Id="rId3920" Type="http://schemas.openxmlformats.org/officeDocument/2006/relationships/hyperlink" Target="https://marketplace.fedramp.gov/img/logos/Agency_logos/US-DeptOfHHS-Seal.png" TargetMode="External"/><Relationship Id="rId3922" Type="http://schemas.openxmlformats.org/officeDocument/2006/relationships/hyperlink" Target="https://www.ciscospark.com/" TargetMode="External"/><Relationship Id="rId3921" Type="http://schemas.openxmlformats.org/officeDocument/2006/relationships/hyperlink" Target="https://community.max.gov/x/pYgaUg" TargetMode="External"/><Relationship Id="rId3924" Type="http://schemas.openxmlformats.org/officeDocument/2006/relationships/hyperlink" Target="https://marketplace.fedramp.gov/img/logos/Agency_logos/US-DeptOfHHS-Seal.png" TargetMode="External"/><Relationship Id="rId3923" Type="http://schemas.openxmlformats.org/officeDocument/2006/relationships/hyperlink" Target="https://marketplace.fedramp.gov/img/logos/CSP_logos/Cisco%20Logo.jpg" TargetMode="External"/><Relationship Id="rId3926" Type="http://schemas.openxmlformats.org/officeDocument/2006/relationships/hyperlink" Target="https://marketplace.fedramp.gov/img/logos/CSP_logos/Collibra%20Logo.jpg" TargetMode="External"/><Relationship Id="rId3925" Type="http://schemas.openxmlformats.org/officeDocument/2006/relationships/hyperlink" Target="http://www.collibra.com" TargetMode="External"/><Relationship Id="rId3928" Type="http://schemas.openxmlformats.org/officeDocument/2006/relationships/hyperlink" Target="https://community.max.gov/x/LYPgNg" TargetMode="External"/><Relationship Id="rId3927" Type="http://schemas.openxmlformats.org/officeDocument/2006/relationships/hyperlink" Target="https://marketplace.fedramp.gov/img/logos/Agency_logos/Seal_of_the_United_States_Department_of_Homeland_Security.png" TargetMode="External"/><Relationship Id="rId3929" Type="http://schemas.openxmlformats.org/officeDocument/2006/relationships/hyperlink" Target="http://www.companiondataservices.com" TargetMode="External"/><Relationship Id="rId1334" Type="http://schemas.openxmlformats.org/officeDocument/2006/relationships/hyperlink" Target="https://marketplace.fedramp.gov/img/logos/CSP_logos/Amazon%20Logo.jpg" TargetMode="External"/><Relationship Id="rId2665" Type="http://schemas.openxmlformats.org/officeDocument/2006/relationships/hyperlink" Target="https://community.max.gov/x/w4ZYL" TargetMode="External"/><Relationship Id="rId3997" Type="http://schemas.openxmlformats.org/officeDocument/2006/relationships/hyperlink" Target="https://marketplace.fedramp.gov/img/logos/Agency_logos/Seal_of_the_United_States_Department_of_Homeland_Security.png" TargetMode="External"/><Relationship Id="rId1335" Type="http://schemas.openxmlformats.org/officeDocument/2006/relationships/hyperlink" Target="https://marketplace.fedramp.gov/img/logos/Agency_logos/US-DeptOfLabor-Seal-AltColors.svg.png" TargetMode="External"/><Relationship Id="rId2666" Type="http://schemas.openxmlformats.org/officeDocument/2006/relationships/hyperlink" Target="https://community.max.gov/download/attachments/992346731/6.%20Workplace.gov%20Community%20Cloud%20%28WC2%29%20Authorization%20to%20Operate%20%28ATO%29%20Letter%20signed.pdf?api=v2" TargetMode="External"/><Relationship Id="rId3996" Type="http://schemas.openxmlformats.org/officeDocument/2006/relationships/hyperlink" Target="https://marketplace.fedramp.gov/img/logos/CSP_logos/IBM%20Logo.jpg" TargetMode="External"/><Relationship Id="rId1336" Type="http://schemas.openxmlformats.org/officeDocument/2006/relationships/hyperlink" Target="https://community.max.gov/x/bI5VJQ" TargetMode="External"/><Relationship Id="rId2667" Type="http://schemas.openxmlformats.org/officeDocument/2006/relationships/hyperlink" Target="http://workplace.gov" TargetMode="External"/><Relationship Id="rId3999" Type="http://schemas.openxmlformats.org/officeDocument/2006/relationships/hyperlink" Target="https://www-03.ibm.com/software/products/en/category/talent-management" TargetMode="External"/><Relationship Id="rId1337" Type="http://schemas.openxmlformats.org/officeDocument/2006/relationships/hyperlink" Target="https://community.max.gov/download/attachments/1155204092/P-ATO_CSRA_ARC-P_05.19.16.pdf?api=v2" TargetMode="External"/><Relationship Id="rId2668" Type="http://schemas.openxmlformats.org/officeDocument/2006/relationships/hyperlink" Target="https://marketplace.fedramp.gov/img/logos/CSP_logos/DoT%20Logo.jpg" TargetMode="External"/><Relationship Id="rId3998" Type="http://schemas.openxmlformats.org/officeDocument/2006/relationships/hyperlink" Target="https://community.max.gov/x/zgkoTw" TargetMode="External"/><Relationship Id="rId1338" Type="http://schemas.openxmlformats.org/officeDocument/2006/relationships/hyperlink" Target="http://www.autonomicresources.com" TargetMode="External"/><Relationship Id="rId2669" Type="http://schemas.openxmlformats.org/officeDocument/2006/relationships/hyperlink" Target="https://marketplace.fedramp.gov/img/logos/Agency_logos/US-DeptOfTheTreasury-Seal.png" TargetMode="External"/><Relationship Id="rId1339" Type="http://schemas.openxmlformats.org/officeDocument/2006/relationships/hyperlink" Target="https://marketplace.fedramp.gov/img/logos/CSP_logos/ARC-P%20Logo.jpg" TargetMode="External"/><Relationship Id="rId745" Type="http://schemas.openxmlformats.org/officeDocument/2006/relationships/hyperlink" Target="https://marketplace.fedramp.gov/img/logos/Agency_logos/NASA_logo.png" TargetMode="External"/><Relationship Id="rId744" Type="http://schemas.openxmlformats.org/officeDocument/2006/relationships/hyperlink" Target="https://marketplace.fedramp.gov/img/logos/CSP_logos/ServiceNow%20Logo.jpg" TargetMode="External"/><Relationship Id="rId743" Type="http://schemas.openxmlformats.org/officeDocument/2006/relationships/hyperlink" Target="http://www.servicenow.com" TargetMode="External"/><Relationship Id="rId742" Type="http://schemas.openxmlformats.org/officeDocument/2006/relationships/hyperlink" Target="https://community.max.gov/download/attachments/1256458288/ATO.Letter_ServiceNow_NASA_11.20.14.pdf?api=v2" TargetMode="External"/><Relationship Id="rId749" Type="http://schemas.openxmlformats.org/officeDocument/2006/relationships/hyperlink" Target="https://marketplace.fedramp.gov/img/logos/CSP_logos/1901%20Logo.jpg" TargetMode="External"/><Relationship Id="rId748" Type="http://schemas.openxmlformats.org/officeDocument/2006/relationships/hyperlink" Target="http://www.1901group.com" TargetMode="External"/><Relationship Id="rId747" Type="http://schemas.openxmlformats.org/officeDocument/2006/relationships/hyperlink" Target="https://community.max.gov/download/attachments/1557595208/ATO.Letter_1901_SBA_08.14.15.pdf?api=v2" TargetMode="External"/><Relationship Id="rId746" Type="http://schemas.openxmlformats.org/officeDocument/2006/relationships/hyperlink" Target="https://community.max.gov/x/6wCXNg" TargetMode="External"/><Relationship Id="rId3991" Type="http://schemas.openxmlformats.org/officeDocument/2006/relationships/hyperlink" Target="https://marketplace.fedramp.gov/img/logos/CSP_logos/Hootsuite%20Logo.jpg" TargetMode="External"/><Relationship Id="rId2660" Type="http://schemas.openxmlformats.org/officeDocument/2006/relationships/hyperlink" Target="https://community.max.gov/x/QoWaP" TargetMode="External"/><Relationship Id="rId3990" Type="http://schemas.openxmlformats.org/officeDocument/2006/relationships/hyperlink" Target="http://www.hootsuite.com" TargetMode="External"/><Relationship Id="rId741" Type="http://schemas.openxmlformats.org/officeDocument/2006/relationships/hyperlink" Target="https://community.max.gov/x/QoWaP" TargetMode="External"/><Relationship Id="rId1330" Type="http://schemas.openxmlformats.org/officeDocument/2006/relationships/hyperlink" Target="https://marketplace.fedramp.gov/img/logos/Agency_logos/US-DeptOfTheTreasury-Seal.png" TargetMode="External"/><Relationship Id="rId2661" Type="http://schemas.openxmlformats.org/officeDocument/2006/relationships/hyperlink" Target="https://community.max.gov/download/attachments/1155203837/ATO%20Letter_ServiceNow_DoE_NNSA_LLNL_08.28.17.PDF?api=v2" TargetMode="External"/><Relationship Id="rId3993" Type="http://schemas.openxmlformats.org/officeDocument/2006/relationships/hyperlink" Target="https://community.max.gov/x/w5o0Ww" TargetMode="External"/><Relationship Id="rId740" Type="http://schemas.openxmlformats.org/officeDocument/2006/relationships/hyperlink" Target="https://marketplace.fedramp.gov/img/logos/Agency_logos/United_States_Department_of_Defense_Seal.png" TargetMode="External"/><Relationship Id="rId1331" Type="http://schemas.openxmlformats.org/officeDocument/2006/relationships/hyperlink" Target="https://community.max.gov/x/DpBJK" TargetMode="External"/><Relationship Id="rId2662" Type="http://schemas.openxmlformats.org/officeDocument/2006/relationships/hyperlink" Target="http://www.servicenow.com" TargetMode="External"/><Relationship Id="rId3992" Type="http://schemas.openxmlformats.org/officeDocument/2006/relationships/hyperlink" Target="https://marketplace.fedramp.gov/img/logos/Agency_logos/DoS%20Logo.png" TargetMode="External"/><Relationship Id="rId1332" Type="http://schemas.openxmlformats.org/officeDocument/2006/relationships/hyperlink" Target="https://community.max.gov/download/attachments/1115488742/ATO.Letter_AWSEW_DOL_06.30.16.pdf?api=v2" TargetMode="External"/><Relationship Id="rId2663" Type="http://schemas.openxmlformats.org/officeDocument/2006/relationships/hyperlink" Target="https://marketplace.fedramp.gov/img/logos/CSP_logos/ServiceNow%20Logo.jpg" TargetMode="External"/><Relationship Id="rId3995" Type="http://schemas.openxmlformats.org/officeDocument/2006/relationships/hyperlink" Target="https://marketplace.fedramp.gov/img/logos/CSP_logos/FedHIVE%20Logo.jpg" TargetMode="External"/><Relationship Id="rId1333" Type="http://schemas.openxmlformats.org/officeDocument/2006/relationships/hyperlink" Target="http://www.aws.amazon.com" TargetMode="External"/><Relationship Id="rId2664" Type="http://schemas.openxmlformats.org/officeDocument/2006/relationships/hyperlink" Target="https://marketplace.fedramp.gov/img/logos/Agency_logos/US-DeptOfEnergy-Seal.png" TargetMode="External"/><Relationship Id="rId3994" Type="http://schemas.openxmlformats.org/officeDocument/2006/relationships/hyperlink" Target="http://www.fedhive.com" TargetMode="External"/><Relationship Id="rId1323" Type="http://schemas.openxmlformats.org/officeDocument/2006/relationships/hyperlink" Target="https://community.max.gov/download/attachments/1155204180/P-ATO_MS.GFS_09.27.13.pdf?api=v2" TargetMode="External"/><Relationship Id="rId2654" Type="http://schemas.openxmlformats.org/officeDocument/2006/relationships/hyperlink" Target="https://marketplace.fedramp.gov/img/logos/Agency_logos/US-DeptOfHHS-Seal.png" TargetMode="External"/><Relationship Id="rId3986" Type="http://schemas.openxmlformats.org/officeDocument/2006/relationships/hyperlink" Target="https://marketplace.fedramp.gov/img/logos/CSP_logos/GPS%20Logo.jpg" TargetMode="External"/><Relationship Id="rId1324" Type="http://schemas.openxmlformats.org/officeDocument/2006/relationships/hyperlink" Target="http://www.microsoft.com" TargetMode="External"/><Relationship Id="rId2655" Type="http://schemas.openxmlformats.org/officeDocument/2006/relationships/hyperlink" Target="https://community.max.gov/x/3JC6L" TargetMode="External"/><Relationship Id="rId3985" Type="http://schemas.openxmlformats.org/officeDocument/2006/relationships/hyperlink" Target="http://www.gpsinsight.com" TargetMode="External"/><Relationship Id="rId1325" Type="http://schemas.openxmlformats.org/officeDocument/2006/relationships/hyperlink" Target="https://marketplace.fedramp.gov/img/logos/CSP_logos/Microsoft%20Logo.jpg" TargetMode="External"/><Relationship Id="rId2656" Type="http://schemas.openxmlformats.org/officeDocument/2006/relationships/hyperlink" Target="https://community.max.gov/download/attachments/992346706/ATO%20Letter_MSO365_HHS_FDA_08.25.17.pdf?api=v2" TargetMode="External"/><Relationship Id="rId3988" Type="http://schemas.openxmlformats.org/officeDocument/2006/relationships/hyperlink" Target="https://marketplace.fedramp.gov/img/logos/CSP_logos/HireVue%20Logo.jpg" TargetMode="External"/><Relationship Id="rId1326" Type="http://schemas.openxmlformats.org/officeDocument/2006/relationships/hyperlink" Target="https://community.max.gov/x/wgmOJQ" TargetMode="External"/><Relationship Id="rId2657" Type="http://schemas.openxmlformats.org/officeDocument/2006/relationships/hyperlink" Target="http://www.microsoft.office.com" TargetMode="External"/><Relationship Id="rId3987" Type="http://schemas.openxmlformats.org/officeDocument/2006/relationships/hyperlink" Target="http://www.hirevue.com" TargetMode="External"/><Relationship Id="rId1327" Type="http://schemas.openxmlformats.org/officeDocument/2006/relationships/hyperlink" Target="https://community.max.gov/download/attachments/1116602815/ATO.Letter_Akamai_DOT_IRS_05.31.16.PDF?api=v2" TargetMode="External"/><Relationship Id="rId2658" Type="http://schemas.openxmlformats.org/officeDocument/2006/relationships/hyperlink" Target="https://marketplace.fedramp.gov/img/logos/CSP_logos/Microsoft%20Logo.jpg" TargetMode="External"/><Relationship Id="rId1328" Type="http://schemas.openxmlformats.org/officeDocument/2006/relationships/hyperlink" Target="http://www.akamai.com" TargetMode="External"/><Relationship Id="rId2659" Type="http://schemas.openxmlformats.org/officeDocument/2006/relationships/hyperlink" Target="https://marketplace.fedramp.gov/img/logos/Agency_logos/US-DeptOfHHS-Seal.png" TargetMode="External"/><Relationship Id="rId3989" Type="http://schemas.openxmlformats.org/officeDocument/2006/relationships/hyperlink" Target="https://marketplace.fedramp.gov/img/logos/Agency_logos/Peace%20Corps%20Logo.jpg" TargetMode="External"/><Relationship Id="rId1329" Type="http://schemas.openxmlformats.org/officeDocument/2006/relationships/hyperlink" Target="https://marketplace.fedramp.gov/img/logos/CSP_logos/Akamai%20Logo.jpg" TargetMode="External"/><Relationship Id="rId739" Type="http://schemas.openxmlformats.org/officeDocument/2006/relationships/hyperlink" Target="https://marketplace.fedramp.gov/img/logos/CSP_logos/QTS%20Logo.jpg" TargetMode="External"/><Relationship Id="rId734" Type="http://schemas.openxmlformats.org/officeDocument/2006/relationships/hyperlink" Target="http://www.qtsdatacenters.com/products-and-solutions/cloud-services/qts-government-cloud" TargetMode="External"/><Relationship Id="rId733" Type="http://schemas.openxmlformats.org/officeDocument/2006/relationships/hyperlink" Target="https://community.max.gov/download/attachments/1155204041/P-ATO_Carpathia.vCGS_01.21.15.pdf?api=v2" TargetMode="External"/><Relationship Id="rId732" Type="http://schemas.openxmlformats.org/officeDocument/2006/relationships/hyperlink" Target="https://community.max.gov/x/AYIHJw" TargetMode="External"/><Relationship Id="rId731" Type="http://schemas.openxmlformats.org/officeDocument/2006/relationships/hyperlink" Target="https://marketplace.fedramp.gov/img/logos/CSP_logos/Virtustream%20Logo.jpg" TargetMode="External"/><Relationship Id="rId738" Type="http://schemas.openxmlformats.org/officeDocument/2006/relationships/hyperlink" Target="http://www.qtsdatacenters.com/products-and-solutions/cloud-services/qts-government-cloud" TargetMode="External"/><Relationship Id="rId737" Type="http://schemas.openxmlformats.org/officeDocument/2006/relationships/hyperlink" Target="https://community.max.gov/download/attachments/1155204041/ATO.Letter_VMware.Carpathia_DOD.DISA_6.11.15.pdf?api=v2" TargetMode="External"/><Relationship Id="rId736" Type="http://schemas.openxmlformats.org/officeDocument/2006/relationships/hyperlink" Target="https://community.max.gov/x/CIWzKw" TargetMode="External"/><Relationship Id="rId735" Type="http://schemas.openxmlformats.org/officeDocument/2006/relationships/hyperlink" Target="https://marketplace.fedramp.gov/img/logos/CSP_logos/QTS%20Logo.jpg" TargetMode="External"/><Relationship Id="rId3980" Type="http://schemas.openxmlformats.org/officeDocument/2006/relationships/hyperlink" Target="https://marketplace.fedramp.gov/img/logos/Agency_logos/GSAlogo.png" TargetMode="External"/><Relationship Id="rId730" Type="http://schemas.openxmlformats.org/officeDocument/2006/relationships/hyperlink" Target="http://www.virtustream.com" TargetMode="External"/><Relationship Id="rId2650" Type="http://schemas.openxmlformats.org/officeDocument/2006/relationships/hyperlink" Target="https://community.max.gov/x/xIGIOg" TargetMode="External"/><Relationship Id="rId3982" Type="http://schemas.openxmlformats.org/officeDocument/2006/relationships/hyperlink" Target="https://marketplace.fedramp.gov/img/logos/CSP_logos/Gordian%20Logo.jpg" TargetMode="External"/><Relationship Id="rId1320" Type="http://schemas.openxmlformats.org/officeDocument/2006/relationships/hyperlink" Target="http://azure.microsoft.com/en-us/" TargetMode="External"/><Relationship Id="rId2651" Type="http://schemas.openxmlformats.org/officeDocument/2006/relationships/hyperlink" Target="https://community.max.gov/download/attachments/982024658/ATO%20Letter_WebEx_HHS_FDA_08.25.17.pdf?api=v2" TargetMode="External"/><Relationship Id="rId3981" Type="http://schemas.openxmlformats.org/officeDocument/2006/relationships/hyperlink" Target="http://www.gordian.com/federal" TargetMode="External"/><Relationship Id="rId1321" Type="http://schemas.openxmlformats.org/officeDocument/2006/relationships/hyperlink" Target="https://marketplace.fedramp.gov/img/logos/CSP_logos/Microsoft%20Logo.jpg" TargetMode="External"/><Relationship Id="rId2652" Type="http://schemas.openxmlformats.org/officeDocument/2006/relationships/hyperlink" Target="http://www.cisco.com/go/fedramp" TargetMode="External"/><Relationship Id="rId3984" Type="http://schemas.openxmlformats.org/officeDocument/2006/relationships/hyperlink" Target="https://community.max.gov/x/KoseWg" TargetMode="External"/><Relationship Id="rId1322" Type="http://schemas.openxmlformats.org/officeDocument/2006/relationships/hyperlink" Target="https://community.max.gov/x/XgZfJw" TargetMode="External"/><Relationship Id="rId2653" Type="http://schemas.openxmlformats.org/officeDocument/2006/relationships/hyperlink" Target="https://marketplace.fedramp.gov/img/logos/CSP_logos/Cisco%20Logo.jpg" TargetMode="External"/><Relationship Id="rId3983" Type="http://schemas.openxmlformats.org/officeDocument/2006/relationships/hyperlink" Target="https://marketplace.fedramp.gov/img/logos/Agency_logos/Seal_of_the_United_States_Department_of_Homeland_Security.png" TargetMode="External"/><Relationship Id="rId1356" Type="http://schemas.openxmlformats.org/officeDocument/2006/relationships/hyperlink" Target="mailto:AzureFedRAMP@microsoft.com" TargetMode="External"/><Relationship Id="rId2687" Type="http://schemas.openxmlformats.org/officeDocument/2006/relationships/hyperlink" Target="http://www.maas360.com" TargetMode="External"/><Relationship Id="rId1357" Type="http://schemas.openxmlformats.org/officeDocument/2006/relationships/hyperlink" Target="http://azure.microsoft.com/en-us/" TargetMode="External"/><Relationship Id="rId2688" Type="http://schemas.openxmlformats.org/officeDocument/2006/relationships/hyperlink" Target="https://marketplace.fedramp.gov/img/logos/CSP_logos/MaaS360%20Logo.jpg" TargetMode="External"/><Relationship Id="rId1358" Type="http://schemas.openxmlformats.org/officeDocument/2006/relationships/hyperlink" Target="https://marketplace.fedramp.gov/img/logos/CSP_logos/Microsoft%20Logo.jpg" TargetMode="External"/><Relationship Id="rId2689" Type="http://schemas.openxmlformats.org/officeDocument/2006/relationships/hyperlink" Target="https://marketplace.fedramp.gov/img/logos/Agency_logos/US-DeptOfCommerce-Seal.png" TargetMode="External"/><Relationship Id="rId1359" Type="http://schemas.openxmlformats.org/officeDocument/2006/relationships/hyperlink" Target="https://community.max.gov/download/attachments/1141312492/ATO.Letter_Collab9_FCC_07.19.16.pdf?api=v2" TargetMode="External"/><Relationship Id="rId767" Type="http://schemas.openxmlformats.org/officeDocument/2006/relationships/hyperlink" Target="https://community.max.gov/download/attachments/956630881/ATO.Letter_TIBCO.tibbr_USAID_09.10.15.pdf?api=v2" TargetMode="External"/><Relationship Id="rId766" Type="http://schemas.openxmlformats.org/officeDocument/2006/relationships/hyperlink" Target="https://community.max.gov/x/WAcFOQ" TargetMode="External"/><Relationship Id="rId765" Type="http://schemas.openxmlformats.org/officeDocument/2006/relationships/hyperlink" Target="https://marketplace.fedramp.gov/img/logos/Agency_logos/US-DeptOfHUD-Seal.png" TargetMode="External"/><Relationship Id="rId764" Type="http://schemas.openxmlformats.org/officeDocument/2006/relationships/hyperlink" Target="https://marketplace.fedramp.gov/img/logos/CSP_logos/Microsoft%20Logo.jpg" TargetMode="External"/><Relationship Id="rId769" Type="http://schemas.openxmlformats.org/officeDocument/2006/relationships/hyperlink" Target="https://marketplace.fedramp.gov/img/logos/CSP_logos/TIBCO%20Logo.jpg" TargetMode="External"/><Relationship Id="rId768" Type="http://schemas.openxmlformats.org/officeDocument/2006/relationships/hyperlink" Target="http://www%2Ctibco.com/" TargetMode="External"/><Relationship Id="rId2680" Type="http://schemas.openxmlformats.org/officeDocument/2006/relationships/hyperlink" Target="https://community.max.gov/x/GAugKw" TargetMode="External"/><Relationship Id="rId1350" Type="http://schemas.openxmlformats.org/officeDocument/2006/relationships/hyperlink" Target="https://community.max.gov/download/attachments/1155204180/P-ATO_MSGFS_GSGO_06.21.16.pdf?api=v2" TargetMode="External"/><Relationship Id="rId2681" Type="http://schemas.openxmlformats.org/officeDocument/2006/relationships/hyperlink" Target="https://community.max.gov/download/attachments/1456869572/ATO%20Letter_Acquia_PBGC_03.24.17.pdf?api=v2" TargetMode="External"/><Relationship Id="rId1351" Type="http://schemas.openxmlformats.org/officeDocument/2006/relationships/hyperlink" Target="mailto:AzureFedRAMP@microsoft.com" TargetMode="External"/><Relationship Id="rId2682" Type="http://schemas.openxmlformats.org/officeDocument/2006/relationships/hyperlink" Target="http://www.acquia.com" TargetMode="External"/><Relationship Id="rId763" Type="http://schemas.openxmlformats.org/officeDocument/2006/relationships/hyperlink" Target="http://www.microsoft.office.com" TargetMode="External"/><Relationship Id="rId1352" Type="http://schemas.openxmlformats.org/officeDocument/2006/relationships/hyperlink" Target="http://azure.microsoft.com/en-us/" TargetMode="External"/><Relationship Id="rId2683" Type="http://schemas.openxmlformats.org/officeDocument/2006/relationships/hyperlink" Target="https://marketplace.fedramp.gov/img/logos/CSP_logos/Acquia%20Logo.jpg" TargetMode="External"/><Relationship Id="rId762" Type="http://schemas.openxmlformats.org/officeDocument/2006/relationships/hyperlink" Target="https://community.max.gov/download/attachments/992346706/ATO.Letter_MS.O365_HUD_12.22.14.pdf?api=v2" TargetMode="External"/><Relationship Id="rId1353" Type="http://schemas.openxmlformats.org/officeDocument/2006/relationships/hyperlink" Target="https://marketplace.fedramp.gov/img/logos/CSP_logos/Microsoft%20Logo.jpg" TargetMode="External"/><Relationship Id="rId2684" Type="http://schemas.openxmlformats.org/officeDocument/2006/relationships/hyperlink" Target="https://marketplace.fedramp.gov/img/logos/Agency_logos/PBGC%20logo.png" TargetMode="External"/><Relationship Id="rId761" Type="http://schemas.openxmlformats.org/officeDocument/2006/relationships/hyperlink" Target="https://community.max.gov/x/3JC6L" TargetMode="External"/><Relationship Id="rId1354" Type="http://schemas.openxmlformats.org/officeDocument/2006/relationships/hyperlink" Target="https://community.max.gov/x/WgZfJw" TargetMode="External"/><Relationship Id="rId2685" Type="http://schemas.openxmlformats.org/officeDocument/2006/relationships/hyperlink" Target="https://community.max.gov/x/GBU6Jg" TargetMode="External"/><Relationship Id="rId760" Type="http://schemas.openxmlformats.org/officeDocument/2006/relationships/hyperlink" Target="https://marketplace.fedramp.gov/img/logos/Agency_logos/Seal_of_the_United_States_Department_of_Justice.png" TargetMode="External"/><Relationship Id="rId1355" Type="http://schemas.openxmlformats.org/officeDocument/2006/relationships/hyperlink" Target="https://community.max.gov/download/attachments/1256458242/P-ATO_MSAzure_AG_06.21.16.pdf?api=v2" TargetMode="External"/><Relationship Id="rId2686" Type="http://schemas.openxmlformats.org/officeDocument/2006/relationships/hyperlink" Target="https://community.max.gov/download/attachments/1155203596/ATO%20Letter_MaaS360_DoC_07.14.17.pdf?api=v2" TargetMode="External"/><Relationship Id="rId1345" Type="http://schemas.openxmlformats.org/officeDocument/2006/relationships/hyperlink" Target="https://community.max.gov/download/attachments/952697705/ATO.Letter_ProjectHosts_DOD_DISA_04.03.16.pdf?api=v2" TargetMode="External"/><Relationship Id="rId2676" Type="http://schemas.openxmlformats.org/officeDocument/2006/relationships/hyperlink" Target="https://community.max.gov/download/attachments/992346706/ATO%20Letter_MSO365_DoC_NTIA_08.30.17.pdf?api=v2" TargetMode="External"/><Relationship Id="rId1346" Type="http://schemas.openxmlformats.org/officeDocument/2006/relationships/hyperlink" Target="http://www.projecthosts.com" TargetMode="External"/><Relationship Id="rId2677" Type="http://schemas.openxmlformats.org/officeDocument/2006/relationships/hyperlink" Target="http://www.microsoft.office.com" TargetMode="External"/><Relationship Id="rId1347" Type="http://schemas.openxmlformats.org/officeDocument/2006/relationships/hyperlink" Target="https://marketplace.fedramp.gov/img/logos/CSP_logos/Project%20Hosts%20Logo.jpg" TargetMode="External"/><Relationship Id="rId2678" Type="http://schemas.openxmlformats.org/officeDocument/2006/relationships/hyperlink" Target="https://marketplace.fedramp.gov/img/logos/CSP_logos/Microsoft%20Logo.jpg" TargetMode="External"/><Relationship Id="rId1348" Type="http://schemas.openxmlformats.org/officeDocument/2006/relationships/hyperlink" Target="https://marketplace.fedramp.gov/img/logos/Agency_logos/United_States_Department_of_Defense_Seal.png" TargetMode="External"/><Relationship Id="rId2679" Type="http://schemas.openxmlformats.org/officeDocument/2006/relationships/hyperlink" Target="https://marketplace.fedramp.gov/img/logos/Agency_logos/US-DeptOfCommerce-Seal.png" TargetMode="External"/><Relationship Id="rId1349" Type="http://schemas.openxmlformats.org/officeDocument/2006/relationships/hyperlink" Target="https://community.max.gov/x/XgZfJw" TargetMode="External"/><Relationship Id="rId756" Type="http://schemas.openxmlformats.org/officeDocument/2006/relationships/hyperlink" Target="https://community.max.gov/x/xQIRNQ" TargetMode="External"/><Relationship Id="rId755" Type="http://schemas.openxmlformats.org/officeDocument/2006/relationships/hyperlink" Target="https://marketplace.fedramp.gov/img/logos/Agency_logos/US-DeptOfAgriculture-Seal2.png" TargetMode="External"/><Relationship Id="rId754" Type="http://schemas.openxmlformats.org/officeDocument/2006/relationships/hyperlink" Target="https://marketplace.fedramp.gov/img/logos/CSP_logos/BMC%20Logo.jpg" TargetMode="External"/><Relationship Id="rId753" Type="http://schemas.openxmlformats.org/officeDocument/2006/relationships/hyperlink" Target="http://www.bmc.com/" TargetMode="External"/><Relationship Id="rId759" Type="http://schemas.openxmlformats.org/officeDocument/2006/relationships/hyperlink" Target="https://marketplace.fedramp.gov/img/logos/CSP_logos/Microsoft%20Logo.jpg" TargetMode="External"/><Relationship Id="rId758" Type="http://schemas.openxmlformats.org/officeDocument/2006/relationships/hyperlink" Target="http://office.microsoft.com" TargetMode="External"/><Relationship Id="rId757" Type="http://schemas.openxmlformats.org/officeDocument/2006/relationships/hyperlink" Target="https://community.max.gov/download/attachments/1165985858/ATO.Letter_MS.O365.ITAR_DOJ_05.13.15.pdf?api=v2" TargetMode="External"/><Relationship Id="rId2670" Type="http://schemas.openxmlformats.org/officeDocument/2006/relationships/hyperlink" Target="https://community.max.gov/x/GBU6Jg" TargetMode="External"/><Relationship Id="rId1340" Type="http://schemas.openxmlformats.org/officeDocument/2006/relationships/hyperlink" Target="https://community.max.gov/x/vgVqQQ" TargetMode="External"/><Relationship Id="rId2671" Type="http://schemas.openxmlformats.org/officeDocument/2006/relationships/hyperlink" Target="https://community.max.gov/download/attachments/1155203596/ATO%20Letter_MaaS360_DoC_NTIA_08.30.17.pdf?api=v2" TargetMode="External"/><Relationship Id="rId752" Type="http://schemas.openxmlformats.org/officeDocument/2006/relationships/hyperlink" Target="https://community.max.gov/download/attachments/939819831/FedRAMP%20ATO_Letter%20BMC%20Remedy%20Fed-SAAS_09292015%20.pdf?api=v2" TargetMode="External"/><Relationship Id="rId1341" Type="http://schemas.openxmlformats.org/officeDocument/2006/relationships/hyperlink" Target="https://community.max.gov/download/attachments/1097467326/P-ATO_AWS_GC_05.19.16.pdf?api=v2" TargetMode="External"/><Relationship Id="rId2672" Type="http://schemas.openxmlformats.org/officeDocument/2006/relationships/hyperlink" Target="http://www.maas360.com" TargetMode="External"/><Relationship Id="rId751" Type="http://schemas.openxmlformats.org/officeDocument/2006/relationships/hyperlink" Target="https://community.max.gov/x/m4IEO" TargetMode="External"/><Relationship Id="rId1342" Type="http://schemas.openxmlformats.org/officeDocument/2006/relationships/hyperlink" Target="http://www.aws.amazon.com" TargetMode="External"/><Relationship Id="rId2673" Type="http://schemas.openxmlformats.org/officeDocument/2006/relationships/hyperlink" Target="https://marketplace.fedramp.gov/img/logos/CSP_logos/MaaS360%20Logo.jpg" TargetMode="External"/><Relationship Id="rId750" Type="http://schemas.openxmlformats.org/officeDocument/2006/relationships/hyperlink" Target="https://marketplace.fedramp.gov/img/logos/Agency_logos/US-SmallBusinessAdmin-Seal.png" TargetMode="External"/><Relationship Id="rId1343" Type="http://schemas.openxmlformats.org/officeDocument/2006/relationships/hyperlink" Target="https://marketplace.fedramp.gov/img/logos/CSP_logos/Amazon%20Logo.jpg" TargetMode="External"/><Relationship Id="rId2674" Type="http://schemas.openxmlformats.org/officeDocument/2006/relationships/hyperlink" Target="https://marketplace.fedramp.gov/img/logos/Agency_logos/US-DeptOfCommerce-Seal.png" TargetMode="External"/><Relationship Id="rId1344" Type="http://schemas.openxmlformats.org/officeDocument/2006/relationships/hyperlink" Target="https://community.max.gov/x/EYGKLQ" TargetMode="External"/><Relationship Id="rId2675" Type="http://schemas.openxmlformats.org/officeDocument/2006/relationships/hyperlink" Target="https://community.max.gov/x/3JC6L" TargetMode="External"/><Relationship Id="rId2621" Type="http://schemas.openxmlformats.org/officeDocument/2006/relationships/hyperlink" Target="https://community.max.gov/x/xYGeNw" TargetMode="External"/><Relationship Id="rId3953" Type="http://schemas.openxmlformats.org/officeDocument/2006/relationships/hyperlink" Target="https://www.domaonline.com/federal-government-solutions/" TargetMode="External"/><Relationship Id="rId2622" Type="http://schemas.openxmlformats.org/officeDocument/2006/relationships/hyperlink" Target="https://community.max.gov/download/attachments/1442481749/PATO.Letter_OracleGC_10.04.16.pdf?api=v2" TargetMode="External"/><Relationship Id="rId3952" Type="http://schemas.openxmlformats.org/officeDocument/2006/relationships/hyperlink" Target="https://community.max.gov/x/UQFcV" TargetMode="External"/><Relationship Id="rId2623" Type="http://schemas.openxmlformats.org/officeDocument/2006/relationships/hyperlink" Target="http://www.oracle.com" TargetMode="External"/><Relationship Id="rId3955" Type="http://schemas.openxmlformats.org/officeDocument/2006/relationships/hyperlink" Target="http://www.emergencyreporting.com" TargetMode="External"/><Relationship Id="rId2624" Type="http://schemas.openxmlformats.org/officeDocument/2006/relationships/hyperlink" Target="https://marketplace.fedramp.gov/img/logos/CSP_logos/Oracle%20Logo.jpg" TargetMode="External"/><Relationship Id="rId3954" Type="http://schemas.openxmlformats.org/officeDocument/2006/relationships/hyperlink" Target="https://marketplace.fedramp.gov/img/logos/CSP_logos/DOMA%20Logo.jpg" TargetMode="External"/><Relationship Id="rId2625" Type="http://schemas.openxmlformats.org/officeDocument/2006/relationships/hyperlink" Target="https://community.max.gov/x/KYJsNQ" TargetMode="External"/><Relationship Id="rId3957" Type="http://schemas.openxmlformats.org/officeDocument/2006/relationships/hyperlink" Target="https://marketplace.fedramp.gov/img/logos/Agency_logos/US%20Army%20Logo.jpg" TargetMode="External"/><Relationship Id="rId2626" Type="http://schemas.openxmlformats.org/officeDocument/2006/relationships/hyperlink" Target="https://community.max.gov/download/attachments/923206794/ATO.Letter_DecisionLens_GSA_03.31.17.pdf?api=v2" TargetMode="External"/><Relationship Id="rId3956" Type="http://schemas.openxmlformats.org/officeDocument/2006/relationships/hyperlink" Target="https://marketplace.fedramp.gov/img/logos/CSP_logos/Emergency%20Reporting%20Logo.jpg" TargetMode="External"/><Relationship Id="rId2627" Type="http://schemas.openxmlformats.org/officeDocument/2006/relationships/hyperlink" Target="http://www.decisionlens.com/" TargetMode="External"/><Relationship Id="rId3959" Type="http://schemas.openxmlformats.org/officeDocument/2006/relationships/hyperlink" Target="https://www.envisagenow.com" TargetMode="External"/><Relationship Id="rId2628" Type="http://schemas.openxmlformats.org/officeDocument/2006/relationships/hyperlink" Target="https://marketplace.fedramp.gov/img/logos/CSP_logos/Decision%20Lens%20Logo.jpg" TargetMode="External"/><Relationship Id="rId3958" Type="http://schemas.openxmlformats.org/officeDocument/2006/relationships/hyperlink" Target="https://community.max.gov/x/FgTJO" TargetMode="External"/><Relationship Id="rId709" Type="http://schemas.openxmlformats.org/officeDocument/2006/relationships/hyperlink" Target="https://community.max.gov/download/attachments/992346731/ATO.Letter_WC2_Treasury_10.30.14.pdf?api=v2" TargetMode="External"/><Relationship Id="rId2629" Type="http://schemas.openxmlformats.org/officeDocument/2006/relationships/hyperlink" Target="https://marketplace.fedramp.gov/img/logos/Agency_logos/GSAlogo.png" TargetMode="External"/><Relationship Id="rId708" Type="http://schemas.openxmlformats.org/officeDocument/2006/relationships/hyperlink" Target="https://community.max.gov/x/w4ZYL" TargetMode="External"/><Relationship Id="rId707" Type="http://schemas.openxmlformats.org/officeDocument/2006/relationships/hyperlink" Target="https://marketplace.fedramp.gov/img/logos/Agency_logos/United_States_Department_of_Defense_Seal.png" TargetMode="External"/><Relationship Id="rId706" Type="http://schemas.openxmlformats.org/officeDocument/2006/relationships/hyperlink" Target="https://marketplace.fedramp.gov/img/logos/CSP_logos/USDA%20Logo.jpg" TargetMode="External"/><Relationship Id="rId701" Type="http://schemas.openxmlformats.org/officeDocument/2006/relationships/hyperlink" Target="https://marketplace.fedramp.gov/img/logos/CSP_logos/USDA%20Logo.jpg" TargetMode="External"/><Relationship Id="rId700" Type="http://schemas.openxmlformats.org/officeDocument/2006/relationships/hyperlink" Target="https://www.nfc.usda.gov/" TargetMode="External"/><Relationship Id="rId705" Type="http://schemas.openxmlformats.org/officeDocument/2006/relationships/hyperlink" Target="http://www.ocio.usda.gov/about-ocio/data-center-operations/nitc-cloud-services" TargetMode="External"/><Relationship Id="rId704" Type="http://schemas.openxmlformats.org/officeDocument/2006/relationships/hyperlink" Target="https://community.max.gov/download/attachments/1131251347/ATO.Letter_USDA.NITC_DOD.DISA_3.26.15.pdf?api=v2" TargetMode="External"/><Relationship Id="rId703" Type="http://schemas.openxmlformats.org/officeDocument/2006/relationships/hyperlink" Target="https://community.max.gov/x/w4ZYL" TargetMode="External"/><Relationship Id="rId702" Type="http://schemas.openxmlformats.org/officeDocument/2006/relationships/hyperlink" Target="https://marketplace.fedramp.gov/img/logos/Agency_logos/US-DeptOfAgriculture-Seal2.png" TargetMode="External"/><Relationship Id="rId3951" Type="http://schemas.openxmlformats.org/officeDocument/2006/relationships/hyperlink" Target="https://marketplace.fedramp.gov/img/logos/Agency_logos/US-DeptOfHHS-Seal.png" TargetMode="External"/><Relationship Id="rId2620" Type="http://schemas.openxmlformats.org/officeDocument/2006/relationships/hyperlink" Target="https://marketplace.fedramp.gov/img/logos/Agency_logos/US-FCC-Seal.png" TargetMode="External"/><Relationship Id="rId3950" Type="http://schemas.openxmlformats.org/officeDocument/2006/relationships/hyperlink" Target="https://marketplace.fedramp.gov/img/logos/CSP_logos/DNAnexus%20Logo.jpg" TargetMode="External"/><Relationship Id="rId2610" Type="http://schemas.openxmlformats.org/officeDocument/2006/relationships/hyperlink" Target="https://marketplace.fedramp.gov/img/logos/Agency_logos/United_States_Department_of_Defense_Seal.png" TargetMode="External"/><Relationship Id="rId3942" Type="http://schemas.openxmlformats.org/officeDocument/2006/relationships/hyperlink" Target="https://marketplace.fedramp.gov/img/logos/Agency_logos/US-DeptOfCommerce-Seal.png" TargetMode="External"/><Relationship Id="rId2611" Type="http://schemas.openxmlformats.org/officeDocument/2006/relationships/hyperlink" Target="https://community.max.gov/x/DpBJK" TargetMode="External"/><Relationship Id="rId3941" Type="http://schemas.openxmlformats.org/officeDocument/2006/relationships/hyperlink" Target="https://marketplace.fedramp.gov/img/logos/CSP_logos/CrowdStrike%20Logo.jpg" TargetMode="External"/><Relationship Id="rId2612" Type="http://schemas.openxmlformats.org/officeDocument/2006/relationships/hyperlink" Target="https://community.max.gov/download/attachments/1115488742/ATO.Letter_AWSEW_DoT_IRS_08.08.17.pdf?api=v2" TargetMode="External"/><Relationship Id="rId3944" Type="http://schemas.openxmlformats.org/officeDocument/2006/relationships/hyperlink" Target="http://www.distributedinc.com" TargetMode="External"/><Relationship Id="rId2613" Type="http://schemas.openxmlformats.org/officeDocument/2006/relationships/hyperlink" Target="http://www.aws.amazon.com" TargetMode="External"/><Relationship Id="rId3943" Type="http://schemas.openxmlformats.org/officeDocument/2006/relationships/hyperlink" Target="https://community.max.gov/x/4IWwWQ" TargetMode="External"/><Relationship Id="rId2614" Type="http://schemas.openxmlformats.org/officeDocument/2006/relationships/hyperlink" Target="https://marketplace.fedramp.gov/img/logos/CSP_logos/Amazon%20Logo.jpg" TargetMode="External"/><Relationship Id="rId3946" Type="http://schemas.openxmlformats.org/officeDocument/2006/relationships/hyperlink" Target="https://marketplace.fedramp.gov/img/logos/Agency_logos/Seal_of_the_United_States_Department_of_Justice.png" TargetMode="External"/><Relationship Id="rId2615" Type="http://schemas.openxmlformats.org/officeDocument/2006/relationships/hyperlink" Target="https://marketplace.fedramp.gov/img/logos/Agency_logos/US-DeptOfTheTreasury-Seal.png" TargetMode="External"/><Relationship Id="rId3945" Type="http://schemas.openxmlformats.org/officeDocument/2006/relationships/hyperlink" Target="https://marketplace.fedramp.gov/img/logos/CSP_logos/DSI%20Logo.jpg" TargetMode="External"/><Relationship Id="rId2616" Type="http://schemas.openxmlformats.org/officeDocument/2006/relationships/hyperlink" Target="https://community.max.gov/x/bYq0SQ" TargetMode="External"/><Relationship Id="rId3948" Type="http://schemas.openxmlformats.org/officeDocument/2006/relationships/hyperlink" Target="https://community.max.gov/download/attachments/1447135187/ATO.Letter_DNAnexus_HHS_6.18.18.pdf?api=v2" TargetMode="External"/><Relationship Id="rId2617" Type="http://schemas.openxmlformats.org/officeDocument/2006/relationships/hyperlink" Target="https://community.max.gov/download/attachments/1116603947/ATO.Letter_DocuSign_FCC_06.28.17.pdf?api=v2" TargetMode="External"/><Relationship Id="rId3947" Type="http://schemas.openxmlformats.org/officeDocument/2006/relationships/hyperlink" Target="https://community.max.gov/x/xodBVg" TargetMode="External"/><Relationship Id="rId2618" Type="http://schemas.openxmlformats.org/officeDocument/2006/relationships/hyperlink" Target="http://www.docusign.com/federal" TargetMode="External"/><Relationship Id="rId2619" Type="http://schemas.openxmlformats.org/officeDocument/2006/relationships/hyperlink" Target="https://marketplace.fedramp.gov/img/logos/CSP_logos/DocuSign%20Logo.jpg" TargetMode="External"/><Relationship Id="rId3949" Type="http://schemas.openxmlformats.org/officeDocument/2006/relationships/hyperlink" Target="https://www.dnanexus.com/" TargetMode="External"/><Relationship Id="rId3940" Type="http://schemas.openxmlformats.org/officeDocument/2006/relationships/hyperlink" Target="http://www.crowdstrike.com" TargetMode="External"/><Relationship Id="rId1312" Type="http://schemas.openxmlformats.org/officeDocument/2006/relationships/hyperlink" Target="https://community.max.gov/display/FedRAMPExternal/MS+Azure+ATO+Letters" TargetMode="External"/><Relationship Id="rId2643" Type="http://schemas.openxmlformats.org/officeDocument/2006/relationships/hyperlink" Target="https://marketplace.fedramp.gov/img/logos/CSP_logos/ServiceNow%20Logo.jpg" TargetMode="External"/><Relationship Id="rId3975" Type="http://schemas.openxmlformats.org/officeDocument/2006/relationships/hyperlink" Target="https://fra.me/gov-us" TargetMode="External"/><Relationship Id="rId1313" Type="http://schemas.openxmlformats.org/officeDocument/2006/relationships/hyperlink" Target="https://community.max.gov/download/attachments/1155204218/ATO%20Letter_MSAzure_DOI__07.06.16.pdf?api=v2" TargetMode="External"/><Relationship Id="rId2644" Type="http://schemas.openxmlformats.org/officeDocument/2006/relationships/hyperlink" Target="https://marketplace.fedramp.gov/img/logos/Agency_logos/Seal_of_the_United_States_Department_of_Justice.png" TargetMode="External"/><Relationship Id="rId3974" Type="http://schemas.openxmlformats.org/officeDocument/2006/relationships/hyperlink" Target="https://community.max.gov/x/ZgeMX" TargetMode="External"/><Relationship Id="rId1314" Type="http://schemas.openxmlformats.org/officeDocument/2006/relationships/hyperlink" Target="mailto:adamsoh@microsoft.com" TargetMode="External"/><Relationship Id="rId2645" Type="http://schemas.openxmlformats.org/officeDocument/2006/relationships/hyperlink" Target="https://community.max.gov/x/DpBJK" TargetMode="External"/><Relationship Id="rId3977" Type="http://schemas.openxmlformats.org/officeDocument/2006/relationships/hyperlink" Target="https://community.max.gov/x/_YidWg" TargetMode="External"/><Relationship Id="rId1315" Type="http://schemas.openxmlformats.org/officeDocument/2006/relationships/hyperlink" Target="http://azure.microsoft.com/en-us/" TargetMode="External"/><Relationship Id="rId2646" Type="http://schemas.openxmlformats.org/officeDocument/2006/relationships/hyperlink" Target="https://community.max.gov/download/attachments/1115488742/ATO%20Letter_AWSEW_DoE_NREL_08.18.17.PDF?api=v2" TargetMode="External"/><Relationship Id="rId3976" Type="http://schemas.openxmlformats.org/officeDocument/2006/relationships/hyperlink" Target="https://marketplace.fedramp.gov/img/logos/CSP_logos/Frame%20Logo.jpg" TargetMode="External"/><Relationship Id="rId1316" Type="http://schemas.openxmlformats.org/officeDocument/2006/relationships/hyperlink" Target="https://marketplace.fedramp.gov/img/logos/CSP_logos/Microsoft%20Logo.jpg" TargetMode="External"/><Relationship Id="rId2647" Type="http://schemas.openxmlformats.org/officeDocument/2006/relationships/hyperlink" Target="http://www.aws.amazon.com" TargetMode="External"/><Relationship Id="rId3979" Type="http://schemas.openxmlformats.org/officeDocument/2006/relationships/hyperlink" Target="https://marketplace.fedramp.gov/img/logos/CSP_logos/GitHub_Logo.jpg" TargetMode="External"/><Relationship Id="rId1317" Type="http://schemas.openxmlformats.org/officeDocument/2006/relationships/hyperlink" Target="https://marketplace.fedramp.gov/img/logos/Agency_logos/US-DeptOfTheInterior-Seal.png" TargetMode="External"/><Relationship Id="rId2648" Type="http://schemas.openxmlformats.org/officeDocument/2006/relationships/hyperlink" Target="https://marketplace.fedramp.gov/img/logos/CSP_logos/Amazon%20Logo.jpg" TargetMode="External"/><Relationship Id="rId3978" Type="http://schemas.openxmlformats.org/officeDocument/2006/relationships/hyperlink" Target="https://government.github.com" TargetMode="External"/><Relationship Id="rId1318" Type="http://schemas.openxmlformats.org/officeDocument/2006/relationships/hyperlink" Target="https://community.max.gov/display/FedRAMPExternal/MS+Azure+ATO+Letters" TargetMode="External"/><Relationship Id="rId2649" Type="http://schemas.openxmlformats.org/officeDocument/2006/relationships/hyperlink" Target="https://marketplace.fedramp.gov/img/logos/Agency_logos/US-DeptOfEnergy-Seal.png" TargetMode="External"/><Relationship Id="rId1319" Type="http://schemas.openxmlformats.org/officeDocument/2006/relationships/hyperlink" Target="https://community.max.gov/download/attachments/1256458242/P-ATO_MSAzure_05.19.16.pdf?api=v2" TargetMode="External"/><Relationship Id="rId729" Type="http://schemas.openxmlformats.org/officeDocument/2006/relationships/hyperlink" Target="https://community.max.gov/download/attachments/1155204052/P-ATO_Virtustream_05.26.15.pdf?api=v2" TargetMode="External"/><Relationship Id="rId728" Type="http://schemas.openxmlformats.org/officeDocument/2006/relationships/hyperlink" Target="https://community.max.gov/x/AYIHJw" TargetMode="External"/><Relationship Id="rId723" Type="http://schemas.openxmlformats.org/officeDocument/2006/relationships/hyperlink" Target="https://community.max.gov/x/ogibJw" TargetMode="External"/><Relationship Id="rId722" Type="http://schemas.openxmlformats.org/officeDocument/2006/relationships/hyperlink" Target="https://marketplace.fedramp.gov/img/logos/Agency_logos/US-DeptOfHHS-Seal.png" TargetMode="External"/><Relationship Id="rId721" Type="http://schemas.openxmlformats.org/officeDocument/2006/relationships/hyperlink" Target="https://marketplace.fedramp.gov/img/logos/CSP_logos/IBM%20Logo.jpg" TargetMode="External"/><Relationship Id="rId720" Type="http://schemas.openxmlformats.org/officeDocument/2006/relationships/hyperlink" Target="http://ibm.biz/vzcloud" TargetMode="External"/><Relationship Id="rId727" Type="http://schemas.openxmlformats.org/officeDocument/2006/relationships/hyperlink" Target="https://marketplace.fedramp.gov/img/logos/Agency_logos/United_States_Department_of_Defense_Seal.png" TargetMode="External"/><Relationship Id="rId726" Type="http://schemas.openxmlformats.org/officeDocument/2006/relationships/hyperlink" Target="https://marketplace.fedramp.gov/img/logos/CSP_logos/IBM%20Logo.jpg" TargetMode="External"/><Relationship Id="rId725" Type="http://schemas.openxmlformats.org/officeDocument/2006/relationships/hyperlink" Target="http://ibm.biz/vzcloud" TargetMode="External"/><Relationship Id="rId724" Type="http://schemas.openxmlformats.org/officeDocument/2006/relationships/hyperlink" Target="https://community.max.gov/download/attachments/992346742/ATO.Letter_Verizon_DOD.DISA_3.26.15.pdf?api=v2" TargetMode="External"/><Relationship Id="rId3971" Type="http://schemas.openxmlformats.org/officeDocument/2006/relationships/hyperlink" Target="http://www.forcepoint.com" TargetMode="External"/><Relationship Id="rId2640" Type="http://schemas.openxmlformats.org/officeDocument/2006/relationships/hyperlink" Target="https://community.max.gov/x/QoWaP" TargetMode="External"/><Relationship Id="rId3970" Type="http://schemas.openxmlformats.org/officeDocument/2006/relationships/hyperlink" Target="https://marketplace.fedramp.gov/img/logos/Agency_logos/US-DeptOfHHS-Seal.png" TargetMode="External"/><Relationship Id="rId1310" Type="http://schemas.openxmlformats.org/officeDocument/2006/relationships/hyperlink" Target="https://marketplace.fedramp.gov/img/logos/CSP_logos/Microsoft%20Logo.jpg" TargetMode="External"/><Relationship Id="rId2641" Type="http://schemas.openxmlformats.org/officeDocument/2006/relationships/hyperlink" Target="https://community.max.gov/download/attachments/1256458288/ATO%20Letter_ServiceNow_DoJ_USMS_08.23.17.pdf?api=v2" TargetMode="External"/><Relationship Id="rId3973" Type="http://schemas.openxmlformats.org/officeDocument/2006/relationships/hyperlink" Target="https://marketplace.fedramp.gov/img/logos/Agency_logos/US-OfficeOfPersonnelManagement-Seal.png" TargetMode="External"/><Relationship Id="rId1311" Type="http://schemas.openxmlformats.org/officeDocument/2006/relationships/hyperlink" Target="https://marketplace.fedramp.gov/img/logos/Agency_logos/US-DeptOfTheInterior-Seal.png" TargetMode="External"/><Relationship Id="rId2642" Type="http://schemas.openxmlformats.org/officeDocument/2006/relationships/hyperlink" Target="http://www.servicenow.com" TargetMode="External"/><Relationship Id="rId3972" Type="http://schemas.openxmlformats.org/officeDocument/2006/relationships/hyperlink" Target="https://marketplace.fedramp.gov/img/logos/CSP_logos/Forcepoint%20Logo.jpg" TargetMode="External"/><Relationship Id="rId1301" Type="http://schemas.openxmlformats.org/officeDocument/2006/relationships/hyperlink" Target="https://marketplace.fedramp.gov/img/logos/Agency_logos/Seal_of_the_United_States_Department_of_Veterans_Affairs_(1989-2012).png" TargetMode="External"/><Relationship Id="rId2632" Type="http://schemas.openxmlformats.org/officeDocument/2006/relationships/hyperlink" Target="http://www.oracle.com" TargetMode="External"/><Relationship Id="rId3964" Type="http://schemas.openxmlformats.org/officeDocument/2006/relationships/hyperlink" Target="https://marketplace.fedramp.gov/img/logos/CSP_logos/EPAY%20Systems%20Logo.jpg" TargetMode="External"/><Relationship Id="rId1302" Type="http://schemas.openxmlformats.org/officeDocument/2006/relationships/hyperlink" Target="https://community.max.gov/x/ApBJK" TargetMode="External"/><Relationship Id="rId2633" Type="http://schemas.openxmlformats.org/officeDocument/2006/relationships/hyperlink" Target="https://marketplace.fedramp.gov/img/logos/CSP_logos/Oracle%20Logo.jpg" TargetMode="External"/><Relationship Id="rId3963" Type="http://schemas.openxmlformats.org/officeDocument/2006/relationships/hyperlink" Target="http://www.EPAYsystems.com" TargetMode="External"/><Relationship Id="rId1303" Type="http://schemas.openxmlformats.org/officeDocument/2006/relationships/hyperlink" Target="https://community.max.gov/download/attachments/1113425425/ATO%20Letter_AWSGC_DOD_DISA_06.22.16.pdf?api=v2" TargetMode="External"/><Relationship Id="rId2634" Type="http://schemas.openxmlformats.org/officeDocument/2006/relationships/hyperlink" Target="https://marketplace.fedramp.gov/img/logos/Agency_logos/Seal_of_the_United_States_Department_of_Justice.png" TargetMode="External"/><Relationship Id="rId3966" Type="http://schemas.openxmlformats.org/officeDocument/2006/relationships/hyperlink" Target="https://marketplace.fedramp.gov/img/logos/CSP_logos/Equinix%20Logo.JPG" TargetMode="External"/><Relationship Id="rId1304" Type="http://schemas.openxmlformats.org/officeDocument/2006/relationships/hyperlink" Target="http://www.aws.amazon.com" TargetMode="External"/><Relationship Id="rId2635" Type="http://schemas.openxmlformats.org/officeDocument/2006/relationships/hyperlink" Target="https://community.max.gov/x/xpFORQ" TargetMode="External"/><Relationship Id="rId3965" Type="http://schemas.openxmlformats.org/officeDocument/2006/relationships/hyperlink" Target="https://marketplace.fedramp.gov/img/logos/Agency_logos/US%20Army%20Logo.jpg" TargetMode="External"/><Relationship Id="rId1305" Type="http://schemas.openxmlformats.org/officeDocument/2006/relationships/hyperlink" Target="https://marketplace.fedramp.gov/img/logos/CSP_logos/Amazon%20Logo.jpg" TargetMode="External"/><Relationship Id="rId2636" Type="http://schemas.openxmlformats.org/officeDocument/2006/relationships/hyperlink" Target="https://community.max.gov/download/attachments/1162777036/SpringCM%20FedRAMP%20ATO%20Letter%20v3.pdf?api=v2" TargetMode="External"/><Relationship Id="rId3968" Type="http://schemas.openxmlformats.org/officeDocument/2006/relationships/hyperlink" Target="http://www.exlibrisgroup.com/" TargetMode="External"/><Relationship Id="rId1306" Type="http://schemas.openxmlformats.org/officeDocument/2006/relationships/hyperlink" Target="https://marketplace.fedramp.gov/img/logos/Agency_logos/United_States_Department_of_Defense_Seal.png" TargetMode="External"/><Relationship Id="rId2637" Type="http://schemas.openxmlformats.org/officeDocument/2006/relationships/hyperlink" Target="https://www.springcm.com/" TargetMode="External"/><Relationship Id="rId3967" Type="http://schemas.openxmlformats.org/officeDocument/2006/relationships/hyperlink" Target="https://marketplace.fedramp.gov/img/logos/Agency_logos/US-DeptOfHHS-Seal.png" TargetMode="External"/><Relationship Id="rId1307" Type="http://schemas.openxmlformats.org/officeDocument/2006/relationships/hyperlink" Target="https://community.max.gov/x/3JC6L" TargetMode="External"/><Relationship Id="rId2638" Type="http://schemas.openxmlformats.org/officeDocument/2006/relationships/hyperlink" Target="https://marketplace.fedramp.gov/img/logos/CSP_logos/SpringCM%20Logo.jpg" TargetMode="External"/><Relationship Id="rId1308" Type="http://schemas.openxmlformats.org/officeDocument/2006/relationships/hyperlink" Target="https://community.max.gov/download/attachments/992346706/ATO%20Letter_MSO365_DOI__07.06.16.pdf?api=v2" TargetMode="External"/><Relationship Id="rId2639" Type="http://schemas.openxmlformats.org/officeDocument/2006/relationships/hyperlink" Target="https://marketplace.fedramp.gov/img/logos/Agency_logos/US-DeptOfAgriculture-Seal2.png" TargetMode="External"/><Relationship Id="rId3969" Type="http://schemas.openxmlformats.org/officeDocument/2006/relationships/hyperlink" Target="https://marketplace.fedramp.gov/img/logos/CSP_logos/ExLibris%20Logo.jpg" TargetMode="External"/><Relationship Id="rId1309" Type="http://schemas.openxmlformats.org/officeDocument/2006/relationships/hyperlink" Target="http://www.microsoft.office.com" TargetMode="External"/><Relationship Id="rId719" Type="http://schemas.openxmlformats.org/officeDocument/2006/relationships/hyperlink" Target="https://community.max.gov/download/attachments/992346742/ATO.Letter_Verizon.ECFE_HHS_10.15.14.pdf?api=v2" TargetMode="External"/><Relationship Id="rId718" Type="http://schemas.openxmlformats.org/officeDocument/2006/relationships/hyperlink" Target="https://community.max.gov/x/ogibJw" TargetMode="External"/><Relationship Id="rId717" Type="http://schemas.openxmlformats.org/officeDocument/2006/relationships/hyperlink" Target="https://marketplace.fedramp.gov/img/logos/Agency_logos/United_States_Department_of_Defense_Seal.png" TargetMode="External"/><Relationship Id="rId712" Type="http://schemas.openxmlformats.org/officeDocument/2006/relationships/hyperlink" Target="https://marketplace.fedramp.gov/img/logos/Agency_logos/US-DeptOfTheTreasury-Seal.png" TargetMode="External"/><Relationship Id="rId711" Type="http://schemas.openxmlformats.org/officeDocument/2006/relationships/hyperlink" Target="https://marketplace.fedramp.gov/img/logos/CSP_logos/DoT%20Logo.jpg" TargetMode="External"/><Relationship Id="rId710" Type="http://schemas.openxmlformats.org/officeDocument/2006/relationships/hyperlink" Target="http://workplace.gov" TargetMode="External"/><Relationship Id="rId716" Type="http://schemas.openxmlformats.org/officeDocument/2006/relationships/hyperlink" Target="https://marketplace.fedramp.gov/img/logos/CSP_logos/DoT%20Logo.jpg" TargetMode="External"/><Relationship Id="rId715" Type="http://schemas.openxmlformats.org/officeDocument/2006/relationships/hyperlink" Target="http://workplace.gov" TargetMode="External"/><Relationship Id="rId714" Type="http://schemas.openxmlformats.org/officeDocument/2006/relationships/hyperlink" Target="https://community.max.gov/download/attachments/1317439556/ATO.Letter_Treasury.Workplace.gov_DOD.DISA_3.26.15.pdf?api=v2" TargetMode="External"/><Relationship Id="rId713" Type="http://schemas.openxmlformats.org/officeDocument/2006/relationships/hyperlink" Target="https://community.max.gov/x/w4ZYL" TargetMode="External"/><Relationship Id="rId3960" Type="http://schemas.openxmlformats.org/officeDocument/2006/relationships/hyperlink" Target="https://marketplace.fedramp.gov/img/logos/CSP_logos/Envisage%20Logo.jpg" TargetMode="External"/><Relationship Id="rId2630" Type="http://schemas.openxmlformats.org/officeDocument/2006/relationships/hyperlink" Target="https://community.max.gov/x/goXpPg" TargetMode="External"/><Relationship Id="rId3962" Type="http://schemas.openxmlformats.org/officeDocument/2006/relationships/hyperlink" Target="https://community.max.gov/x/RpuFSQ" TargetMode="External"/><Relationship Id="rId1300" Type="http://schemas.openxmlformats.org/officeDocument/2006/relationships/hyperlink" Target="https://marketplace.fedramp.gov/img/logos/CSP_logos/Amazon%20Logo.jpg" TargetMode="External"/><Relationship Id="rId2631" Type="http://schemas.openxmlformats.org/officeDocument/2006/relationships/hyperlink" Target="https://community.max.gov/download/attachments/1216714412/ATO.Letter_OracleTaleo_DoJ_BoP_06.13.17.pdf?api=v2" TargetMode="External"/><Relationship Id="rId3961" Type="http://schemas.openxmlformats.org/officeDocument/2006/relationships/hyperlink" Target="https://marketplace.fedramp.gov/img/logos/Agency_logos/DoS%20Logo.png" TargetMode="External"/><Relationship Id="rId3117" Type="http://schemas.openxmlformats.org/officeDocument/2006/relationships/hyperlink" Target="https://marketplace.fedramp.gov/img/logos/CSP_logos/PTC%20Logo.jpg" TargetMode="External"/><Relationship Id="rId3116" Type="http://schemas.openxmlformats.org/officeDocument/2006/relationships/hyperlink" Target="http://www.ptc.com/services/cloud" TargetMode="External"/><Relationship Id="rId3119" Type="http://schemas.openxmlformats.org/officeDocument/2006/relationships/hyperlink" Target="https://community.max.gov/x/3JC6L" TargetMode="External"/><Relationship Id="rId3118" Type="http://schemas.openxmlformats.org/officeDocument/2006/relationships/hyperlink" Target="https://marketplace.fedramp.gov/img/logos/Agency_logos/NASA_logo.png" TargetMode="External"/><Relationship Id="rId3111" Type="http://schemas.openxmlformats.org/officeDocument/2006/relationships/hyperlink" Target="https://community.max.gov/download/attachments/1115488742/P-ATO_AWS_EW_11.13.17.pdf?api=v2" TargetMode="External"/><Relationship Id="rId3110" Type="http://schemas.openxmlformats.org/officeDocument/2006/relationships/hyperlink" Target="https://community.max.gov/x/DpBJK" TargetMode="External"/><Relationship Id="rId3113" Type="http://schemas.openxmlformats.org/officeDocument/2006/relationships/hyperlink" Target="https://marketplace.fedramp.gov/img/logos/CSP_logos/Amazon%20Logo.jpg" TargetMode="External"/><Relationship Id="rId3112" Type="http://schemas.openxmlformats.org/officeDocument/2006/relationships/hyperlink" Target="http://www.aws.amazon.com" TargetMode="External"/><Relationship Id="rId3115" Type="http://schemas.openxmlformats.org/officeDocument/2006/relationships/hyperlink" Target="https://community.max.gov/download/attachments/1420429605/PTC%20CS%20A1%20ISPP%2001%20NASA%20ATO%20v3.0.pdf?api=v2" TargetMode="External"/><Relationship Id="rId3114" Type="http://schemas.openxmlformats.org/officeDocument/2006/relationships/hyperlink" Target="https://community.max.gov/x/mIbtR" TargetMode="External"/><Relationship Id="rId3106" Type="http://schemas.openxmlformats.org/officeDocument/2006/relationships/hyperlink" Target="https://community.max.gov/x/XYIVPQ" TargetMode="External"/><Relationship Id="rId3105" Type="http://schemas.openxmlformats.org/officeDocument/2006/relationships/hyperlink" Target="https://marketplace.fedramp.gov/img/logos/Agency_logos/US-DeptOfHHS-Seal.png" TargetMode="External"/><Relationship Id="rId3108" Type="http://schemas.openxmlformats.org/officeDocument/2006/relationships/hyperlink" Target="https://www.sapns2.com/cloud/" TargetMode="External"/><Relationship Id="rId3107" Type="http://schemas.openxmlformats.org/officeDocument/2006/relationships/hyperlink" Target="https://community.max.gov/download/attachments/1356301811/P-ATO_SAPNS2_11.13.17.pdf?api=v2" TargetMode="External"/><Relationship Id="rId3109" Type="http://schemas.openxmlformats.org/officeDocument/2006/relationships/hyperlink" Target="https://marketplace.fedramp.gov/img/logos/CSP_logos/SAP%20NS2%20Logo1.jpg" TargetMode="External"/><Relationship Id="rId3100" Type="http://schemas.openxmlformats.org/officeDocument/2006/relationships/hyperlink" Target="https://marketplace.fedramp.gov/img/logos/Agency_logos/US-DeptOfHHS-Seal.png" TargetMode="External"/><Relationship Id="rId3102" Type="http://schemas.openxmlformats.org/officeDocument/2006/relationships/hyperlink" Target="https://community.max.gov/download/attachments/936118328/ATO.Letter_Acquia_HHS_NIH_11.03.17.pdf?api=v2" TargetMode="External"/><Relationship Id="rId3101" Type="http://schemas.openxmlformats.org/officeDocument/2006/relationships/hyperlink" Target="https://community.max.gov/x/GAugKw" TargetMode="External"/><Relationship Id="rId3104" Type="http://schemas.openxmlformats.org/officeDocument/2006/relationships/hyperlink" Target="https://marketplace.fedramp.gov/img/logos/CSP_logos/Acquia%20Logo.jpg" TargetMode="External"/><Relationship Id="rId3103" Type="http://schemas.openxmlformats.org/officeDocument/2006/relationships/hyperlink" Target="http://www.acquia.com" TargetMode="External"/><Relationship Id="rId3139" Type="http://schemas.openxmlformats.org/officeDocument/2006/relationships/hyperlink" Target="https://marketplace.fedramp.gov/img/logos/Agency_logos/US-DeptOfTheTreasury-Seal.png" TargetMode="External"/><Relationship Id="rId3138" Type="http://schemas.openxmlformats.org/officeDocument/2006/relationships/hyperlink" Target="https://marketplace.fedramp.gov/img/logos/CSP_logos/ServiceNow%20Logo.jpg" TargetMode="External"/><Relationship Id="rId3131" Type="http://schemas.openxmlformats.org/officeDocument/2006/relationships/hyperlink" Target="mailto:DToy@csod.com" TargetMode="External"/><Relationship Id="rId3130" Type="http://schemas.openxmlformats.org/officeDocument/2006/relationships/hyperlink" Target="https://community.max.gov/download/attachments/930415021/USPS%20-%20IHRS%20Certification%20and%20Accreditation%20Letter%20signed.pdf?api=v2" TargetMode="External"/><Relationship Id="rId3133" Type="http://schemas.openxmlformats.org/officeDocument/2006/relationships/hyperlink" Target="https://marketplace.fedramp.gov/img/logos/CSP_logos/Cornerstone%20Logo.jpg" TargetMode="External"/><Relationship Id="rId3132" Type="http://schemas.openxmlformats.org/officeDocument/2006/relationships/hyperlink" Target="http://www.cornerstoneondemand.com/" TargetMode="External"/><Relationship Id="rId3135" Type="http://schemas.openxmlformats.org/officeDocument/2006/relationships/hyperlink" Target="https://community.max.gov/x/QoWaP" TargetMode="External"/><Relationship Id="rId3134" Type="http://schemas.openxmlformats.org/officeDocument/2006/relationships/hyperlink" Target="https://marketplace.fedramp.gov/img/logos/Agency_logos/USPS%20Logo.png" TargetMode="External"/><Relationship Id="rId3137" Type="http://schemas.openxmlformats.org/officeDocument/2006/relationships/hyperlink" Target="http://www.servicenow.com" TargetMode="External"/><Relationship Id="rId3136" Type="http://schemas.openxmlformats.org/officeDocument/2006/relationships/hyperlink" Target="https://community.max.gov/download/attachments/1155203837/ATO.Letter_ServiceNow_DoT_IRS_12.08.17.pdf?api=v2" TargetMode="External"/><Relationship Id="rId3128" Type="http://schemas.openxmlformats.org/officeDocument/2006/relationships/hyperlink" Target="https://marketplace.fedramp.gov/img/logos/Agency_logos/GSAlogo.png" TargetMode="External"/><Relationship Id="rId3127" Type="http://schemas.openxmlformats.org/officeDocument/2006/relationships/hyperlink" Target="https://marketplace.fedramp.gov/img/logos/CSP_logos/CloudLock%20Logo.jpg" TargetMode="External"/><Relationship Id="rId3129" Type="http://schemas.openxmlformats.org/officeDocument/2006/relationships/hyperlink" Target="https://community.max.gov/x/fgIhMg" TargetMode="External"/><Relationship Id="rId3120" Type="http://schemas.openxmlformats.org/officeDocument/2006/relationships/hyperlink" Target="https://community.max.gov/download/attachments/992346706/ATO.Letter_MSO365_DoD_DISA_12.03.17.pdf?api=v2" TargetMode="External"/><Relationship Id="rId3122" Type="http://schemas.openxmlformats.org/officeDocument/2006/relationships/hyperlink" Target="https://marketplace.fedramp.gov/img/logos/CSP_logos/Microsoft%20Logo.jpg" TargetMode="External"/><Relationship Id="rId3121" Type="http://schemas.openxmlformats.org/officeDocument/2006/relationships/hyperlink" Target="http://www.microsoft.office.com" TargetMode="External"/><Relationship Id="rId3124" Type="http://schemas.openxmlformats.org/officeDocument/2006/relationships/hyperlink" Target="https://community.max.gov/x/MYTuTg" TargetMode="External"/><Relationship Id="rId3123" Type="http://schemas.openxmlformats.org/officeDocument/2006/relationships/hyperlink" Target="https://marketplace.fedramp.gov/img/logos/Agency_logos/United_States_Department_of_Defense_Seal.png" TargetMode="External"/><Relationship Id="rId3126" Type="http://schemas.openxmlformats.org/officeDocument/2006/relationships/hyperlink" Target="http://www.cloudlock.com" TargetMode="External"/><Relationship Id="rId3125" Type="http://schemas.openxmlformats.org/officeDocument/2006/relationships/hyperlink" Target="https://community.max.gov/download/attachments/1324254280/ATO.Letter_Cloudlock_GSA_11.14.17.pdf?api=v2" TargetMode="External"/><Relationship Id="rId1378" Type="http://schemas.openxmlformats.org/officeDocument/2006/relationships/hyperlink" Target="https://marketplace.fedramp.gov/img/logos/Agency_logos/Environmental_Protection_Agency_logo.png" TargetMode="External"/><Relationship Id="rId1379" Type="http://schemas.openxmlformats.org/officeDocument/2006/relationships/hyperlink" Target="https://community.max.gov/x/DpBJK" TargetMode="External"/><Relationship Id="rId789" Type="http://schemas.openxmlformats.org/officeDocument/2006/relationships/hyperlink" Target="https://marketplace.fedramp.gov/img/logos/CSP_logos/Salesforce%20Logo.jpg" TargetMode="External"/><Relationship Id="rId788" Type="http://schemas.openxmlformats.org/officeDocument/2006/relationships/hyperlink" Target="http://www.salesforce.com/industries/public-sector" TargetMode="External"/><Relationship Id="rId787" Type="http://schemas.openxmlformats.org/officeDocument/2006/relationships/hyperlink" Target="https://community.max.gov/download/attachments/992346725/ATO.Letter_Salesforce_DHS_07.29.15.pdf?api=v2" TargetMode="External"/><Relationship Id="rId786" Type="http://schemas.openxmlformats.org/officeDocument/2006/relationships/hyperlink" Target="https://community.max.gov/x/eQs3Kw" TargetMode="External"/><Relationship Id="rId781" Type="http://schemas.openxmlformats.org/officeDocument/2006/relationships/hyperlink" Target="https://community.max.gov/x/8A4GJg" TargetMode="External"/><Relationship Id="rId1370" Type="http://schemas.openxmlformats.org/officeDocument/2006/relationships/hyperlink" Target="http://www.maas360.com" TargetMode="External"/><Relationship Id="rId780" Type="http://schemas.openxmlformats.org/officeDocument/2006/relationships/hyperlink" Target="https://marketplace.fedramp.gov/img/logos/Agency_logos/Seal_of_the_United_States_Department_of_Homeland_Security.png" TargetMode="External"/><Relationship Id="rId1371" Type="http://schemas.openxmlformats.org/officeDocument/2006/relationships/hyperlink" Target="https://marketplace.fedramp.gov/img/logos/CSP_logos/MaaS360%20Logo.jpg" TargetMode="External"/><Relationship Id="rId1372" Type="http://schemas.openxmlformats.org/officeDocument/2006/relationships/hyperlink" Target="https://marketplace.fedramp.gov/img/logos/Agency_logos/US-DeptOfCommerce-Seal.png" TargetMode="External"/><Relationship Id="rId1373" Type="http://schemas.openxmlformats.org/officeDocument/2006/relationships/hyperlink" Target="https://community.max.gov/display/FedRAMPExternal/MS+Azure+ATO+Letters" TargetMode="External"/><Relationship Id="rId785" Type="http://schemas.openxmlformats.org/officeDocument/2006/relationships/hyperlink" Target="https://marketplace.fedramp.gov/img/logos/Agency_logos/Seal_of_the_United_States_Department_of_Homeland_Security.png" TargetMode="External"/><Relationship Id="rId1374" Type="http://schemas.openxmlformats.org/officeDocument/2006/relationships/hyperlink" Target="https://community.max.gov/download/attachments/1155204218/ATO.Letter_MSAzure_EPA_12.22.15.pdf?api=v2" TargetMode="External"/><Relationship Id="rId784" Type="http://schemas.openxmlformats.org/officeDocument/2006/relationships/hyperlink" Target="https://marketplace.fedramp.gov/img/logos/CSP_logos/CoSo%20Logo.jpg" TargetMode="External"/><Relationship Id="rId1375" Type="http://schemas.openxmlformats.org/officeDocument/2006/relationships/hyperlink" Target="mailto:adamsoh@microsoft.com" TargetMode="External"/><Relationship Id="rId783" Type="http://schemas.openxmlformats.org/officeDocument/2006/relationships/hyperlink" Target="https://www.cosocloud.com" TargetMode="External"/><Relationship Id="rId1376" Type="http://schemas.openxmlformats.org/officeDocument/2006/relationships/hyperlink" Target="http://azure.microsoft.com/en-us/" TargetMode="External"/><Relationship Id="rId782" Type="http://schemas.openxmlformats.org/officeDocument/2006/relationships/hyperlink" Target="https://community.max.gov/download/attachments/992346665/ATO.Letter_ConnectSolutions_DHS_07.29.15.pdf?api=v2" TargetMode="External"/><Relationship Id="rId1377" Type="http://schemas.openxmlformats.org/officeDocument/2006/relationships/hyperlink" Target="https://marketplace.fedramp.gov/img/logos/CSP_logos/Microsoft%20Logo.jpg" TargetMode="External"/><Relationship Id="rId1367" Type="http://schemas.openxmlformats.org/officeDocument/2006/relationships/hyperlink" Target="https://marketplace.fedramp.gov/img/logos/Agency_logos/Environmental_Protection_Agency_logo.png" TargetMode="External"/><Relationship Id="rId2698" Type="http://schemas.openxmlformats.org/officeDocument/2006/relationships/hyperlink" Target="https://marketplace.fedramp.gov/img/logos/CSP_logos/MicroPact%20Logo.jpg" TargetMode="External"/><Relationship Id="rId1368" Type="http://schemas.openxmlformats.org/officeDocument/2006/relationships/hyperlink" Target="https://community.max.gov/x/GBU6Jg" TargetMode="External"/><Relationship Id="rId2699" Type="http://schemas.openxmlformats.org/officeDocument/2006/relationships/hyperlink" Target="https://marketplace.fedramp.gov/img/logos/Agency_logos/US-DeptOfCommerce-Seal.png" TargetMode="External"/><Relationship Id="rId1369" Type="http://schemas.openxmlformats.org/officeDocument/2006/relationships/hyperlink" Target="https://community.max.gov/download/attachments/1155203596/ATO.Letter_IBMMaaS360_DOC_NIST_12.23.15.pdf?api=v2" TargetMode="External"/><Relationship Id="rId778" Type="http://schemas.openxmlformats.org/officeDocument/2006/relationships/hyperlink" Target="http://www.adobe.com" TargetMode="External"/><Relationship Id="rId777" Type="http://schemas.openxmlformats.org/officeDocument/2006/relationships/hyperlink" Target="https://community.max.gov/download/attachments/921272752/ATO.Letter_Adobe_DHS_07.29.15.pdf?api=v2" TargetMode="External"/><Relationship Id="rId776" Type="http://schemas.openxmlformats.org/officeDocument/2006/relationships/hyperlink" Target="https://community.max.gov/x/WIHpNg" TargetMode="External"/><Relationship Id="rId775" Type="http://schemas.openxmlformats.org/officeDocument/2006/relationships/hyperlink" Target="https://marketplace.fedramp.gov/img/logos/Agency_logos/US-OfficeOfGovernmentEthics-Logo.png" TargetMode="External"/><Relationship Id="rId779" Type="http://schemas.openxmlformats.org/officeDocument/2006/relationships/hyperlink" Target="https://marketplace.fedramp.gov/img/logos/CSP_logos/Adobe%20Logo.jpg" TargetMode="External"/><Relationship Id="rId770" Type="http://schemas.openxmlformats.org/officeDocument/2006/relationships/hyperlink" Target="https://marketplace.fedramp.gov/img/logos/Agency_logos/USAID-Seal.png" TargetMode="External"/><Relationship Id="rId2690" Type="http://schemas.openxmlformats.org/officeDocument/2006/relationships/hyperlink" Target="https://community.max.gov/x/3JC6L" TargetMode="External"/><Relationship Id="rId1360" Type="http://schemas.openxmlformats.org/officeDocument/2006/relationships/hyperlink" Target="https://marketplace.fedramp.gov/img/logos/CSP_logos/Collab9%20Logo%202.jpg" TargetMode="External"/><Relationship Id="rId2691" Type="http://schemas.openxmlformats.org/officeDocument/2006/relationships/hyperlink" Target="https://community.max.gov/download/attachments/992346706/ATO%20Letter_MSO365_DoC_07.14.17.pdf?api=v2" TargetMode="External"/><Relationship Id="rId1361" Type="http://schemas.openxmlformats.org/officeDocument/2006/relationships/hyperlink" Target="https://marketplace.fedramp.gov/img/logos/Agency_logos/US-FCC-Seal.png" TargetMode="External"/><Relationship Id="rId2692" Type="http://schemas.openxmlformats.org/officeDocument/2006/relationships/hyperlink" Target="http://www.microsoft.office.com" TargetMode="External"/><Relationship Id="rId1362" Type="http://schemas.openxmlformats.org/officeDocument/2006/relationships/hyperlink" Target="https://community.max.gov/display/FedRAMPExternal/MS+Azure+ATO+Letters" TargetMode="External"/><Relationship Id="rId2693" Type="http://schemas.openxmlformats.org/officeDocument/2006/relationships/hyperlink" Target="https://marketplace.fedramp.gov/img/logos/CSP_logos/Microsoft%20Logo.jpg" TargetMode="External"/><Relationship Id="rId774" Type="http://schemas.openxmlformats.org/officeDocument/2006/relationships/hyperlink" Target="https://marketplace.fedramp.gov/img/logos/CSP_logos/USDA%20Logo.jpg" TargetMode="External"/><Relationship Id="rId1363" Type="http://schemas.openxmlformats.org/officeDocument/2006/relationships/hyperlink" Target="https://community.max.gov/download/attachments/1155204218/ATO.Letter_MSAzure_EPA_04.11.16.pdf?api=v2" TargetMode="External"/><Relationship Id="rId2694" Type="http://schemas.openxmlformats.org/officeDocument/2006/relationships/hyperlink" Target="https://marketplace.fedramp.gov/img/logos/Agency_logos/US-DeptOfCommerce-Seal.png" TargetMode="External"/><Relationship Id="rId773" Type="http://schemas.openxmlformats.org/officeDocument/2006/relationships/hyperlink" Target="http://www.ocio.usda.gov/about-ocio/data-center-operations/nitc-cloud-services" TargetMode="External"/><Relationship Id="rId1364" Type="http://schemas.openxmlformats.org/officeDocument/2006/relationships/hyperlink" Target="mailto:adamsoh@microsoft.com" TargetMode="External"/><Relationship Id="rId2695" Type="http://schemas.openxmlformats.org/officeDocument/2006/relationships/hyperlink" Target="https://community.max.gov/x/GgwdJg" TargetMode="External"/><Relationship Id="rId772" Type="http://schemas.openxmlformats.org/officeDocument/2006/relationships/hyperlink" Target="https://community.max.gov/download/attachments/992346739/ATO.Letter_USDANITC_OGE_07.23.15.pdf?api=v2" TargetMode="External"/><Relationship Id="rId1365" Type="http://schemas.openxmlformats.org/officeDocument/2006/relationships/hyperlink" Target="http://azure.microsoft.com/en-us/" TargetMode="External"/><Relationship Id="rId2696" Type="http://schemas.openxmlformats.org/officeDocument/2006/relationships/hyperlink" Target="https://community.max.gov/download/attachments/992346701/ATO%20Letter_MicroPact_DoC_06.12.17.pdf?api=v2" TargetMode="External"/><Relationship Id="rId771" Type="http://schemas.openxmlformats.org/officeDocument/2006/relationships/hyperlink" Target="https://community.max.gov/x/w4ZYL" TargetMode="External"/><Relationship Id="rId1366" Type="http://schemas.openxmlformats.org/officeDocument/2006/relationships/hyperlink" Target="https://marketplace.fedramp.gov/img/logos/CSP_logos/Microsoft%20Logo.jpg" TargetMode="External"/><Relationship Id="rId2697" Type="http://schemas.openxmlformats.org/officeDocument/2006/relationships/hyperlink" Target="http://www.micropact.com" TargetMode="External"/><Relationship Id="rId1390" Type="http://schemas.openxmlformats.org/officeDocument/2006/relationships/hyperlink" Target="https://community.max.gov/download/attachments/1155204167/ATO.Letter_Connect.gov_GSA_07.12.16.pdf?api=v2" TargetMode="External"/><Relationship Id="rId1391" Type="http://schemas.openxmlformats.org/officeDocument/2006/relationships/hyperlink" Target="http://securekey.com/products-services/briidge-net-exchange-byoc/" TargetMode="External"/><Relationship Id="rId1392" Type="http://schemas.openxmlformats.org/officeDocument/2006/relationships/hyperlink" Target="https://marketplace.fedramp.gov/img/logos/Agency_logos/GSAlogo.png" TargetMode="External"/><Relationship Id="rId1393" Type="http://schemas.openxmlformats.org/officeDocument/2006/relationships/hyperlink" Target="https://community.max.gov/x/44BdLw" TargetMode="External"/><Relationship Id="rId1394" Type="http://schemas.openxmlformats.org/officeDocument/2006/relationships/hyperlink" Target="https://community.max.gov/download/attachments/992346679/ATO.Letter_Esri_HUD_07.22.16.pdf?api=v2" TargetMode="External"/><Relationship Id="rId1395" Type="http://schemas.openxmlformats.org/officeDocument/2006/relationships/hyperlink" Target="http://www.esri.com" TargetMode="External"/><Relationship Id="rId1396" Type="http://schemas.openxmlformats.org/officeDocument/2006/relationships/hyperlink" Target="https://marketplace.fedramp.gov/img/logos/CSP_logos/Esri%20Logo2.jpg" TargetMode="External"/><Relationship Id="rId1397" Type="http://schemas.openxmlformats.org/officeDocument/2006/relationships/hyperlink" Target="https://marketplace.fedramp.gov/img/logos/Agency_logos/US-DeptOfHUD-Seal.png" TargetMode="External"/><Relationship Id="rId1398" Type="http://schemas.openxmlformats.org/officeDocument/2006/relationships/hyperlink" Target="https://community.max.gov/x/34ngVQ" TargetMode="External"/><Relationship Id="rId1399" Type="http://schemas.openxmlformats.org/officeDocument/2006/relationships/hyperlink" Target="https://community.max.gov/download/attachments/1531087271/ATO.Letter_Google_USAID_04.27.16.pdf?api=v2" TargetMode="External"/><Relationship Id="rId1389" Type="http://schemas.openxmlformats.org/officeDocument/2006/relationships/hyperlink" Target="https://community.max.gov/x/Jo2FKQ" TargetMode="External"/><Relationship Id="rId799" Type="http://schemas.openxmlformats.org/officeDocument/2006/relationships/hyperlink" Target="https://marketplace.fedramp.gov/img/logos/CSP_logos/QTS%20Logo.jpg" TargetMode="External"/><Relationship Id="rId798" Type="http://schemas.openxmlformats.org/officeDocument/2006/relationships/hyperlink" Target="https://community.max.gov/x/mAS0LQ" TargetMode="External"/><Relationship Id="rId797" Type="http://schemas.openxmlformats.org/officeDocument/2006/relationships/hyperlink" Target="https://marketplace.fedramp.gov/img/logos/CSP_logos/Project%20Hosts%20Logo.jpg" TargetMode="External"/><Relationship Id="rId1380" Type="http://schemas.openxmlformats.org/officeDocument/2006/relationships/hyperlink" Target="https://community.max.gov/download/attachments/1115488742/ATO.Letter_AWSEW_DOL_07.21.16.pdf?api=v2" TargetMode="External"/><Relationship Id="rId792" Type="http://schemas.openxmlformats.org/officeDocument/2006/relationships/hyperlink" Target="https://community.max.gov/download/attachments/992346679/ATO.Letter_ESRI_DOC_08.06.15.pdf?api=v2" TargetMode="External"/><Relationship Id="rId1381" Type="http://schemas.openxmlformats.org/officeDocument/2006/relationships/hyperlink" Target="http://www.aws.amazon.com" TargetMode="External"/><Relationship Id="rId791" Type="http://schemas.openxmlformats.org/officeDocument/2006/relationships/hyperlink" Target="https://community.max.gov/x/44BdLw" TargetMode="External"/><Relationship Id="rId1382" Type="http://schemas.openxmlformats.org/officeDocument/2006/relationships/hyperlink" Target="https://marketplace.fedramp.gov/img/logos/CSP_logos/Amazon%20Logo.jpg" TargetMode="External"/><Relationship Id="rId790" Type="http://schemas.openxmlformats.org/officeDocument/2006/relationships/hyperlink" Target="https://marketplace.fedramp.gov/img/logos/Agency_logos/Seal_of_the_United_States_Department_of_Homeland_Security.png" TargetMode="External"/><Relationship Id="rId1383" Type="http://schemas.openxmlformats.org/officeDocument/2006/relationships/hyperlink" Target="https://marketplace.fedramp.gov/img/logos/Agency_logos/US-DeptOfLabor-Seal-AltColors.svg.png" TargetMode="External"/><Relationship Id="rId1384" Type="http://schemas.openxmlformats.org/officeDocument/2006/relationships/hyperlink" Target="https://community.max.gov/x/DpBJK" TargetMode="External"/><Relationship Id="rId796" Type="http://schemas.openxmlformats.org/officeDocument/2006/relationships/hyperlink" Target="http://www.projecthosts.com" TargetMode="External"/><Relationship Id="rId1385" Type="http://schemas.openxmlformats.org/officeDocument/2006/relationships/hyperlink" Target="https://community.max.gov/download/attachments/1115488742/ATO.Letter_AWSEW_NSF_03.25.16.pdf?api=v2" TargetMode="External"/><Relationship Id="rId795" Type="http://schemas.openxmlformats.org/officeDocument/2006/relationships/hyperlink" Target="https://community.max.gov/x/EYGKLQ" TargetMode="External"/><Relationship Id="rId1386" Type="http://schemas.openxmlformats.org/officeDocument/2006/relationships/hyperlink" Target="http://www.aws.amazon.com" TargetMode="External"/><Relationship Id="rId794" Type="http://schemas.openxmlformats.org/officeDocument/2006/relationships/hyperlink" Target="https://marketplace.fedramp.gov/img/logos/CSP_logos/Esri%20Logo2.jpg" TargetMode="External"/><Relationship Id="rId1387" Type="http://schemas.openxmlformats.org/officeDocument/2006/relationships/hyperlink" Target="https://marketplace.fedramp.gov/img/logos/CSP_logos/Amazon%20Logo.jpg" TargetMode="External"/><Relationship Id="rId793" Type="http://schemas.openxmlformats.org/officeDocument/2006/relationships/hyperlink" Target="http://www.esri.com" TargetMode="External"/><Relationship Id="rId1388" Type="http://schemas.openxmlformats.org/officeDocument/2006/relationships/hyperlink" Target="https://marketplace.fedramp.gov/img/logos/Agency_logos/NSF.png" TargetMode="External"/><Relationship Id="rId3191" Type="http://schemas.openxmlformats.org/officeDocument/2006/relationships/hyperlink" Target="https://community.max.gov/download/attachments/1155204092/ATO.Letter_ARC-P_OPM_1.18.18.pdf?api=v2" TargetMode="External"/><Relationship Id="rId3190" Type="http://schemas.openxmlformats.org/officeDocument/2006/relationships/hyperlink" Target="https://community.max.gov/x/bI5VJQ" TargetMode="External"/><Relationship Id="rId3193" Type="http://schemas.openxmlformats.org/officeDocument/2006/relationships/hyperlink" Target="https://marketplace.fedramp.gov/img/logos/CSP_logos/ARC-P%20Logo.jpg" TargetMode="External"/><Relationship Id="rId3192" Type="http://schemas.openxmlformats.org/officeDocument/2006/relationships/hyperlink" Target="http://www.autonomicresources.com" TargetMode="External"/><Relationship Id="rId3195" Type="http://schemas.openxmlformats.org/officeDocument/2006/relationships/hyperlink" Target="https://community.max.gov/x/UQK2PQ" TargetMode="External"/><Relationship Id="rId3194" Type="http://schemas.openxmlformats.org/officeDocument/2006/relationships/hyperlink" Target="https://marketplace.fedramp.gov/img/logos/Agency_logos/US-OfficeOfPersonnelManagement-Seal.png" TargetMode="External"/><Relationship Id="rId3197" Type="http://schemas.openxmlformats.org/officeDocument/2006/relationships/hyperlink" Target="http://www.box.com" TargetMode="External"/><Relationship Id="rId3196" Type="http://schemas.openxmlformats.org/officeDocument/2006/relationships/hyperlink" Target="https://community.max.gov/download/attachments/1035338333/ATO.Letter_Box_DoE_NNSA_LLNL_1.10.18.pdf?api=v2" TargetMode="External"/><Relationship Id="rId3199" Type="http://schemas.openxmlformats.org/officeDocument/2006/relationships/hyperlink" Target="https://marketplace.fedramp.gov/img/logos/Agency_logos/US-DeptOfEnergy-Seal.png" TargetMode="External"/><Relationship Id="rId3198" Type="http://schemas.openxmlformats.org/officeDocument/2006/relationships/hyperlink" Target="https://marketplace.fedramp.gov/img/logos/CSP_logos/Box%20Logo.jpg" TargetMode="External"/><Relationship Id="rId3180" Type="http://schemas.openxmlformats.org/officeDocument/2006/relationships/hyperlink" Target="https://community.max.gov/x/DpBJK" TargetMode="External"/><Relationship Id="rId3182" Type="http://schemas.openxmlformats.org/officeDocument/2006/relationships/hyperlink" Target="http://www.aws.amazon.com" TargetMode="External"/><Relationship Id="rId3181" Type="http://schemas.openxmlformats.org/officeDocument/2006/relationships/hyperlink" Target="https://community.max.gov/download/attachments/1115488742/ATO.Letter_AWSEW_DoC_USPTO_1.9.18.pdf?api=v2" TargetMode="External"/><Relationship Id="rId3184" Type="http://schemas.openxmlformats.org/officeDocument/2006/relationships/hyperlink" Target="https://marketplace.fedramp.gov/img/logos/Agency_logos/US-DeptOfCommerce-Seal.png" TargetMode="External"/><Relationship Id="rId3183" Type="http://schemas.openxmlformats.org/officeDocument/2006/relationships/hyperlink" Target="https://marketplace.fedramp.gov/img/logos/CSP_logos/Amazon%20Logo.jpg" TargetMode="External"/><Relationship Id="rId3186" Type="http://schemas.openxmlformats.org/officeDocument/2006/relationships/hyperlink" Target="https://community.max.gov/download/attachments/1155203837/ATO.Letter_ServiceNow_FRTIB_12.28.17.pdf?api=v2" TargetMode="External"/><Relationship Id="rId3185" Type="http://schemas.openxmlformats.org/officeDocument/2006/relationships/hyperlink" Target="https://community.max.gov/x/QoWaP" TargetMode="External"/><Relationship Id="rId3188" Type="http://schemas.openxmlformats.org/officeDocument/2006/relationships/hyperlink" Target="https://marketplace.fedramp.gov/img/logos/CSP_logos/ServiceNow%20Logo.jpg" TargetMode="External"/><Relationship Id="rId3187" Type="http://schemas.openxmlformats.org/officeDocument/2006/relationships/hyperlink" Target="http://www.servicenow.com" TargetMode="External"/><Relationship Id="rId3189" Type="http://schemas.openxmlformats.org/officeDocument/2006/relationships/hyperlink" Target="https://marketplace.fedramp.gov/img/logos/Agency_logos/FRTIB%20Logo.jpg" TargetMode="External"/><Relationship Id="rId3151" Type="http://schemas.openxmlformats.org/officeDocument/2006/relationships/hyperlink" Target="https://community.max.gov/download/attachments/780173411/ATO.Letter_DoT_OCC_MSO365_12.21.17.pdf?api=v2" TargetMode="External"/><Relationship Id="rId3150" Type="http://schemas.openxmlformats.org/officeDocument/2006/relationships/hyperlink" Target="https://community.max.gov/x/3JC6L" TargetMode="External"/><Relationship Id="rId3153" Type="http://schemas.openxmlformats.org/officeDocument/2006/relationships/hyperlink" Target="https://marketplace.fedramp.gov/img/logos/CSP_logos/Microsoft%20Logo.jpg" TargetMode="External"/><Relationship Id="rId3152" Type="http://schemas.openxmlformats.org/officeDocument/2006/relationships/hyperlink" Target="http://www.microsoft.office.com" TargetMode="External"/><Relationship Id="rId3155" Type="http://schemas.openxmlformats.org/officeDocument/2006/relationships/hyperlink" Target="https://community.max.gov/x/DpBJK" TargetMode="External"/><Relationship Id="rId3154" Type="http://schemas.openxmlformats.org/officeDocument/2006/relationships/hyperlink" Target="https://marketplace.fedramp.gov/img/logos/Agency_logos/US-DeptOfTheTreasury-Seal.png" TargetMode="External"/><Relationship Id="rId3157" Type="http://schemas.openxmlformats.org/officeDocument/2006/relationships/hyperlink" Target="http://www.aws.amazon.com" TargetMode="External"/><Relationship Id="rId3156" Type="http://schemas.openxmlformats.org/officeDocument/2006/relationships/hyperlink" Target="https://community.max.gov/download/attachments/1115488742/ATO.Letter_DoED_AWSEW_12.18.17.pdf?api=v2" TargetMode="External"/><Relationship Id="rId3159" Type="http://schemas.openxmlformats.org/officeDocument/2006/relationships/hyperlink" Target="https://marketplace.fedramp.gov/img/logos/Agency_logos/US-DeptOfEducation-Seal.png" TargetMode="External"/><Relationship Id="rId3158" Type="http://schemas.openxmlformats.org/officeDocument/2006/relationships/hyperlink" Target="https://marketplace.fedramp.gov/img/logos/CSP_logos/Amazon%20Logo.jpg" TargetMode="External"/><Relationship Id="rId3149" Type="http://schemas.openxmlformats.org/officeDocument/2006/relationships/hyperlink" Target="https://marketplace.fedramp.gov/img/logos/Agency_logos/United_States_Department_of_Defense_Seal.png" TargetMode="External"/><Relationship Id="rId3140" Type="http://schemas.openxmlformats.org/officeDocument/2006/relationships/hyperlink" Target="https://community.max.gov/x/FgQpLg" TargetMode="External"/><Relationship Id="rId3142" Type="http://schemas.openxmlformats.org/officeDocument/2006/relationships/hyperlink" Target="http://www.granicus.com" TargetMode="External"/><Relationship Id="rId3141" Type="http://schemas.openxmlformats.org/officeDocument/2006/relationships/hyperlink" Target="https://community.max.gov/download/attachments/1155203545/ATO.Letter_GovDelivery_DoS_BPA_12.14.17.pdf?api=v2" TargetMode="External"/><Relationship Id="rId3144" Type="http://schemas.openxmlformats.org/officeDocument/2006/relationships/hyperlink" Target="https://marketplace.fedramp.gov/img/logos/Agency_logos/DoS%20Logo.png" TargetMode="External"/><Relationship Id="rId3143" Type="http://schemas.openxmlformats.org/officeDocument/2006/relationships/hyperlink" Target="https://marketplace.fedramp.gov/img/logos/CSP_logos/Granicus%20Logo.jpg" TargetMode="External"/><Relationship Id="rId3146" Type="http://schemas.openxmlformats.org/officeDocument/2006/relationships/hyperlink" Target="https://community.max.gov/download/attachments/774439992/ATO.Letter_IBMCMSG_DoD_USAFRICOM_12.14.17.pdf?api=v2" TargetMode="External"/><Relationship Id="rId3145" Type="http://schemas.openxmlformats.org/officeDocument/2006/relationships/hyperlink" Target="https://community.max.gov/x/IQLQLQ" TargetMode="External"/><Relationship Id="rId3148" Type="http://schemas.openxmlformats.org/officeDocument/2006/relationships/hyperlink" Target="https://marketplace.fedramp.gov/img/logos/CSP_logos/IBM%20Logo.jpg" TargetMode="External"/><Relationship Id="rId3147" Type="http://schemas.openxmlformats.org/officeDocument/2006/relationships/hyperlink" Target="http://www.ibm.com" TargetMode="External"/><Relationship Id="rId3171" Type="http://schemas.openxmlformats.org/officeDocument/2006/relationships/hyperlink" Target="https://community.max.gov/download/attachments/992346635/ATO.Letter_DoE_Blackberry_11.30.17.pdf?api=v2" TargetMode="External"/><Relationship Id="rId3170" Type="http://schemas.openxmlformats.org/officeDocument/2006/relationships/hyperlink" Target="https://community.max.gov/x/CgIoNQ" TargetMode="External"/><Relationship Id="rId3173" Type="http://schemas.openxmlformats.org/officeDocument/2006/relationships/hyperlink" Target="https://marketplace.fedramp.gov/img/logos/CSP_logos/BlackBerry%20Logo.jpg" TargetMode="External"/><Relationship Id="rId3172" Type="http://schemas.openxmlformats.org/officeDocument/2006/relationships/hyperlink" Target="http://blackberry.athoc.com" TargetMode="External"/><Relationship Id="rId3175" Type="http://schemas.openxmlformats.org/officeDocument/2006/relationships/hyperlink" Target="https://community.max.gov/x/34ngVQ" TargetMode="External"/><Relationship Id="rId3174" Type="http://schemas.openxmlformats.org/officeDocument/2006/relationships/hyperlink" Target="https://marketplace.fedramp.gov/img/logos/Agency_logos/US-DeptOfEnergy-Seal.png" TargetMode="External"/><Relationship Id="rId3177" Type="http://schemas.openxmlformats.org/officeDocument/2006/relationships/hyperlink" Target="https://gsuite.google.com/" TargetMode="External"/><Relationship Id="rId3176" Type="http://schemas.openxmlformats.org/officeDocument/2006/relationships/hyperlink" Target="https://community.max.gov/download/attachments/1531087271/ATO.Letter_Google_DoC_USPTO_11.24.17.pdf?api=v2" TargetMode="External"/><Relationship Id="rId3179" Type="http://schemas.openxmlformats.org/officeDocument/2006/relationships/hyperlink" Target="https://marketplace.fedramp.gov/img/logos/Agency_logos/US-DeptOfCommerce-Seal.png" TargetMode="External"/><Relationship Id="rId3178" Type="http://schemas.openxmlformats.org/officeDocument/2006/relationships/hyperlink" Target="https://marketplace.fedramp.gov/img/logos/CSP_logos/Google%20Logo.jpg" TargetMode="External"/><Relationship Id="rId3160" Type="http://schemas.openxmlformats.org/officeDocument/2006/relationships/hyperlink" Target="https://community.max.gov/x/vgVqQQ" TargetMode="External"/><Relationship Id="rId3162" Type="http://schemas.openxmlformats.org/officeDocument/2006/relationships/hyperlink" Target="http://www.aws.amazon.com" TargetMode="External"/><Relationship Id="rId3161" Type="http://schemas.openxmlformats.org/officeDocument/2006/relationships/hyperlink" Target="https://community.max.gov/download/attachments/1097467326/ATO.Letter_DoED_AWSGCHigh_12.18.17.pdf?api=v2" TargetMode="External"/><Relationship Id="rId3164" Type="http://schemas.openxmlformats.org/officeDocument/2006/relationships/hyperlink" Target="https://marketplace.fedramp.gov/img/logos/Agency_logos/US-DeptOfEducation-Seal.png" TargetMode="External"/><Relationship Id="rId3163" Type="http://schemas.openxmlformats.org/officeDocument/2006/relationships/hyperlink" Target="https://marketplace.fedramp.gov/img/logos/CSP_logos/Amazon%20Logo.jpg" TargetMode="External"/><Relationship Id="rId3166" Type="http://schemas.openxmlformats.org/officeDocument/2006/relationships/hyperlink" Target="https://community.max.gov/download/attachments/1115488742/ATO.Letter_DoT_FAA_AWSEW_11.9.17.pdf?api=v2" TargetMode="External"/><Relationship Id="rId3165" Type="http://schemas.openxmlformats.org/officeDocument/2006/relationships/hyperlink" Target="https://community.max.gov/x/DpBJK" TargetMode="External"/><Relationship Id="rId3168" Type="http://schemas.openxmlformats.org/officeDocument/2006/relationships/hyperlink" Target="https://marketplace.fedramp.gov/img/logos/CSP_logos/Amazon%20Logo.jpg" TargetMode="External"/><Relationship Id="rId3167" Type="http://schemas.openxmlformats.org/officeDocument/2006/relationships/hyperlink" Target="http://www.aws.amazon.com" TargetMode="External"/><Relationship Id="rId3169" Type="http://schemas.openxmlformats.org/officeDocument/2006/relationships/hyperlink" Target="https://marketplace.fedramp.gov/img/logos/Agency_logos/768px-US-DeptOfTransportation-Seal.svg.png" TargetMode="External"/><Relationship Id="rId2700" Type="http://schemas.openxmlformats.org/officeDocument/2006/relationships/hyperlink" Target="https://community.max.gov/x/XofzRQ" TargetMode="External"/><Relationship Id="rId2701" Type="http://schemas.openxmlformats.org/officeDocument/2006/relationships/hyperlink" Target="https://community.max.gov/download/attachments/1094157332/ATO.Letter_mLINQS_DoT_IRS_08.11.17.pdf?api=v2" TargetMode="External"/><Relationship Id="rId2702" Type="http://schemas.openxmlformats.org/officeDocument/2006/relationships/hyperlink" Target="http://mlinqs.net" TargetMode="External"/><Relationship Id="rId2703" Type="http://schemas.openxmlformats.org/officeDocument/2006/relationships/hyperlink" Target="https://marketplace.fedramp.gov/img/logos/CSP_logos/mLINQS%20Logo.jpg" TargetMode="External"/><Relationship Id="rId2704" Type="http://schemas.openxmlformats.org/officeDocument/2006/relationships/hyperlink" Target="https://marketplace.fedramp.gov/img/logos/Agency_logos/US-DeptOfTheTreasury-Seal.png" TargetMode="External"/><Relationship Id="rId2705" Type="http://schemas.openxmlformats.org/officeDocument/2006/relationships/hyperlink" Target="https://community.max.gov/x/DpBJK" TargetMode="External"/><Relationship Id="rId2706" Type="http://schemas.openxmlformats.org/officeDocument/2006/relationships/hyperlink" Target="https://community.max.gov/download/attachments/1115488742/ATO%20Letter_AWSEW_DoT_FHA_02.27.17.pdf?api=v2" TargetMode="External"/><Relationship Id="rId2707" Type="http://schemas.openxmlformats.org/officeDocument/2006/relationships/hyperlink" Target="http://www.aws.amazon.com" TargetMode="External"/><Relationship Id="rId2708" Type="http://schemas.openxmlformats.org/officeDocument/2006/relationships/hyperlink" Target="https://marketplace.fedramp.gov/img/logos/CSP_logos/Amazon%20Logo.jpg" TargetMode="External"/><Relationship Id="rId2709" Type="http://schemas.openxmlformats.org/officeDocument/2006/relationships/hyperlink" Target="https://marketplace.fedramp.gov/img/logos/Agency_logos/768px-US-DeptOfTransportation-Seal.svg.png" TargetMode="External"/><Relationship Id="rId2720" Type="http://schemas.openxmlformats.org/officeDocument/2006/relationships/hyperlink" Target="https://community.max.gov/x/3JC6L" TargetMode="External"/><Relationship Id="rId2721" Type="http://schemas.openxmlformats.org/officeDocument/2006/relationships/hyperlink" Target="https://community.max.gov/download/attachments/992346706/ATO%20Letter_MSO365_DoC_FirstNet_09.14.17.pdf?api=v2" TargetMode="External"/><Relationship Id="rId2722" Type="http://schemas.openxmlformats.org/officeDocument/2006/relationships/hyperlink" Target="http://www.microsoft.office.com" TargetMode="External"/><Relationship Id="rId2723" Type="http://schemas.openxmlformats.org/officeDocument/2006/relationships/hyperlink" Target="https://marketplace.fedramp.gov/img/logos/CSP_logos/Microsoft%20Logo.jpg" TargetMode="External"/><Relationship Id="rId2724" Type="http://schemas.openxmlformats.org/officeDocument/2006/relationships/hyperlink" Target="https://marketplace.fedramp.gov/img/logos/Agency_logos/US-DeptOfCommerce-Seal.png" TargetMode="External"/><Relationship Id="rId2725" Type="http://schemas.openxmlformats.org/officeDocument/2006/relationships/hyperlink" Target="https://community.max.gov/x/GBU6Jg" TargetMode="External"/><Relationship Id="rId2726" Type="http://schemas.openxmlformats.org/officeDocument/2006/relationships/hyperlink" Target="https://community.max.gov/download/attachments/1155203596/ATO%20Letter_MaaS360_DoC_FirstNet_09.14.17.pdf?api=v2" TargetMode="External"/><Relationship Id="rId2727" Type="http://schemas.openxmlformats.org/officeDocument/2006/relationships/hyperlink" Target="http://www.maas360.com" TargetMode="External"/><Relationship Id="rId2728" Type="http://schemas.openxmlformats.org/officeDocument/2006/relationships/hyperlink" Target="https://marketplace.fedramp.gov/img/logos/CSP_logos/MaaS360%20Logo.jpg" TargetMode="External"/><Relationship Id="rId2729" Type="http://schemas.openxmlformats.org/officeDocument/2006/relationships/hyperlink" Target="https://marketplace.fedramp.gov/img/logos/Agency_logos/US-DeptOfCommerce-Seal.png" TargetMode="External"/><Relationship Id="rId2710" Type="http://schemas.openxmlformats.org/officeDocument/2006/relationships/hyperlink" Target="https://community.max.gov/x/eQs3Kw" TargetMode="External"/><Relationship Id="rId2711" Type="http://schemas.openxmlformats.org/officeDocument/2006/relationships/hyperlink" Target="https://community.max.gov/download/attachments/992346725/ATO%20Letter_Salesforce_DoT_FHA_11.30.16.pdf?api=v2" TargetMode="External"/><Relationship Id="rId2712" Type="http://schemas.openxmlformats.org/officeDocument/2006/relationships/hyperlink" Target="http://www.salesforce.com/industries/public-sector" TargetMode="External"/><Relationship Id="rId2713" Type="http://schemas.openxmlformats.org/officeDocument/2006/relationships/hyperlink" Target="https://marketplace.fedramp.gov/img/logos/CSP_logos/Salesforce%20Logo.jpg" TargetMode="External"/><Relationship Id="rId2714" Type="http://schemas.openxmlformats.org/officeDocument/2006/relationships/hyperlink" Target="https://marketplace.fedramp.gov/img/logos/Agency_logos/768px-US-DeptOfTransportation-Seal.svg.png" TargetMode="External"/><Relationship Id="rId2715" Type="http://schemas.openxmlformats.org/officeDocument/2006/relationships/hyperlink" Target="https://community.max.gov/x/34ngVQ" TargetMode="External"/><Relationship Id="rId2716" Type="http://schemas.openxmlformats.org/officeDocument/2006/relationships/hyperlink" Target="https://community.max.gov/download/attachments/1531087274/ATO%20Letter_Google_DoE_LANL_01.27.17.PDF?api=v2" TargetMode="External"/><Relationship Id="rId2717" Type="http://schemas.openxmlformats.org/officeDocument/2006/relationships/hyperlink" Target="https://gsuite.google.com/" TargetMode="External"/><Relationship Id="rId2718" Type="http://schemas.openxmlformats.org/officeDocument/2006/relationships/hyperlink" Target="https://marketplace.fedramp.gov/img/logos/CSP_logos/Google%20Logo.jpg" TargetMode="External"/><Relationship Id="rId2719" Type="http://schemas.openxmlformats.org/officeDocument/2006/relationships/hyperlink" Target="https://marketplace.fedramp.gov/img/logos/Agency_logos/US-DeptOfEnergy-Seal.png" TargetMode="External"/><Relationship Id="rId1455" Type="http://schemas.openxmlformats.org/officeDocument/2006/relationships/hyperlink" Target="https://marketplace.fedramp.gov/img/logos/CSP_logos/Salesforce%20Logo.jpg" TargetMode="External"/><Relationship Id="rId2786" Type="http://schemas.openxmlformats.org/officeDocument/2006/relationships/hyperlink" Target="https://marketplace.fedramp.gov/img/logos/CSP_logos/IT-CNP%20Logo.jpg" TargetMode="External"/><Relationship Id="rId1456" Type="http://schemas.openxmlformats.org/officeDocument/2006/relationships/hyperlink" Target="https://marketplace.fedramp.gov/img/logos/Agency_logos/US-DeptOfTheInterior-Seal.png" TargetMode="External"/><Relationship Id="rId2787" Type="http://schemas.openxmlformats.org/officeDocument/2006/relationships/hyperlink" Target="https://marketplace.fedramp.gov/img/logos/Agency_logos/USAID-Seal.png" TargetMode="External"/><Relationship Id="rId1457" Type="http://schemas.openxmlformats.org/officeDocument/2006/relationships/hyperlink" Target="https://community.max.gov/x/0h0kSQ" TargetMode="External"/><Relationship Id="rId2788" Type="http://schemas.openxmlformats.org/officeDocument/2006/relationships/hyperlink" Target="https://community.max.gov/x/eQs3Kw" TargetMode="External"/><Relationship Id="rId1458" Type="http://schemas.openxmlformats.org/officeDocument/2006/relationships/hyperlink" Target="https://community.max.gov/download/attachments/779322061/ATO.Letter_Accellion_DoI_07.15.16.pdf?api=v2" TargetMode="External"/><Relationship Id="rId2789" Type="http://schemas.openxmlformats.org/officeDocument/2006/relationships/hyperlink" Target="https://community.max.gov/download/attachments/992346725/ATO%20Letter_Salesforce_DoC_NIST_12.07.16.pdf?api=v2" TargetMode="External"/><Relationship Id="rId1459" Type="http://schemas.openxmlformats.org/officeDocument/2006/relationships/hyperlink" Target="http://www.accellion.com/government" TargetMode="External"/><Relationship Id="rId629" Type="http://schemas.openxmlformats.org/officeDocument/2006/relationships/hyperlink" Target="https://marketplace.fedramp.gov/img/logos/CSP_logos/Microsoft%20Logo.jpg" TargetMode="External"/><Relationship Id="rId624" Type="http://schemas.openxmlformats.org/officeDocument/2006/relationships/hyperlink" Target="https://marketplace.fedramp.gov/img/logos/Agency_logos/United_States_Department_of_Defense_Seal.png" TargetMode="External"/><Relationship Id="rId623" Type="http://schemas.openxmlformats.org/officeDocument/2006/relationships/hyperlink" Target="https://marketplace.fedramp.gov/img/logos/CSP_logos/Microsoft%20Logo.jpg" TargetMode="External"/><Relationship Id="rId622" Type="http://schemas.openxmlformats.org/officeDocument/2006/relationships/hyperlink" Target="http://azure.microsoft.com/en-us/" TargetMode="External"/><Relationship Id="rId621" Type="http://schemas.openxmlformats.org/officeDocument/2006/relationships/hyperlink" Target="mailto:adamsoh@microsoft.com" TargetMode="External"/><Relationship Id="rId628" Type="http://schemas.openxmlformats.org/officeDocument/2006/relationships/hyperlink" Target="http://azure.microsoft.com/en-us/" TargetMode="External"/><Relationship Id="rId627" Type="http://schemas.openxmlformats.org/officeDocument/2006/relationships/hyperlink" Target="mailto:adamsoh@microsoft.com" TargetMode="External"/><Relationship Id="rId626" Type="http://schemas.openxmlformats.org/officeDocument/2006/relationships/hyperlink" Target="https://community.max.gov/download/attachments/1256458242/ATO.Letter_MS.Azure_TVA_06.26.15.pdf?api=v2" TargetMode="External"/><Relationship Id="rId625" Type="http://schemas.openxmlformats.org/officeDocument/2006/relationships/hyperlink" Target="https://community.max.gov/x/WgZfJw" TargetMode="External"/><Relationship Id="rId2780" Type="http://schemas.openxmlformats.org/officeDocument/2006/relationships/hyperlink" Target="http://www.1901group.com" TargetMode="External"/><Relationship Id="rId1450" Type="http://schemas.openxmlformats.org/officeDocument/2006/relationships/hyperlink" Target="https://marketplace.fedramp.gov/img/logos/CSP_logos/IBM%20Logo.jpg" TargetMode="External"/><Relationship Id="rId2781" Type="http://schemas.openxmlformats.org/officeDocument/2006/relationships/hyperlink" Target="https://marketplace.fedramp.gov/img/logos/CSP_logos/1901%20Logo.jpg" TargetMode="External"/><Relationship Id="rId620" Type="http://schemas.openxmlformats.org/officeDocument/2006/relationships/hyperlink" Target="https://community.max.gov/download/attachments/1256458242/ATO.Letter_MS.Azure_DOD.DISA_3.26.15.pdf?api=v2" TargetMode="External"/><Relationship Id="rId1451" Type="http://schemas.openxmlformats.org/officeDocument/2006/relationships/hyperlink" Target="https://marketplace.fedramp.gov/img/logos/Agency_logos/US-DeptOfTheInterior-Seal.png" TargetMode="External"/><Relationship Id="rId2782" Type="http://schemas.openxmlformats.org/officeDocument/2006/relationships/hyperlink" Target="https://marketplace.fedramp.gov/img/logos/Agency_logos/USAB%20Logo.jpg" TargetMode="External"/><Relationship Id="rId1452" Type="http://schemas.openxmlformats.org/officeDocument/2006/relationships/hyperlink" Target="https://community.max.gov/x/eQs3Kw" TargetMode="External"/><Relationship Id="rId2783" Type="http://schemas.openxmlformats.org/officeDocument/2006/relationships/hyperlink" Target="https://community.max.gov/x/zAebJw" TargetMode="External"/><Relationship Id="rId1453" Type="http://schemas.openxmlformats.org/officeDocument/2006/relationships/hyperlink" Target="https://community.max.gov/download/attachments/1130635691/ATO.Letter_Salesforce_DoI_06.10.16.pdf?api=v2" TargetMode="External"/><Relationship Id="rId2784" Type="http://schemas.openxmlformats.org/officeDocument/2006/relationships/hyperlink" Target="https://community.max.gov/download/attachments/1155203715/ATO%20Letter_IT-CNP_USAID_11.09.16.pdf?api=v2" TargetMode="External"/><Relationship Id="rId1454" Type="http://schemas.openxmlformats.org/officeDocument/2006/relationships/hyperlink" Target="http://www.salesforce.com/industries/public-sector" TargetMode="External"/><Relationship Id="rId2785" Type="http://schemas.openxmlformats.org/officeDocument/2006/relationships/hyperlink" Target="http://www.govdatahosting.com/" TargetMode="External"/><Relationship Id="rId1444" Type="http://schemas.openxmlformats.org/officeDocument/2006/relationships/hyperlink" Target="http://www.aws.amazon.com" TargetMode="External"/><Relationship Id="rId2775" Type="http://schemas.openxmlformats.org/officeDocument/2006/relationships/hyperlink" Target="http://www.projecthosts.com" TargetMode="External"/><Relationship Id="rId1445" Type="http://schemas.openxmlformats.org/officeDocument/2006/relationships/hyperlink" Target="https://marketplace.fedramp.gov/img/logos/CSP_logos/Amazon%20Logo.jpg" TargetMode="External"/><Relationship Id="rId2776" Type="http://schemas.openxmlformats.org/officeDocument/2006/relationships/hyperlink" Target="https://marketplace.fedramp.gov/img/logos/CSP_logos/Project%20Hosts%20Logo.jpg" TargetMode="External"/><Relationship Id="rId1446" Type="http://schemas.openxmlformats.org/officeDocument/2006/relationships/hyperlink" Target="https://marketplace.fedramp.gov/img/logos/Agency_logos/US-DeptOfTheInterior-Seal.png" TargetMode="External"/><Relationship Id="rId2777" Type="http://schemas.openxmlformats.org/officeDocument/2006/relationships/hyperlink" Target="https://marketplace.fedramp.gov/img/logos/Agency_logos/GSAlogo.png" TargetMode="External"/><Relationship Id="rId1447" Type="http://schemas.openxmlformats.org/officeDocument/2006/relationships/hyperlink" Target="https://community.max.gov/x/RgLbR" TargetMode="External"/><Relationship Id="rId2778" Type="http://schemas.openxmlformats.org/officeDocument/2006/relationships/hyperlink" Target="https://community.max.gov/x/6wCXNg" TargetMode="External"/><Relationship Id="rId1448" Type="http://schemas.openxmlformats.org/officeDocument/2006/relationships/hyperlink" Target="https://community.max.gov/download/attachments/1155203654/ATO.Letter_IBMSCG_DoI_05.20.16.pdf?api=v2" TargetMode="External"/><Relationship Id="rId2779" Type="http://schemas.openxmlformats.org/officeDocument/2006/relationships/hyperlink" Target="https://community.max.gov/download/attachments/1557595208/ATO.Letter_1901_USAB_08.29.17.pdf?api=v2" TargetMode="External"/><Relationship Id="rId1449" Type="http://schemas.openxmlformats.org/officeDocument/2006/relationships/hyperlink" Target="http://www-01.ibm.com/software/lotus/cloud/government/" TargetMode="External"/><Relationship Id="rId619" Type="http://schemas.openxmlformats.org/officeDocument/2006/relationships/hyperlink" Target="https://community.max.gov/x/WgZfJw" TargetMode="External"/><Relationship Id="rId618" Type="http://schemas.openxmlformats.org/officeDocument/2006/relationships/hyperlink" Target="https://marketplace.fedramp.gov/img/logos/Agency_logos/National_Labor_Relations_Board_logo_-_color.png" TargetMode="External"/><Relationship Id="rId613" Type="http://schemas.openxmlformats.org/officeDocument/2006/relationships/hyperlink" Target="https://community.max.gov/x/WgZfJw" TargetMode="External"/><Relationship Id="rId612" Type="http://schemas.openxmlformats.org/officeDocument/2006/relationships/hyperlink" Target="https://marketplace.fedramp.gov/img/logos/Agency_logos/US-NationalCapitalPlanningCommission-Logo.png" TargetMode="External"/><Relationship Id="rId611" Type="http://schemas.openxmlformats.org/officeDocument/2006/relationships/hyperlink" Target="https://marketplace.fedramp.gov/img/logos/CSP_logos/Microsoft%20Logo.jpg" TargetMode="External"/><Relationship Id="rId610" Type="http://schemas.openxmlformats.org/officeDocument/2006/relationships/hyperlink" Target="http://www.microsoft.office.com" TargetMode="External"/><Relationship Id="rId617" Type="http://schemas.openxmlformats.org/officeDocument/2006/relationships/hyperlink" Target="https://marketplace.fedramp.gov/img/logos/CSP_logos/Microsoft%20Logo.jpg" TargetMode="External"/><Relationship Id="rId616" Type="http://schemas.openxmlformats.org/officeDocument/2006/relationships/hyperlink" Target="http://azure.microsoft.com/en-us/" TargetMode="External"/><Relationship Id="rId615" Type="http://schemas.openxmlformats.org/officeDocument/2006/relationships/hyperlink" Target="mailto:adamsoh@microsoft.com" TargetMode="External"/><Relationship Id="rId614" Type="http://schemas.openxmlformats.org/officeDocument/2006/relationships/hyperlink" Target="https://community.max.gov/download/attachments/1155204218/ATO.Letter_MS.Azure_NLRB_11.25.14.pdf?api=v2" TargetMode="External"/><Relationship Id="rId2770" Type="http://schemas.openxmlformats.org/officeDocument/2006/relationships/hyperlink" Target="http://www.box.com" TargetMode="External"/><Relationship Id="rId1440" Type="http://schemas.openxmlformats.org/officeDocument/2006/relationships/hyperlink" Target="https://marketplace.fedramp.gov/img/logos/CSP_logos/Akamai%20Logo.jpg" TargetMode="External"/><Relationship Id="rId2771" Type="http://schemas.openxmlformats.org/officeDocument/2006/relationships/hyperlink" Target="https://marketplace.fedramp.gov/img/logos/CSP_logos/Box%20Logo.jpg" TargetMode="External"/><Relationship Id="rId1441" Type="http://schemas.openxmlformats.org/officeDocument/2006/relationships/hyperlink" Target="https://marketplace.fedramp.gov/img/logos/Agency_logos/US-DeptOfTheInterior-Seal.png" TargetMode="External"/><Relationship Id="rId2772" Type="http://schemas.openxmlformats.org/officeDocument/2006/relationships/hyperlink" Target="https://marketplace.fedramp.gov/img/logos/Agency_logos/US-DeptOfHHS-Seal.png" TargetMode="External"/><Relationship Id="rId1442" Type="http://schemas.openxmlformats.org/officeDocument/2006/relationships/hyperlink" Target="https://community.max.gov/x/DpBJK" TargetMode="External"/><Relationship Id="rId2773" Type="http://schemas.openxmlformats.org/officeDocument/2006/relationships/hyperlink" Target="https://community.max.gov/x/EYGKLQ" TargetMode="External"/><Relationship Id="rId1443" Type="http://schemas.openxmlformats.org/officeDocument/2006/relationships/hyperlink" Target="https://community.max.gov/download/attachments/1115488742/ATO.Letter_AWSEW_DoI_04.13.16.pdf?api=v2" TargetMode="External"/><Relationship Id="rId2774" Type="http://schemas.openxmlformats.org/officeDocument/2006/relationships/hyperlink" Target="https://community.max.gov/download/attachments/882934025/Challenge.gov%201%20Year%20LATO%2020170926.pdf?api=v2" TargetMode="External"/><Relationship Id="rId1477" Type="http://schemas.openxmlformats.org/officeDocument/2006/relationships/hyperlink" Target="https://community.max.gov/x/fgIhMg" TargetMode="External"/><Relationship Id="rId1478" Type="http://schemas.openxmlformats.org/officeDocument/2006/relationships/hyperlink" Target="https://community.max.gov/download/attachments/779322013/ATO%20from%20NTIS.pdf?api=v2" TargetMode="External"/><Relationship Id="rId1479" Type="http://schemas.openxmlformats.org/officeDocument/2006/relationships/hyperlink" Target="mailto:DToy@csod.com" TargetMode="External"/><Relationship Id="rId646" Type="http://schemas.openxmlformats.org/officeDocument/2006/relationships/hyperlink" Target="https://marketplace.fedramp.gov/img/logos/Agency_logos/US-DeptOfHHS-Seal.png" TargetMode="External"/><Relationship Id="rId645" Type="http://schemas.openxmlformats.org/officeDocument/2006/relationships/hyperlink" Target="https://marketplace.fedramp.gov/img/logos/CSP_logos/NetComm%20Logo.jpg" TargetMode="External"/><Relationship Id="rId644" Type="http://schemas.openxmlformats.org/officeDocument/2006/relationships/hyperlink" Target="http://www.netcomm.net/" TargetMode="External"/><Relationship Id="rId643" Type="http://schemas.openxmlformats.org/officeDocument/2006/relationships/hyperlink" Target="https://community.max.gov/download/attachments/927597359/ATO.Letter_Netcomm.Beacon_HHS_09.18.15.pdf?api=v2" TargetMode="External"/><Relationship Id="rId649" Type="http://schemas.openxmlformats.org/officeDocument/2006/relationships/hyperlink" Target="https://www.MAX.gov" TargetMode="External"/><Relationship Id="rId648" Type="http://schemas.openxmlformats.org/officeDocument/2006/relationships/hyperlink" Target="https://community.max.gov/download/attachments/777093306/ATO.Letter_MAX.GSS_DOD_03.26.15.pdf?api=v2" TargetMode="External"/><Relationship Id="rId647" Type="http://schemas.openxmlformats.org/officeDocument/2006/relationships/hyperlink" Target="https://community.max.gov/x/3YEYLg" TargetMode="External"/><Relationship Id="rId1470" Type="http://schemas.openxmlformats.org/officeDocument/2006/relationships/hyperlink" Target="https://marketplace.fedramp.gov/img/logos/CSP_logos/ServiceNow%20Logo.jpg" TargetMode="External"/><Relationship Id="rId1471" Type="http://schemas.openxmlformats.org/officeDocument/2006/relationships/hyperlink" Target="https://marketplace.fedramp.gov/img/logos/Agency_logos/US-DeptOfTheInterior-Seal.png" TargetMode="External"/><Relationship Id="rId1472" Type="http://schemas.openxmlformats.org/officeDocument/2006/relationships/hyperlink" Target="https://community.max.gov/x/GAugKw" TargetMode="External"/><Relationship Id="rId642" Type="http://schemas.openxmlformats.org/officeDocument/2006/relationships/hyperlink" Target="https://community.max.gov/x/KQNKNw" TargetMode="External"/><Relationship Id="rId1473" Type="http://schemas.openxmlformats.org/officeDocument/2006/relationships/hyperlink" Target="https://community.max.gov/download/attachments/936118328/ATO.Letter_Acquia_SSA_08.11.16.pdf?api=v2" TargetMode="External"/><Relationship Id="rId641" Type="http://schemas.openxmlformats.org/officeDocument/2006/relationships/hyperlink" Target="https://marketplace.fedramp.gov/img/logos/Agency_logos/US-DeptOfHUD-Seal.png" TargetMode="External"/><Relationship Id="rId1474" Type="http://schemas.openxmlformats.org/officeDocument/2006/relationships/hyperlink" Target="http://www.acquia.com" TargetMode="External"/><Relationship Id="rId640" Type="http://schemas.openxmlformats.org/officeDocument/2006/relationships/hyperlink" Target="https://marketplace.fedramp.gov/img/logos/CSP_logos/Microsoft%20Logo.jpg" TargetMode="External"/><Relationship Id="rId1475" Type="http://schemas.openxmlformats.org/officeDocument/2006/relationships/hyperlink" Target="https://marketplace.fedramp.gov/img/logos/CSP_logos/Acquia%20Logo.jpg" TargetMode="External"/><Relationship Id="rId1476" Type="http://schemas.openxmlformats.org/officeDocument/2006/relationships/hyperlink" Target="https://marketplace.fedramp.gov/img/logos/Agency_logos/US-SocialSecurityAdmin-Seal.png" TargetMode="External"/><Relationship Id="rId1466" Type="http://schemas.openxmlformats.org/officeDocument/2006/relationships/hyperlink" Target="https://marketplace.fedramp.gov/img/logos/Agency_logos/US-DeptOfTheInterior-Seal.png" TargetMode="External"/><Relationship Id="rId2797" Type="http://schemas.openxmlformats.org/officeDocument/2006/relationships/hyperlink" Target="https://marketplace.fedramp.gov/img/logos/CSP_logos/Microsoft%20Logo.jpg" TargetMode="External"/><Relationship Id="rId1467" Type="http://schemas.openxmlformats.org/officeDocument/2006/relationships/hyperlink" Target="https://community.max.gov/x/QoWaP" TargetMode="External"/><Relationship Id="rId2798" Type="http://schemas.openxmlformats.org/officeDocument/2006/relationships/hyperlink" Target="https://marketplace.fedramp.gov/img/logos/Agency_logos/Seal_of_the_United_States_Department_of_Justice.png" TargetMode="External"/><Relationship Id="rId1468" Type="http://schemas.openxmlformats.org/officeDocument/2006/relationships/hyperlink" Target="https://community.max.gov/download/attachments/1256458288/ATO.Letter_ServiceNow_DoI_BSEE_08.10.16.pdf?api=v2" TargetMode="External"/><Relationship Id="rId2799" Type="http://schemas.openxmlformats.org/officeDocument/2006/relationships/hyperlink" Target="https://community.max.gov/x/34ngVQ" TargetMode="External"/><Relationship Id="rId1469" Type="http://schemas.openxmlformats.org/officeDocument/2006/relationships/hyperlink" Target="http://www.servicenow.com" TargetMode="External"/><Relationship Id="rId635" Type="http://schemas.openxmlformats.org/officeDocument/2006/relationships/hyperlink" Target="https://marketplace.fedramp.gov/img/logos/CSP_logos/Microsoft%20Logo.jpg" TargetMode="External"/><Relationship Id="rId634" Type="http://schemas.openxmlformats.org/officeDocument/2006/relationships/hyperlink" Target="http://azure.microsoft.com/en-us/" TargetMode="External"/><Relationship Id="rId633" Type="http://schemas.openxmlformats.org/officeDocument/2006/relationships/hyperlink" Target="mailto:adamsoh@microsoft.com" TargetMode="External"/><Relationship Id="rId632" Type="http://schemas.openxmlformats.org/officeDocument/2006/relationships/hyperlink" Target="https://community.max.gov/download/attachments/1155204218/ATO.Letter_MS.Azure_VA_08.20.15.pdf?api=v2" TargetMode="External"/><Relationship Id="rId639" Type="http://schemas.openxmlformats.org/officeDocument/2006/relationships/hyperlink" Target="https://www.microsoft.com/en-us/dynamics/public-sector.aspx" TargetMode="External"/><Relationship Id="rId638" Type="http://schemas.openxmlformats.org/officeDocument/2006/relationships/hyperlink" Target="https://community.max.gov/download/attachments/1179582858/ATO.Letter_MS.CRM_HUD_07.17.15.pdf?api=v2" TargetMode="External"/><Relationship Id="rId637" Type="http://schemas.openxmlformats.org/officeDocument/2006/relationships/hyperlink" Target="https://community.max.gov/x/nAG9PQ" TargetMode="External"/><Relationship Id="rId636" Type="http://schemas.openxmlformats.org/officeDocument/2006/relationships/hyperlink" Target="https://marketplace.fedramp.gov/img/logos/Agency_logos/Seal_of_the_United_States_Department_of_Veterans_Affairs_(1989-2012).png" TargetMode="External"/><Relationship Id="rId2790" Type="http://schemas.openxmlformats.org/officeDocument/2006/relationships/hyperlink" Target="http://www.salesforce.com/industries/public-sector" TargetMode="External"/><Relationship Id="rId1460" Type="http://schemas.openxmlformats.org/officeDocument/2006/relationships/hyperlink" Target="https://marketplace.fedramp.gov/img/logos/CSP_logos/Accellion%20Logo.jpg" TargetMode="External"/><Relationship Id="rId2791" Type="http://schemas.openxmlformats.org/officeDocument/2006/relationships/hyperlink" Target="https://marketplace.fedramp.gov/img/logos/CSP_logos/Salesforce%20Logo.jpg" TargetMode="External"/><Relationship Id="rId1461" Type="http://schemas.openxmlformats.org/officeDocument/2006/relationships/hyperlink" Target="https://marketplace.fedramp.gov/img/logos/Agency_logos/US-DeptOfTheInterior-Seal.png" TargetMode="External"/><Relationship Id="rId2792" Type="http://schemas.openxmlformats.org/officeDocument/2006/relationships/hyperlink" Target="https://marketplace.fedramp.gov/img/logos/Agency_logos/US-DeptOfCommerce-Seal.png" TargetMode="External"/><Relationship Id="rId631" Type="http://schemas.openxmlformats.org/officeDocument/2006/relationships/hyperlink" Target="https://community.max.gov/display/FedRAMPExternal/MS+Azure+ATO+Letters" TargetMode="External"/><Relationship Id="rId1462" Type="http://schemas.openxmlformats.org/officeDocument/2006/relationships/hyperlink" Target="https://community.max.gov/x/vg_4Jg" TargetMode="External"/><Relationship Id="rId2793" Type="http://schemas.openxmlformats.org/officeDocument/2006/relationships/hyperlink" Target="https://community.max.gov/x/WgZfJw" TargetMode="External"/><Relationship Id="rId630" Type="http://schemas.openxmlformats.org/officeDocument/2006/relationships/hyperlink" Target="https://marketplace.fedramp.gov/img/logos/Agency_logos/US-TennesseeValleyAuthority-Logo.png" TargetMode="External"/><Relationship Id="rId1463" Type="http://schemas.openxmlformats.org/officeDocument/2006/relationships/hyperlink" Target="https://community.max.gov/download/attachments/1256458317/ATO.Letter_Softlayer_DoI_06.10.16.pdf?api=v2" TargetMode="External"/><Relationship Id="rId2794" Type="http://schemas.openxmlformats.org/officeDocument/2006/relationships/hyperlink" Target="https://community.max.gov/download/attachments/1155204218/ATO%20Letter_MSAG_DoJ_JMD_08.24.17.PDF?api=v2" TargetMode="External"/><Relationship Id="rId1464" Type="http://schemas.openxmlformats.org/officeDocument/2006/relationships/hyperlink" Target="http://www.softlayer.com" TargetMode="External"/><Relationship Id="rId2795" Type="http://schemas.openxmlformats.org/officeDocument/2006/relationships/hyperlink" Target="mailto:AzureFedRAMP@microsoft.com" TargetMode="External"/><Relationship Id="rId1465" Type="http://schemas.openxmlformats.org/officeDocument/2006/relationships/hyperlink" Target="https://marketplace.fedramp.gov/img/logos/CSP_logos/Softlayer%20Logo.jpg" TargetMode="External"/><Relationship Id="rId2796" Type="http://schemas.openxmlformats.org/officeDocument/2006/relationships/hyperlink" Target="http://azure.microsoft.com/en-us/" TargetMode="External"/><Relationship Id="rId1411" Type="http://schemas.openxmlformats.org/officeDocument/2006/relationships/hyperlink" Target="https://marketplace.fedramp.gov/img/logos/CSP_logos/Deloitte%20Logo.jpg" TargetMode="External"/><Relationship Id="rId2742" Type="http://schemas.openxmlformats.org/officeDocument/2006/relationships/hyperlink" Target="http://www.virtustream.com" TargetMode="External"/><Relationship Id="rId1412" Type="http://schemas.openxmlformats.org/officeDocument/2006/relationships/hyperlink" Target="https://marketplace.fedramp.gov/img/logos/Agency_logos/US-DeptOfLabor-Seal-AltColors.svg.png" TargetMode="External"/><Relationship Id="rId2743" Type="http://schemas.openxmlformats.org/officeDocument/2006/relationships/hyperlink" Target="https://marketplace.fedramp.gov/img/logos/CSP_logos/Virtustream%20Logo.jpg" TargetMode="External"/><Relationship Id="rId1413" Type="http://schemas.openxmlformats.org/officeDocument/2006/relationships/hyperlink" Target="https://community.max.gov/x/eQs3Kw" TargetMode="External"/><Relationship Id="rId2744" Type="http://schemas.openxmlformats.org/officeDocument/2006/relationships/hyperlink" Target="https://marketplace.fedramp.gov/img/logos/Agency_logos/US-DeptOfTheTreasury-Seal.png" TargetMode="External"/><Relationship Id="rId1414" Type="http://schemas.openxmlformats.org/officeDocument/2006/relationships/hyperlink" Target="https://community.max.gov/download/attachments/992346725/ATO.Letter_Salesforce_USAID_02.17.16.pdf?api=v2" TargetMode="External"/><Relationship Id="rId2745" Type="http://schemas.openxmlformats.org/officeDocument/2006/relationships/hyperlink" Target="https://community.max.gov/x/K5H-Rw" TargetMode="External"/><Relationship Id="rId1415" Type="http://schemas.openxmlformats.org/officeDocument/2006/relationships/hyperlink" Target="http://www.salesforce.com/industries/public-sector" TargetMode="External"/><Relationship Id="rId2746" Type="http://schemas.openxmlformats.org/officeDocument/2006/relationships/hyperlink" Target="https://community.max.gov/download/attachments/1331561074/P-ATO_Accenture_AIP_09.22.17.pdf?api=v2" TargetMode="External"/><Relationship Id="rId1416" Type="http://schemas.openxmlformats.org/officeDocument/2006/relationships/hyperlink" Target="https://marketplace.fedramp.gov/img/logos/CSP_logos/Salesforce%20Logo.jpg" TargetMode="External"/><Relationship Id="rId2747" Type="http://schemas.openxmlformats.org/officeDocument/2006/relationships/hyperlink" Target="https://www.accenture.com/us-en/insight-accenture-insights-platform" TargetMode="External"/><Relationship Id="rId1417" Type="http://schemas.openxmlformats.org/officeDocument/2006/relationships/hyperlink" Target="https://marketplace.fedramp.gov/img/logos/Agency_logos/USAID-Seal.png" TargetMode="External"/><Relationship Id="rId2748" Type="http://schemas.openxmlformats.org/officeDocument/2006/relationships/hyperlink" Target="https://marketplace.fedramp.gov/img/logos/CSP_logos/Accenture%20Logo2.jpg" TargetMode="External"/><Relationship Id="rId1418" Type="http://schemas.openxmlformats.org/officeDocument/2006/relationships/hyperlink" Target="https://community.max.gov/x/eQs3Kw" TargetMode="External"/><Relationship Id="rId2749" Type="http://schemas.openxmlformats.org/officeDocument/2006/relationships/hyperlink" Target="https://community.max.gov/x/DpBJK" TargetMode="External"/><Relationship Id="rId1419" Type="http://schemas.openxmlformats.org/officeDocument/2006/relationships/hyperlink" Target="https://community.max.gov/download/attachments/1130635691/ATO.Letter_Salesforce_USAID_01.12.16.pdf?api=v2" TargetMode="External"/><Relationship Id="rId2740" Type="http://schemas.openxmlformats.org/officeDocument/2006/relationships/hyperlink" Target="https://community.max.gov/x/AYIHJw" TargetMode="External"/><Relationship Id="rId1410" Type="http://schemas.openxmlformats.org/officeDocument/2006/relationships/hyperlink" Target="http://www.deloitte.com" TargetMode="External"/><Relationship Id="rId2741" Type="http://schemas.openxmlformats.org/officeDocument/2006/relationships/hyperlink" Target="https://community.max.gov/download/attachments/1293687616/ATO%20Letter_Virtustream_DoT_OCC_03.31.17.pdf?api=v2" TargetMode="External"/><Relationship Id="rId1400" Type="http://schemas.openxmlformats.org/officeDocument/2006/relationships/hyperlink" Target="https://gsuite.google.com/" TargetMode="External"/><Relationship Id="rId2731" Type="http://schemas.openxmlformats.org/officeDocument/2006/relationships/hyperlink" Target="https://community.max.gov/download/attachments/992346725/ATO%20Letter_Salesforce_DoJ_USMS_08.30.17.pdf?api=v2" TargetMode="External"/><Relationship Id="rId1401" Type="http://schemas.openxmlformats.org/officeDocument/2006/relationships/hyperlink" Target="https://marketplace.fedramp.gov/img/logos/CSP_logos/Google%20Logo.jpg" TargetMode="External"/><Relationship Id="rId2732" Type="http://schemas.openxmlformats.org/officeDocument/2006/relationships/hyperlink" Target="http://www.salesforce.com/industries/public-sector" TargetMode="External"/><Relationship Id="rId1402" Type="http://schemas.openxmlformats.org/officeDocument/2006/relationships/hyperlink" Target="https://marketplace.fedramp.gov/img/logos/Agency_logos/USAID-Seal.png" TargetMode="External"/><Relationship Id="rId2733" Type="http://schemas.openxmlformats.org/officeDocument/2006/relationships/hyperlink" Target="https://marketplace.fedramp.gov/img/logos/CSP_logos/Salesforce%20Logo.jpg" TargetMode="External"/><Relationship Id="rId1403" Type="http://schemas.openxmlformats.org/officeDocument/2006/relationships/hyperlink" Target="https://community.max.gov/x/eQs3Kw" TargetMode="External"/><Relationship Id="rId2734" Type="http://schemas.openxmlformats.org/officeDocument/2006/relationships/hyperlink" Target="https://marketplace.fedramp.gov/img/logos/Agency_logos/Seal_of_the_United_States_Department_of_Justice.png" TargetMode="External"/><Relationship Id="rId1404" Type="http://schemas.openxmlformats.org/officeDocument/2006/relationships/hyperlink" Target="https://community.max.gov/download/attachments/992346725/ATO.Letter_Salesforce_HHS_FDA_07.18.16.pdf?api=v2" TargetMode="External"/><Relationship Id="rId2735" Type="http://schemas.openxmlformats.org/officeDocument/2006/relationships/hyperlink" Target="https://community.max.gov/x/WQOaLQ" TargetMode="External"/><Relationship Id="rId1405" Type="http://schemas.openxmlformats.org/officeDocument/2006/relationships/hyperlink" Target="http://www.salesforce.com/industries/public-sector" TargetMode="External"/><Relationship Id="rId2736" Type="http://schemas.openxmlformats.org/officeDocument/2006/relationships/hyperlink" Target="https://community.max.gov/download/attachments/1155203762/ATO%20Letter_OracleFMCS_HUD_09.18.17.PDF?api=v2" TargetMode="External"/><Relationship Id="rId1406" Type="http://schemas.openxmlformats.org/officeDocument/2006/relationships/hyperlink" Target="https://marketplace.fedramp.gov/img/logos/CSP_logos/Salesforce%20Logo.jpg" TargetMode="External"/><Relationship Id="rId2737" Type="http://schemas.openxmlformats.org/officeDocument/2006/relationships/hyperlink" Target="http://www.oracle.com/us/industries/public-sector/government-cloud/index.html" TargetMode="External"/><Relationship Id="rId1407" Type="http://schemas.openxmlformats.org/officeDocument/2006/relationships/hyperlink" Target="https://marketplace.fedramp.gov/img/logos/Agency_logos/US-DeptOfHHS-Seal.png" TargetMode="External"/><Relationship Id="rId2738" Type="http://schemas.openxmlformats.org/officeDocument/2006/relationships/hyperlink" Target="https://marketplace.fedramp.gov/img/logos/CSP_logos/Oracle%20Logo.jpg" TargetMode="External"/><Relationship Id="rId1408" Type="http://schemas.openxmlformats.org/officeDocument/2006/relationships/hyperlink" Target="https://community.max.gov/x/daF3Jg" TargetMode="External"/><Relationship Id="rId2739" Type="http://schemas.openxmlformats.org/officeDocument/2006/relationships/hyperlink" Target="https://marketplace.fedramp.gov/img/logos/Agency_logos/US-DeptOfHUD-Seal.png" TargetMode="External"/><Relationship Id="rId1409" Type="http://schemas.openxmlformats.org/officeDocument/2006/relationships/hyperlink" Target="https://community.max.gov/download/attachments/1130103141/ATO.Letter_Deloitte_DOL_12.16.15.pdf?api=v2" TargetMode="External"/><Relationship Id="rId2730" Type="http://schemas.openxmlformats.org/officeDocument/2006/relationships/hyperlink" Target="https://community.max.gov/x/eQs3Kw" TargetMode="External"/><Relationship Id="rId1433" Type="http://schemas.openxmlformats.org/officeDocument/2006/relationships/hyperlink" Target="https://community.max.gov/download/attachments/992346706/ATO.Letter_MSO365_CNCS_08.4.16.pdf?api=v2" TargetMode="External"/><Relationship Id="rId2764" Type="http://schemas.openxmlformats.org/officeDocument/2006/relationships/hyperlink" Target="https://community.max.gov/download/attachments/1155204218/P-ATO_MSAzureGov_09.25.17.pdf?api=v2" TargetMode="External"/><Relationship Id="rId1434" Type="http://schemas.openxmlformats.org/officeDocument/2006/relationships/hyperlink" Target="http://www.microsoft.office.com" TargetMode="External"/><Relationship Id="rId2765" Type="http://schemas.openxmlformats.org/officeDocument/2006/relationships/hyperlink" Target="mailto:AzureFedRAMP@microsoft.com" TargetMode="External"/><Relationship Id="rId1435" Type="http://schemas.openxmlformats.org/officeDocument/2006/relationships/hyperlink" Target="https://marketplace.fedramp.gov/img/logos/CSP_logos/Microsoft%20Logo.jpg" TargetMode="External"/><Relationship Id="rId2766" Type="http://schemas.openxmlformats.org/officeDocument/2006/relationships/hyperlink" Target="http://azure.microsoft.com/en-us/" TargetMode="External"/><Relationship Id="rId1436" Type="http://schemas.openxmlformats.org/officeDocument/2006/relationships/hyperlink" Target="https://marketplace.fedramp.gov/img/logos/Agency_logos/cncs_1.png" TargetMode="External"/><Relationship Id="rId2767" Type="http://schemas.openxmlformats.org/officeDocument/2006/relationships/hyperlink" Target="https://marketplace.fedramp.gov/img/logos/CSP_logos/Microsoft%20Logo.jpg" TargetMode="External"/><Relationship Id="rId1437" Type="http://schemas.openxmlformats.org/officeDocument/2006/relationships/hyperlink" Target="https://community.max.gov/x/wgmOJQ" TargetMode="External"/><Relationship Id="rId2768" Type="http://schemas.openxmlformats.org/officeDocument/2006/relationships/hyperlink" Target="https://community.max.gov/x/UQK2PQ" TargetMode="External"/><Relationship Id="rId1438" Type="http://schemas.openxmlformats.org/officeDocument/2006/relationships/hyperlink" Target="https://community.max.gov/download/attachments/1256457901/ATO.Letter_Akamai_DoI_04.13.16.pdf?api=v2" TargetMode="External"/><Relationship Id="rId2769" Type="http://schemas.openxmlformats.org/officeDocument/2006/relationships/hyperlink" Target="https://community.max.gov/download/attachments/1035338333/ATO%20Letter_Box_HHS_FDA_09.29.17.pdf?api=v2" TargetMode="External"/><Relationship Id="rId1439" Type="http://schemas.openxmlformats.org/officeDocument/2006/relationships/hyperlink" Target="http://www.akamai.com" TargetMode="External"/><Relationship Id="rId609" Type="http://schemas.openxmlformats.org/officeDocument/2006/relationships/hyperlink" Target="https://community.max.gov/download/attachments/992346706/ATO.Letter_MS.O365_NCPC_08.20.15.pdf?api=v2" TargetMode="External"/><Relationship Id="rId608" Type="http://schemas.openxmlformats.org/officeDocument/2006/relationships/hyperlink" Target="https://community.max.gov/x/3JC6L" TargetMode="External"/><Relationship Id="rId607" Type="http://schemas.openxmlformats.org/officeDocument/2006/relationships/hyperlink" Target="https://marketplace.fedramp.gov/img/logos/Agency_logos/US-TennesseeValleyAuthority-Logo.png" TargetMode="External"/><Relationship Id="rId602" Type="http://schemas.openxmlformats.org/officeDocument/2006/relationships/hyperlink" Target="https://marketplace.fedramp.gov/img/logos/Agency_logos/United_States_Department_of_Defense_Seal.png" TargetMode="External"/><Relationship Id="rId601" Type="http://schemas.openxmlformats.org/officeDocument/2006/relationships/hyperlink" Target="https://marketplace.fedramp.gov/img/logos/CSP_logos/Microsoft%20Logo.jpg" TargetMode="External"/><Relationship Id="rId600" Type="http://schemas.openxmlformats.org/officeDocument/2006/relationships/hyperlink" Target="http://www.microsoft.office.com" TargetMode="External"/><Relationship Id="rId606" Type="http://schemas.openxmlformats.org/officeDocument/2006/relationships/hyperlink" Target="https://marketplace.fedramp.gov/img/logos/CSP_logos/Microsoft%20Logo.jpg" TargetMode="External"/><Relationship Id="rId605" Type="http://schemas.openxmlformats.org/officeDocument/2006/relationships/hyperlink" Target="http://www.microsoft.office.com" TargetMode="External"/><Relationship Id="rId604" Type="http://schemas.openxmlformats.org/officeDocument/2006/relationships/hyperlink" Target="https://community.max.gov/download/attachments/780173411/ATO.Letter_MS.O365.TVA_06.24.15.pdf?api=v2" TargetMode="External"/><Relationship Id="rId603" Type="http://schemas.openxmlformats.org/officeDocument/2006/relationships/hyperlink" Target="https://community.max.gov/x/3JC6L" TargetMode="External"/><Relationship Id="rId2760" Type="http://schemas.openxmlformats.org/officeDocument/2006/relationships/hyperlink" Target="https://community.max.gov/download/attachments/1155204218/P-ATO_MSAzureCommerical_09.25.17.pdf?api=v2" TargetMode="External"/><Relationship Id="rId1430" Type="http://schemas.openxmlformats.org/officeDocument/2006/relationships/hyperlink" Target="http://www.softlayer.com" TargetMode="External"/><Relationship Id="rId2761" Type="http://schemas.openxmlformats.org/officeDocument/2006/relationships/hyperlink" Target="http://azure.microsoft.com/en-us/" TargetMode="External"/><Relationship Id="rId1431" Type="http://schemas.openxmlformats.org/officeDocument/2006/relationships/hyperlink" Target="https://marketplace.fedramp.gov/img/logos/CSP_logos/Softlayer%20Logo.jpg" TargetMode="External"/><Relationship Id="rId2762" Type="http://schemas.openxmlformats.org/officeDocument/2006/relationships/hyperlink" Target="https://marketplace.fedramp.gov/img/logos/CSP_logos/Microsoft%20Logo.jpg" TargetMode="External"/><Relationship Id="rId1432" Type="http://schemas.openxmlformats.org/officeDocument/2006/relationships/hyperlink" Target="https://community.max.gov/x/3JC6L" TargetMode="External"/><Relationship Id="rId2763" Type="http://schemas.openxmlformats.org/officeDocument/2006/relationships/hyperlink" Target="https://community.max.gov/x/WgZfJw" TargetMode="External"/><Relationship Id="rId1422" Type="http://schemas.openxmlformats.org/officeDocument/2006/relationships/hyperlink" Target="https://marketplace.fedramp.gov/img/logos/Agency_logos/USAID-Seal.png" TargetMode="External"/><Relationship Id="rId2753" Type="http://schemas.openxmlformats.org/officeDocument/2006/relationships/hyperlink" Target="https://marketplace.fedramp.gov/img/logos/Agency_logos/US-DeptOfCommerce-Seal.png" TargetMode="External"/><Relationship Id="rId1423" Type="http://schemas.openxmlformats.org/officeDocument/2006/relationships/hyperlink" Target="https://community.max.gov/x/DpBJK" TargetMode="External"/><Relationship Id="rId2754" Type="http://schemas.openxmlformats.org/officeDocument/2006/relationships/hyperlink" Target="https://community.max.gov/x/CgIoNQ" TargetMode="External"/><Relationship Id="rId1424" Type="http://schemas.openxmlformats.org/officeDocument/2006/relationships/hyperlink" Target="https://community.max.gov/download/attachments/1113425425/ATO.Letter_AWSGC_DOC_ESA_04.27.16.pdf?api=v2" TargetMode="External"/><Relationship Id="rId2755" Type="http://schemas.openxmlformats.org/officeDocument/2006/relationships/hyperlink" Target="https://community.max.gov/download/attachments/992346635/ATO%20Letter_Blackberry_DoJ_JMD_09.27.17.pdf?api=v2" TargetMode="External"/><Relationship Id="rId1425" Type="http://schemas.openxmlformats.org/officeDocument/2006/relationships/hyperlink" Target="http://www.aws.amazon.com" TargetMode="External"/><Relationship Id="rId2756" Type="http://schemas.openxmlformats.org/officeDocument/2006/relationships/hyperlink" Target="http://blackberry.athoc.com" TargetMode="External"/><Relationship Id="rId1426" Type="http://schemas.openxmlformats.org/officeDocument/2006/relationships/hyperlink" Target="https://marketplace.fedramp.gov/img/logos/CSP_logos/Amazon%20Logo.jpg" TargetMode="External"/><Relationship Id="rId2757" Type="http://schemas.openxmlformats.org/officeDocument/2006/relationships/hyperlink" Target="https://marketplace.fedramp.gov/img/logos/CSP_logos/BlackBerry%20Logo.jpg" TargetMode="External"/><Relationship Id="rId1427" Type="http://schemas.openxmlformats.org/officeDocument/2006/relationships/hyperlink" Target="https://marketplace.fedramp.gov/img/logos/Agency_logos/US-DeptOfCommerce-Seal.png" TargetMode="External"/><Relationship Id="rId2758" Type="http://schemas.openxmlformats.org/officeDocument/2006/relationships/hyperlink" Target="https://marketplace.fedramp.gov/img/logos/Agency_logos/Seal_of_the_United_States_Department_of_Justice.png" TargetMode="External"/><Relationship Id="rId1428" Type="http://schemas.openxmlformats.org/officeDocument/2006/relationships/hyperlink" Target="https://community.max.gov/x/vg_4Jg" TargetMode="External"/><Relationship Id="rId2759" Type="http://schemas.openxmlformats.org/officeDocument/2006/relationships/hyperlink" Target="https://community.max.gov/display/FedRAMPExternal/MS+Azure+ATO+Letters" TargetMode="External"/><Relationship Id="rId1429" Type="http://schemas.openxmlformats.org/officeDocument/2006/relationships/hyperlink" Target="https://community.max.gov/download/attachments/1155204011/P-ATO_Softlayer_SFC_08.04.16.pdf?api=v2" TargetMode="External"/><Relationship Id="rId2750" Type="http://schemas.openxmlformats.org/officeDocument/2006/relationships/hyperlink" Target="https://community.max.gov/download/attachments/1115488742/ATO%20Letter_AWSEW_DoC_USPTO_01.19.17.pdf?api=v2" TargetMode="External"/><Relationship Id="rId1420" Type="http://schemas.openxmlformats.org/officeDocument/2006/relationships/hyperlink" Target="http://www.salesforce.com/industries/public-sector" TargetMode="External"/><Relationship Id="rId2751" Type="http://schemas.openxmlformats.org/officeDocument/2006/relationships/hyperlink" Target="http://www.aws.amazon.com" TargetMode="External"/><Relationship Id="rId1421" Type="http://schemas.openxmlformats.org/officeDocument/2006/relationships/hyperlink" Target="https://marketplace.fedramp.gov/img/logos/CSP_logos/Salesforce%20Logo.jpg" TargetMode="External"/><Relationship Id="rId2752" Type="http://schemas.openxmlformats.org/officeDocument/2006/relationships/hyperlink" Target="https://marketplace.fedramp.gov/img/logos/CSP_logos/Amazon%20Logo.jpg" TargetMode="External"/><Relationship Id="rId3238" Type="http://schemas.openxmlformats.org/officeDocument/2006/relationships/hyperlink" Target="https://marketplace.fedramp.gov/img/logos/CSP_logos/SAP%20NS2%20Logo1.jpg" TargetMode="External"/><Relationship Id="rId3237" Type="http://schemas.openxmlformats.org/officeDocument/2006/relationships/hyperlink" Target="https://www.sapns2.com/cloud/" TargetMode="External"/><Relationship Id="rId3239" Type="http://schemas.openxmlformats.org/officeDocument/2006/relationships/hyperlink" Target="https://marketplace.fedramp.gov/img/logos/Agency_logos/United_States_Department_of_Defense_Seal.png" TargetMode="External"/><Relationship Id="rId3230" Type="http://schemas.openxmlformats.org/officeDocument/2006/relationships/hyperlink" Target="https://community.max.gov/x/XYIVPQ" TargetMode="External"/><Relationship Id="rId3232" Type="http://schemas.openxmlformats.org/officeDocument/2006/relationships/hyperlink" Target="https://www.sapns2.com/cloud/" TargetMode="External"/><Relationship Id="rId3231" Type="http://schemas.openxmlformats.org/officeDocument/2006/relationships/hyperlink" Target="https://community.max.gov/download/attachments/1356301811/ATO.Letter_SAPNS2_VA_1.11.18.pdf?api=v2" TargetMode="External"/><Relationship Id="rId3234" Type="http://schemas.openxmlformats.org/officeDocument/2006/relationships/hyperlink" Target="https://marketplace.fedramp.gov/img/logos/Agency_logos/Seal_of_the_United_States_Department_of_Veterans_Affairs_(1989-2012).png" TargetMode="External"/><Relationship Id="rId3233" Type="http://schemas.openxmlformats.org/officeDocument/2006/relationships/hyperlink" Target="https://marketplace.fedramp.gov/img/logos/CSP_logos/SAP%20NS2%20Logo1.jpg" TargetMode="External"/><Relationship Id="rId3236" Type="http://schemas.openxmlformats.org/officeDocument/2006/relationships/hyperlink" Target="https://community.max.gov/download/attachments/1356301811/ATO.Letter_SAPNS2_DOD_WHS_2.2.18.pdf?api=v2" TargetMode="External"/><Relationship Id="rId3235" Type="http://schemas.openxmlformats.org/officeDocument/2006/relationships/hyperlink" Target="https://community.max.gov/x/XYIVPQ" TargetMode="External"/><Relationship Id="rId3227" Type="http://schemas.openxmlformats.org/officeDocument/2006/relationships/hyperlink" Target="https://www.sapns2.com/cloud/" TargetMode="External"/><Relationship Id="rId3226" Type="http://schemas.openxmlformats.org/officeDocument/2006/relationships/hyperlink" Target="https://community.max.gov/download/attachments/1356301811/ATO.Letter_SAPNS2_GSA_10.5.17.pdf?api=v2" TargetMode="External"/><Relationship Id="rId3229" Type="http://schemas.openxmlformats.org/officeDocument/2006/relationships/hyperlink" Target="https://marketplace.fedramp.gov/img/logos/Agency_logos/GSAlogo.png" TargetMode="External"/><Relationship Id="rId3228" Type="http://schemas.openxmlformats.org/officeDocument/2006/relationships/hyperlink" Target="https://marketplace.fedramp.gov/img/logos/CSP_logos/SAP%20NS2%20Logo1.jpg" TargetMode="External"/><Relationship Id="rId699" Type="http://schemas.openxmlformats.org/officeDocument/2006/relationships/hyperlink" Target="https://community.max.gov/download/attachments/952108801/ATO.Letter_USDA.NFC_USDA_05.15.15.pdf?api=v2" TargetMode="External"/><Relationship Id="rId698" Type="http://schemas.openxmlformats.org/officeDocument/2006/relationships/hyperlink" Target="https://community.max.gov/x/w4ZYL" TargetMode="External"/><Relationship Id="rId693" Type="http://schemas.openxmlformats.org/officeDocument/2006/relationships/hyperlink" Target="https://community.max.gov/x/xoRmN" TargetMode="External"/><Relationship Id="rId692" Type="http://schemas.openxmlformats.org/officeDocument/2006/relationships/hyperlink" Target="https://marketplace.fedramp.gov/img/logos/Agency_logos/United_States_Department_of_Defense_Seal.png" TargetMode="External"/><Relationship Id="rId691" Type="http://schemas.openxmlformats.org/officeDocument/2006/relationships/hyperlink" Target="http://securekey.com/products-services/briidge-net-exchange-byoc/" TargetMode="External"/><Relationship Id="rId3221" Type="http://schemas.openxmlformats.org/officeDocument/2006/relationships/hyperlink" Target="https://community.max.gov/download/attachments/1500546130/ATO.Letter_SAPNS2_DoT_1.12.18.pdf?api=v2" TargetMode="External"/><Relationship Id="rId690" Type="http://schemas.openxmlformats.org/officeDocument/2006/relationships/hyperlink" Target="https://community.max.gov/download/attachments/1155204167/ATO.Letter_SecureKey_DOD.DISA_3.26.15.pdf?api=v2" TargetMode="External"/><Relationship Id="rId3220" Type="http://schemas.openxmlformats.org/officeDocument/2006/relationships/hyperlink" Target="https://community.max.gov/x/XYIVPQ" TargetMode="External"/><Relationship Id="rId697" Type="http://schemas.openxmlformats.org/officeDocument/2006/relationships/hyperlink" Target="https://marketplace.fedramp.gov/img/logos/Agency_logos/US-FCC-Seal.png" TargetMode="External"/><Relationship Id="rId3223" Type="http://schemas.openxmlformats.org/officeDocument/2006/relationships/hyperlink" Target="https://marketplace.fedramp.gov/img/logos/CSP_logos/SAP%20NS2%20Logo1.jpg" TargetMode="External"/><Relationship Id="rId696" Type="http://schemas.openxmlformats.org/officeDocument/2006/relationships/hyperlink" Target="https://marketplace.fedramp.gov/img/logos/CSP_logos/Softlayer%20Logo.jpg" TargetMode="External"/><Relationship Id="rId3222" Type="http://schemas.openxmlformats.org/officeDocument/2006/relationships/hyperlink" Target="https://www.sapns2.com/cloud/" TargetMode="External"/><Relationship Id="rId695" Type="http://schemas.openxmlformats.org/officeDocument/2006/relationships/hyperlink" Target="http://www.softlayer.com" TargetMode="External"/><Relationship Id="rId3225" Type="http://schemas.openxmlformats.org/officeDocument/2006/relationships/hyperlink" Target="https://community.max.gov/x/XYIVPQ" TargetMode="External"/><Relationship Id="rId694" Type="http://schemas.openxmlformats.org/officeDocument/2006/relationships/hyperlink" Target="https://community.max.gov/download/attachments/1256458317/ATO.Letter_SoftLayer_FCC_06.16.15.pdf?api=v2" TargetMode="External"/><Relationship Id="rId3224" Type="http://schemas.openxmlformats.org/officeDocument/2006/relationships/hyperlink" Target="https://marketplace.fedramp.gov/img/logos/Agency_logos/US-DeptOfTheTreasury-Seal.png" TargetMode="External"/><Relationship Id="rId3259" Type="http://schemas.openxmlformats.org/officeDocument/2006/relationships/hyperlink" Target="https://marketplace.fedramp.gov/img/logos/Agency_logos/NASA_logo.png" TargetMode="External"/><Relationship Id="rId3250" Type="http://schemas.openxmlformats.org/officeDocument/2006/relationships/hyperlink" Target="https://community.max.gov/x/eIbiS" TargetMode="External"/><Relationship Id="rId3252" Type="http://schemas.openxmlformats.org/officeDocument/2006/relationships/hyperlink" Target="http://www.ideascale.com" TargetMode="External"/><Relationship Id="rId3251" Type="http://schemas.openxmlformats.org/officeDocument/2006/relationships/hyperlink" Target="https://community.max.gov/download/attachments/700221105/ATO.Letter_IdeaScale_HHS_FDA_2.12.18.pdf?api=v2" TargetMode="External"/><Relationship Id="rId3254" Type="http://schemas.openxmlformats.org/officeDocument/2006/relationships/hyperlink" Target="https://marketplace.fedramp.gov/img/logos/Agency_logos/US-DeptOfHHS-Seal.png" TargetMode="External"/><Relationship Id="rId3253" Type="http://schemas.openxmlformats.org/officeDocument/2006/relationships/hyperlink" Target="https://marketplace.fedramp.gov/img/logos/CSP_logos/Ideascale%20Logo.jpg" TargetMode="External"/><Relationship Id="rId3256" Type="http://schemas.openxmlformats.org/officeDocument/2006/relationships/hyperlink" Target="https://community.max.gov/download/attachments/1156417191/PTC%20CS%20A1%20ISPP%2001%20NASA%20ATO%20v%204.0.pdf?api=v2" TargetMode="External"/><Relationship Id="rId3255" Type="http://schemas.openxmlformats.org/officeDocument/2006/relationships/hyperlink" Target="https://community.max.gov/x/mIbtR" TargetMode="External"/><Relationship Id="rId3258" Type="http://schemas.openxmlformats.org/officeDocument/2006/relationships/hyperlink" Target="https://marketplace.fedramp.gov/img/logos/CSP_logos/PTC%20Logo.jpg" TargetMode="External"/><Relationship Id="rId3257" Type="http://schemas.openxmlformats.org/officeDocument/2006/relationships/hyperlink" Target="http://www.ptc.com/services/cloud" TargetMode="External"/><Relationship Id="rId3249" Type="http://schemas.openxmlformats.org/officeDocument/2006/relationships/hyperlink" Target="https://marketplace.fedramp.gov/img/logos/Agency_logos/US-DeptOfTheInterior-Seal.png" TargetMode="External"/><Relationship Id="rId3248" Type="http://schemas.openxmlformats.org/officeDocument/2006/relationships/hyperlink" Target="https://marketplace.fedramp.gov/img/logos/CSP_logos/ServiceNow%20Logo.jpg" TargetMode="External"/><Relationship Id="rId3241" Type="http://schemas.openxmlformats.org/officeDocument/2006/relationships/hyperlink" Target="https://community.max.gov/download/attachments/1531087271/ATO.Letter_Google_DoE_LANL_1.17.18.pdf?api=v2" TargetMode="External"/><Relationship Id="rId3240" Type="http://schemas.openxmlformats.org/officeDocument/2006/relationships/hyperlink" Target="https://community.max.gov/x/34ngVQ" TargetMode="External"/><Relationship Id="rId3243" Type="http://schemas.openxmlformats.org/officeDocument/2006/relationships/hyperlink" Target="https://marketplace.fedramp.gov/img/logos/CSP_logos/Google%20Logo.jpg" TargetMode="External"/><Relationship Id="rId3242" Type="http://schemas.openxmlformats.org/officeDocument/2006/relationships/hyperlink" Target="https://gsuite.google.com/" TargetMode="External"/><Relationship Id="rId3245" Type="http://schemas.openxmlformats.org/officeDocument/2006/relationships/hyperlink" Target="https://community.max.gov/x/QoWaP" TargetMode="External"/><Relationship Id="rId3244" Type="http://schemas.openxmlformats.org/officeDocument/2006/relationships/hyperlink" Target="https://marketplace.fedramp.gov/img/logos/Agency_logos/US-DeptOfEnergy-Seal.png" TargetMode="External"/><Relationship Id="rId3247" Type="http://schemas.openxmlformats.org/officeDocument/2006/relationships/hyperlink" Target="http://www.servicenow.com" TargetMode="External"/><Relationship Id="rId3246" Type="http://schemas.openxmlformats.org/officeDocument/2006/relationships/hyperlink" Target="https://community.max.gov/download/attachments/1155203837/ATO.Letter_ServiceNow_DoI_OST_2.2.18.pdf?api=v2" TargetMode="External"/><Relationship Id="rId1499" Type="http://schemas.openxmlformats.org/officeDocument/2006/relationships/hyperlink" Target="https://community.max.gov/x/vgVqQQ" TargetMode="External"/><Relationship Id="rId668" Type="http://schemas.openxmlformats.org/officeDocument/2006/relationships/hyperlink" Target="http://cloud.oracle.com/public-sector-cloud" TargetMode="External"/><Relationship Id="rId667" Type="http://schemas.openxmlformats.org/officeDocument/2006/relationships/hyperlink" Target="https://community.max.gov/download/attachments/1155203796/ATO.Letter_Oracle.SC_DOD.DISA_3.26.15.pdf?api=v2" TargetMode="External"/><Relationship Id="rId666" Type="http://schemas.openxmlformats.org/officeDocument/2006/relationships/hyperlink" Target="https://community.max.gov/x/WQOaLQ" TargetMode="External"/><Relationship Id="rId665" Type="http://schemas.openxmlformats.org/officeDocument/2006/relationships/hyperlink" Target="https://marketplace.fedramp.gov/img/logos/CSP_logos/Oracle%20Logo.jpg" TargetMode="External"/><Relationship Id="rId669" Type="http://schemas.openxmlformats.org/officeDocument/2006/relationships/hyperlink" Target="https://marketplace.fedramp.gov/img/logos/CSP_logos/Oracle%20Logo.jpg" TargetMode="External"/><Relationship Id="rId1490" Type="http://schemas.openxmlformats.org/officeDocument/2006/relationships/hyperlink" Target="mailto:AzureFedRAMP@microsoft.com" TargetMode="External"/><Relationship Id="rId660" Type="http://schemas.openxmlformats.org/officeDocument/2006/relationships/hyperlink" Target="https://marketplace.fedramp.gov/img/logos/CSP_logos/Oracle%20Logo.jpg" TargetMode="External"/><Relationship Id="rId1491" Type="http://schemas.openxmlformats.org/officeDocument/2006/relationships/hyperlink" Target="http://azure.microsoft.com/en-us/" TargetMode="External"/><Relationship Id="rId1492" Type="http://schemas.openxmlformats.org/officeDocument/2006/relationships/hyperlink" Target="https://marketplace.fedramp.gov/img/logos/CSP_logos/Microsoft%20Logo.jpg" TargetMode="External"/><Relationship Id="rId1493" Type="http://schemas.openxmlformats.org/officeDocument/2006/relationships/hyperlink" Target="https://marketplace.fedramp.gov/img/logos/Agency_logos/United_States_Department_of_Defense_Seal.png" TargetMode="External"/><Relationship Id="rId1494" Type="http://schemas.openxmlformats.org/officeDocument/2006/relationships/hyperlink" Target="https://community.max.gov/x/DpBJK" TargetMode="External"/><Relationship Id="rId664" Type="http://schemas.openxmlformats.org/officeDocument/2006/relationships/hyperlink" Target="http://cloud.oracle.com/public-sector-cloud" TargetMode="External"/><Relationship Id="rId1495" Type="http://schemas.openxmlformats.org/officeDocument/2006/relationships/hyperlink" Target="https://community.max.gov/download/attachments/1115488742/ATO.Letter_AWSEW_DOD_DISA_08.28.16.pdf?api=v2" TargetMode="External"/><Relationship Id="rId663" Type="http://schemas.openxmlformats.org/officeDocument/2006/relationships/hyperlink" Target="https://community.max.gov/download/attachments/1256458267/P-ATO_Oracle.SC_12.05.14.pdf?api=v2" TargetMode="External"/><Relationship Id="rId1496" Type="http://schemas.openxmlformats.org/officeDocument/2006/relationships/hyperlink" Target="http://www.aws.amazon.com" TargetMode="External"/><Relationship Id="rId662" Type="http://schemas.openxmlformats.org/officeDocument/2006/relationships/hyperlink" Target="https://community.max.gov/x/WQOaLQ" TargetMode="External"/><Relationship Id="rId1497" Type="http://schemas.openxmlformats.org/officeDocument/2006/relationships/hyperlink" Target="https://marketplace.fedramp.gov/img/logos/CSP_logos/Amazon%20Logo.jpg" TargetMode="External"/><Relationship Id="rId661" Type="http://schemas.openxmlformats.org/officeDocument/2006/relationships/hyperlink" Target="https://marketplace.fedramp.gov/img/logos/Agency_logos/United_States_Department_of_Defense_Seal.png" TargetMode="External"/><Relationship Id="rId1498" Type="http://schemas.openxmlformats.org/officeDocument/2006/relationships/hyperlink" Target="https://marketplace.fedramp.gov/img/logos/Agency_logos/United_States_Department_of_Defense_Seal.png" TargetMode="External"/><Relationship Id="rId1488" Type="http://schemas.openxmlformats.org/officeDocument/2006/relationships/hyperlink" Target="https://community.max.gov/x/WgZfJw" TargetMode="External"/><Relationship Id="rId1489" Type="http://schemas.openxmlformats.org/officeDocument/2006/relationships/hyperlink" Target="https://community.max.gov/download/attachments/1155204218/ATO.Letter_MSAzure_DOD_DISA_06.22.16.pdf?api=v2" TargetMode="External"/><Relationship Id="rId657" Type="http://schemas.openxmlformats.org/officeDocument/2006/relationships/hyperlink" Target="https://community.max.gov/x/DgwdJg" TargetMode="External"/><Relationship Id="rId656" Type="http://schemas.openxmlformats.org/officeDocument/2006/relationships/hyperlink" Target="https://marketplace.fedramp.gov/img/logos/Agency_logos/United_States_Department_of_Defense_Seal.png" TargetMode="External"/><Relationship Id="rId655" Type="http://schemas.openxmlformats.org/officeDocument/2006/relationships/hyperlink" Target="https://marketplace.fedramp.gov/img/logos/CSP_logos/OMB%20Logo.jpg" TargetMode="External"/><Relationship Id="rId654" Type="http://schemas.openxmlformats.org/officeDocument/2006/relationships/hyperlink" Target="https://www.MAX.gov" TargetMode="External"/><Relationship Id="rId659" Type="http://schemas.openxmlformats.org/officeDocument/2006/relationships/hyperlink" Target="http://www.oracle.com/us/industries/public-sector/government-cloud/index.html" TargetMode="External"/><Relationship Id="rId658" Type="http://schemas.openxmlformats.org/officeDocument/2006/relationships/hyperlink" Target="https://community.max.gov/download/attachments/1155203762/ATO.Letter_Oracle.FMCS_DOD.DISA_3.26.15.pdf?api=v2" TargetMode="External"/><Relationship Id="rId1480" Type="http://schemas.openxmlformats.org/officeDocument/2006/relationships/hyperlink" Target="http://www.cornerstoneondemand.com/" TargetMode="External"/><Relationship Id="rId1481" Type="http://schemas.openxmlformats.org/officeDocument/2006/relationships/hyperlink" Target="https://marketplace.fedramp.gov/img/logos/CSP_logos/Cornerstone%20Logo.jpg" TargetMode="External"/><Relationship Id="rId1482" Type="http://schemas.openxmlformats.org/officeDocument/2006/relationships/hyperlink" Target="https://marketplace.fedramp.gov/img/logos/Agency_logos/US-DeptOfCommerce-Seal.png" TargetMode="External"/><Relationship Id="rId1483" Type="http://schemas.openxmlformats.org/officeDocument/2006/relationships/hyperlink" Target="https://community.max.gov/x/DpBJK" TargetMode="External"/><Relationship Id="rId653" Type="http://schemas.openxmlformats.org/officeDocument/2006/relationships/hyperlink" Target="https://community.max.gov/download/attachments/920093586/OMB%20MAX%20Shared%20Services%20DoD%20DISA%20P-ATO%20PL-2%202015-03-26.pdf?api=v2" TargetMode="External"/><Relationship Id="rId1484" Type="http://schemas.openxmlformats.org/officeDocument/2006/relationships/hyperlink" Target="https://community.max.gov/download/attachments/1113425425/ATO.Letter_AWSGC_MCC_08.23.16.pdf?api=v2" TargetMode="External"/><Relationship Id="rId652" Type="http://schemas.openxmlformats.org/officeDocument/2006/relationships/hyperlink" Target="https://community.max.gov/x/4IEYLg" TargetMode="External"/><Relationship Id="rId1485" Type="http://schemas.openxmlformats.org/officeDocument/2006/relationships/hyperlink" Target="http://www.aws.amazon.com" TargetMode="External"/><Relationship Id="rId651" Type="http://schemas.openxmlformats.org/officeDocument/2006/relationships/hyperlink" Target="https://marketplace.fedramp.gov/img/logos/Agency_logos/United_States_Department_of_Defense_Seal.png" TargetMode="External"/><Relationship Id="rId1486" Type="http://schemas.openxmlformats.org/officeDocument/2006/relationships/hyperlink" Target="https://marketplace.fedramp.gov/img/logos/CSP_logos/Amazon%20Logo.jpg" TargetMode="External"/><Relationship Id="rId650" Type="http://schemas.openxmlformats.org/officeDocument/2006/relationships/hyperlink" Target="https://marketplace.fedramp.gov/img/logos/CSP_logos/OMB%20Logo.jpg" TargetMode="External"/><Relationship Id="rId1487" Type="http://schemas.openxmlformats.org/officeDocument/2006/relationships/hyperlink" Target="https://marketplace.fedramp.gov/img/logos/Agency_logos/US-MillenniumChallengeCorporation-Seal.png" TargetMode="External"/><Relationship Id="rId3216" Type="http://schemas.openxmlformats.org/officeDocument/2006/relationships/hyperlink" Target="https://community.max.gov/download/attachments/981566003/ATO.Letter_Deloitte_DoT_IRS_2.2.18.pdf?api=v2" TargetMode="External"/><Relationship Id="rId3215" Type="http://schemas.openxmlformats.org/officeDocument/2006/relationships/hyperlink" Target="https://community.max.gov/x/daF3Jg" TargetMode="External"/><Relationship Id="rId3218" Type="http://schemas.openxmlformats.org/officeDocument/2006/relationships/hyperlink" Target="https://marketplace.fedramp.gov/img/logos/CSP_logos/Deloitte%20Logo.jpg" TargetMode="External"/><Relationship Id="rId3217" Type="http://schemas.openxmlformats.org/officeDocument/2006/relationships/hyperlink" Target="http://www.deloitte.com" TargetMode="External"/><Relationship Id="rId3219" Type="http://schemas.openxmlformats.org/officeDocument/2006/relationships/hyperlink" Target="https://marketplace.fedramp.gov/img/logos/Agency_logos/US-DeptOfTheTreasury-Seal.png" TargetMode="External"/><Relationship Id="rId689" Type="http://schemas.openxmlformats.org/officeDocument/2006/relationships/hyperlink" Target="https://community.max.gov/x/Jo2FKQ" TargetMode="External"/><Relationship Id="rId688" Type="http://schemas.openxmlformats.org/officeDocument/2006/relationships/hyperlink" Target="http://securekey.com/products-services/briidge-net-exchange-byoc/" TargetMode="External"/><Relationship Id="rId687" Type="http://schemas.openxmlformats.org/officeDocument/2006/relationships/hyperlink" Target="https://community.max.gov/download/attachments/1155204167/P-ATO_SecureKey_12.05.14.pdf?api=v2" TargetMode="External"/><Relationship Id="rId682" Type="http://schemas.openxmlformats.org/officeDocument/2006/relationships/hyperlink" Target="https://community.max.gov/download/attachments/992346725/ATO.Letter_Salesforce_ED_6.17.15.pdf?api=v2" TargetMode="External"/><Relationship Id="rId681" Type="http://schemas.openxmlformats.org/officeDocument/2006/relationships/hyperlink" Target="https://community.max.gov/x/eQs3Kw" TargetMode="External"/><Relationship Id="rId680" Type="http://schemas.openxmlformats.org/officeDocument/2006/relationships/hyperlink" Target="https://marketplace.fedramp.gov/img/logos/Agency_logos/United_States_Department_of_Defense_Seal.png" TargetMode="External"/><Relationship Id="rId3210" Type="http://schemas.openxmlformats.org/officeDocument/2006/relationships/hyperlink" Target="https://community.max.gov/x/eQs3Kw" TargetMode="External"/><Relationship Id="rId686" Type="http://schemas.openxmlformats.org/officeDocument/2006/relationships/hyperlink" Target="https://community.max.gov/x/Jo2FKQ" TargetMode="External"/><Relationship Id="rId3212" Type="http://schemas.openxmlformats.org/officeDocument/2006/relationships/hyperlink" Target="http://www.salesforce.com/industries/public-sector" TargetMode="External"/><Relationship Id="rId685" Type="http://schemas.openxmlformats.org/officeDocument/2006/relationships/hyperlink" Target="https://marketplace.fedramp.gov/img/logos/Agency_logos/US-DeptOfEducation-Seal.png" TargetMode="External"/><Relationship Id="rId3211" Type="http://schemas.openxmlformats.org/officeDocument/2006/relationships/hyperlink" Target="https://community.max.gov/download/attachments/992346725/ATO.Letter_Salesforce_DoD_DISA_1.21.18.pdf?api=v2" TargetMode="External"/><Relationship Id="rId684" Type="http://schemas.openxmlformats.org/officeDocument/2006/relationships/hyperlink" Target="https://marketplace.fedramp.gov/img/logos/CSP_logos/Salesforce%20Logo.jpg" TargetMode="External"/><Relationship Id="rId3214" Type="http://schemas.openxmlformats.org/officeDocument/2006/relationships/hyperlink" Target="https://marketplace.fedramp.gov/img/logos/Agency_logos/United_States_Department_of_Defense_Seal.png" TargetMode="External"/><Relationship Id="rId683" Type="http://schemas.openxmlformats.org/officeDocument/2006/relationships/hyperlink" Target="http://www.salesforce.com/industries/public-sector" TargetMode="External"/><Relationship Id="rId3213" Type="http://schemas.openxmlformats.org/officeDocument/2006/relationships/hyperlink" Target="https://marketplace.fedramp.gov/img/logos/CSP_logos/Salesforce%20Logo.jpg" TargetMode="External"/><Relationship Id="rId3205" Type="http://schemas.openxmlformats.org/officeDocument/2006/relationships/hyperlink" Target="https://community.max.gov/x/QoWaP" TargetMode="External"/><Relationship Id="rId3204" Type="http://schemas.openxmlformats.org/officeDocument/2006/relationships/hyperlink" Target="https://marketplace.fedramp.gov/img/logos/Agency_logos/768px-US-DeptOfTransportation-Seal.svg.png" TargetMode="External"/><Relationship Id="rId3207" Type="http://schemas.openxmlformats.org/officeDocument/2006/relationships/hyperlink" Target="http://www.servicenow.com" TargetMode="External"/><Relationship Id="rId3206" Type="http://schemas.openxmlformats.org/officeDocument/2006/relationships/hyperlink" Target="https://community.max.gov/download/attachments/1155203837/ATO.Letter_ServiceNow_DoE_SWPA_1.28.17.pdf?api=v2" TargetMode="External"/><Relationship Id="rId3209" Type="http://schemas.openxmlformats.org/officeDocument/2006/relationships/hyperlink" Target="https://marketplace.fedramp.gov/img/logos/Agency_logos/US-DeptOfEnergy-Seal.png" TargetMode="External"/><Relationship Id="rId3208" Type="http://schemas.openxmlformats.org/officeDocument/2006/relationships/hyperlink" Target="https://marketplace.fedramp.gov/img/logos/CSP_logos/ServiceNow%20Logo.jpg" TargetMode="External"/><Relationship Id="rId679" Type="http://schemas.openxmlformats.org/officeDocument/2006/relationships/hyperlink" Target="https://marketplace.fedramp.gov/img/logos/CSP_logos/Salesforce%20Logo.jpg" TargetMode="External"/><Relationship Id="rId678" Type="http://schemas.openxmlformats.org/officeDocument/2006/relationships/hyperlink" Target="http://www.salesforce.com/industries/public-sector" TargetMode="External"/><Relationship Id="rId677" Type="http://schemas.openxmlformats.org/officeDocument/2006/relationships/hyperlink" Target="https://community.max.gov/download/attachments/1130635691/ATO.Letter_Salesforce_DOD.DISA_3.26.15.pdf?api=v2" TargetMode="External"/><Relationship Id="rId676" Type="http://schemas.openxmlformats.org/officeDocument/2006/relationships/hyperlink" Target="https://community.max.gov/x/eQs3Kw" TargetMode="External"/><Relationship Id="rId671" Type="http://schemas.openxmlformats.org/officeDocument/2006/relationships/hyperlink" Target="https://community.max.gov/x/eQs3Kw" TargetMode="External"/><Relationship Id="rId670" Type="http://schemas.openxmlformats.org/officeDocument/2006/relationships/hyperlink" Target="https://marketplace.fedramp.gov/img/logos/Agency_logos/United_States_Department_of_Defense_Seal.png" TargetMode="External"/><Relationship Id="rId675" Type="http://schemas.openxmlformats.org/officeDocument/2006/relationships/hyperlink" Target="https://marketplace.fedramp.gov/img/logos/Agency_logos/US-DeptOfEnergy-Seal.png" TargetMode="External"/><Relationship Id="rId3201" Type="http://schemas.openxmlformats.org/officeDocument/2006/relationships/hyperlink" Target="https://community.max.gov/download/attachments/992346725/ATO.Letter_Salesforce_DoL_11.28.17.pdf?api=v2" TargetMode="External"/><Relationship Id="rId674" Type="http://schemas.openxmlformats.org/officeDocument/2006/relationships/hyperlink" Target="https://marketplace.fedramp.gov/img/logos/CSP_logos/Salesforce%20Logo.jpg" TargetMode="External"/><Relationship Id="rId3200" Type="http://schemas.openxmlformats.org/officeDocument/2006/relationships/hyperlink" Target="https://community.max.gov/x/eQs3Kw" TargetMode="External"/><Relationship Id="rId673" Type="http://schemas.openxmlformats.org/officeDocument/2006/relationships/hyperlink" Target="http://www.salesforce.com/industries/public-sector" TargetMode="External"/><Relationship Id="rId3203" Type="http://schemas.openxmlformats.org/officeDocument/2006/relationships/hyperlink" Target="https://marketplace.fedramp.gov/img/logos/CSP_logos/Salesforce%20Logo.jpg" TargetMode="External"/><Relationship Id="rId672" Type="http://schemas.openxmlformats.org/officeDocument/2006/relationships/hyperlink" Target="https://community.max.gov/download/attachments/992346725/ATO.Letter_Salesforce_DOE.EIA_11.25.14.pdf?api=v2" TargetMode="External"/><Relationship Id="rId3202" Type="http://schemas.openxmlformats.org/officeDocument/2006/relationships/hyperlink" Target="http://www.salesforce.com/industries/public-sector" TargetMode="External"/><Relationship Id="rId190" Type="http://schemas.openxmlformats.org/officeDocument/2006/relationships/hyperlink" Target="https://marketplace.fedramp.gov/img/logos/Agency_logos/US-DeptOfTheTreasury-Seal.png" TargetMode="External"/><Relationship Id="rId194" Type="http://schemas.openxmlformats.org/officeDocument/2006/relationships/hyperlink" Target="https://marketplace.fedramp.gov/img/logos/CSP_logos/Amazon%20Logo.jpg" TargetMode="External"/><Relationship Id="rId193" Type="http://schemas.openxmlformats.org/officeDocument/2006/relationships/hyperlink" Target="http://www.aws.amazon.com" TargetMode="External"/><Relationship Id="rId192" Type="http://schemas.openxmlformats.org/officeDocument/2006/relationships/hyperlink" Target="https://community.max.gov/download/attachments/1113425425/ATO.Letter_AWS.GC_NSF_04.10.14.pdf?api=v2" TargetMode="External"/><Relationship Id="rId191" Type="http://schemas.openxmlformats.org/officeDocument/2006/relationships/hyperlink" Target="https://community.max.gov/x/ApBJK" TargetMode="External"/><Relationship Id="rId187" Type="http://schemas.openxmlformats.org/officeDocument/2006/relationships/hyperlink" Target="https://community.max.gov/download/attachments/1113425425/ATO.Letter_AWS.GC_Treasury_03.10.14.pdf?api=v2" TargetMode="External"/><Relationship Id="rId186" Type="http://schemas.openxmlformats.org/officeDocument/2006/relationships/hyperlink" Target="https://community.max.gov/x/ApBJK" TargetMode="External"/><Relationship Id="rId185" Type="http://schemas.openxmlformats.org/officeDocument/2006/relationships/hyperlink" Target="https://marketplace.fedramp.gov/img/logos/Agency_logos/Seal_of_the_United_States_Department_of_Justice.png" TargetMode="External"/><Relationship Id="rId184" Type="http://schemas.openxmlformats.org/officeDocument/2006/relationships/hyperlink" Target="https://marketplace.fedramp.gov/img/logos/CSP_logos/Amazon%20Logo.jpg" TargetMode="External"/><Relationship Id="rId189" Type="http://schemas.openxmlformats.org/officeDocument/2006/relationships/hyperlink" Target="https://marketplace.fedramp.gov/img/logos/CSP_logos/Amazon%20Logo.jpg" TargetMode="External"/><Relationship Id="rId188" Type="http://schemas.openxmlformats.org/officeDocument/2006/relationships/hyperlink" Target="http://www.aws.amazon.com" TargetMode="External"/><Relationship Id="rId183" Type="http://schemas.openxmlformats.org/officeDocument/2006/relationships/hyperlink" Target="http://www.aws.amazon.com" TargetMode="External"/><Relationship Id="rId182" Type="http://schemas.openxmlformats.org/officeDocument/2006/relationships/hyperlink" Target="https://community.max.gov/download/attachments/1115488742/ATO.Letter_AWS.EW_DOJ_06.30.14.pdf?api=v2" TargetMode="External"/><Relationship Id="rId181" Type="http://schemas.openxmlformats.org/officeDocument/2006/relationships/hyperlink" Target="https://community.max.gov/x/DpBJK" TargetMode="External"/><Relationship Id="rId180" Type="http://schemas.openxmlformats.org/officeDocument/2006/relationships/hyperlink" Target="https://marketplace.fedramp.gov/img/logos/Agency_logos/United_States_Department_of_Defense_Seal.png" TargetMode="External"/><Relationship Id="rId176" Type="http://schemas.openxmlformats.org/officeDocument/2006/relationships/hyperlink" Target="https://community.max.gov/x/ApBJK" TargetMode="External"/><Relationship Id="rId175" Type="http://schemas.openxmlformats.org/officeDocument/2006/relationships/hyperlink" Target="https://marketplace.fedramp.gov/img/logos/Agency_logos/NSF.png" TargetMode="External"/><Relationship Id="rId174" Type="http://schemas.openxmlformats.org/officeDocument/2006/relationships/hyperlink" Target="https://marketplace.fedramp.gov/img/logos/CSP_logos/Amazon%20Logo.jpg" TargetMode="External"/><Relationship Id="rId173" Type="http://schemas.openxmlformats.org/officeDocument/2006/relationships/hyperlink" Target="http://www.aws.amazon.com" TargetMode="External"/><Relationship Id="rId179" Type="http://schemas.openxmlformats.org/officeDocument/2006/relationships/hyperlink" Target="https://marketplace.fedramp.gov/img/logos/CSP_logos/Amazon%20Logo.jpg" TargetMode="External"/><Relationship Id="rId178" Type="http://schemas.openxmlformats.org/officeDocument/2006/relationships/hyperlink" Target="http://www.aws.amazon.com" TargetMode="External"/><Relationship Id="rId177" Type="http://schemas.openxmlformats.org/officeDocument/2006/relationships/hyperlink" Target="https://community.max.gov/download/attachments/1113425425/ATO.Letter_AWS.GC_DOD_02.04.14.pdf?api=v2" TargetMode="External"/><Relationship Id="rId198" Type="http://schemas.openxmlformats.org/officeDocument/2006/relationships/hyperlink" Target="http://www.cgi.com" TargetMode="External"/><Relationship Id="rId197" Type="http://schemas.openxmlformats.org/officeDocument/2006/relationships/hyperlink" Target="https://community.max.gov/download/attachments/1256457959/ATO.Letter_CGI.FC_DHS_10.30.13.pdf?api=v2" TargetMode="External"/><Relationship Id="rId196" Type="http://schemas.openxmlformats.org/officeDocument/2006/relationships/hyperlink" Target="https://community.max.gov/x/VJM5JQ" TargetMode="External"/><Relationship Id="rId195" Type="http://schemas.openxmlformats.org/officeDocument/2006/relationships/hyperlink" Target="https://marketplace.fedramp.gov/img/logos/Agency_logos/NSF.png" TargetMode="External"/><Relationship Id="rId199" Type="http://schemas.openxmlformats.org/officeDocument/2006/relationships/hyperlink" Target="https://marketplace.fedramp.gov/img/logos/CSP_logos/CGI%20Federal.jpg" TargetMode="External"/><Relationship Id="rId150" Type="http://schemas.openxmlformats.org/officeDocument/2006/relationships/hyperlink" Target="https://marketplace.fedramp.gov/img/logos/Agency_logos/US-DeptOfHUD-Seal.png" TargetMode="External"/><Relationship Id="rId149" Type="http://schemas.openxmlformats.org/officeDocument/2006/relationships/hyperlink" Target="https://marketplace.fedramp.gov/img/logos/CSP_logos/AINS%20Logo.jpg" TargetMode="External"/><Relationship Id="rId148" Type="http://schemas.openxmlformats.org/officeDocument/2006/relationships/hyperlink" Target="http://www.ains.com" TargetMode="External"/><Relationship Id="rId3270" Type="http://schemas.openxmlformats.org/officeDocument/2006/relationships/hyperlink" Target="https://community.max.gov/x/eQs3Kw" TargetMode="External"/><Relationship Id="rId3272" Type="http://schemas.openxmlformats.org/officeDocument/2006/relationships/hyperlink" Target="http://www.salesforce.com/industries/public-sector" TargetMode="External"/><Relationship Id="rId3271" Type="http://schemas.openxmlformats.org/officeDocument/2006/relationships/hyperlink" Target="https://community.max.gov/download/attachments/992346725/ATO.Letter_Salesforce_EPA_12.12.17.pdf?api=v2" TargetMode="External"/><Relationship Id="rId143" Type="http://schemas.openxmlformats.org/officeDocument/2006/relationships/hyperlink" Target="http://www.servicenow.com" TargetMode="External"/><Relationship Id="rId3274" Type="http://schemas.openxmlformats.org/officeDocument/2006/relationships/hyperlink" Target="https://marketplace.fedramp.gov/img/logos/Agency_logos/Environmental_Protection_Agency_logo.png" TargetMode="External"/><Relationship Id="rId142" Type="http://schemas.openxmlformats.org/officeDocument/2006/relationships/hyperlink" Target="https://community.max.gov/download/attachments/1155203837/ATO.Letter_ServiceNow_DoE_ORNL_7.11.13.pdf?api=v2" TargetMode="External"/><Relationship Id="rId3273" Type="http://schemas.openxmlformats.org/officeDocument/2006/relationships/hyperlink" Target="https://marketplace.fedramp.gov/img/logos/CSP_logos/Salesforce%20Logo.jpg" TargetMode="External"/><Relationship Id="rId141" Type="http://schemas.openxmlformats.org/officeDocument/2006/relationships/hyperlink" Target="https://community.max.gov/x/QoWaP" TargetMode="External"/><Relationship Id="rId3276" Type="http://schemas.openxmlformats.org/officeDocument/2006/relationships/hyperlink" Target="https://community.max.gov/download/attachments/1356301811/ATO.Letter_SAPNS2_PSA_2.15.18.pdf?api=v2" TargetMode="External"/><Relationship Id="rId140" Type="http://schemas.openxmlformats.org/officeDocument/2006/relationships/hyperlink" Target="https://marketplace.fedramp.gov/img/logos/Agency_logos/NEH%20Logo.jpg" TargetMode="External"/><Relationship Id="rId3275" Type="http://schemas.openxmlformats.org/officeDocument/2006/relationships/hyperlink" Target="https://community.max.gov/x/XYIVPQ" TargetMode="External"/><Relationship Id="rId147" Type="http://schemas.openxmlformats.org/officeDocument/2006/relationships/hyperlink" Target="https://community.max.gov/download/attachments/779322049/ATO.Letter_AINS_HUD_02.19.14.pdf?api=v2" TargetMode="External"/><Relationship Id="rId3278" Type="http://schemas.openxmlformats.org/officeDocument/2006/relationships/hyperlink" Target="https://marketplace.fedramp.gov/img/logos/CSP_logos/SAP%20NS2%20Logo1.jpg" TargetMode="External"/><Relationship Id="rId146" Type="http://schemas.openxmlformats.org/officeDocument/2006/relationships/hyperlink" Target="https://community.max.gov/x/FgnEJg" TargetMode="External"/><Relationship Id="rId3277" Type="http://schemas.openxmlformats.org/officeDocument/2006/relationships/hyperlink" Target="https://www.sapns2.com/cloud/" TargetMode="External"/><Relationship Id="rId145" Type="http://schemas.openxmlformats.org/officeDocument/2006/relationships/hyperlink" Target="https://marketplace.fedramp.gov/img/logos/Agency_logos/US-DeptOfEnergy-Seal.png" TargetMode="External"/><Relationship Id="rId144" Type="http://schemas.openxmlformats.org/officeDocument/2006/relationships/hyperlink" Target="https://marketplace.fedramp.gov/img/logos/CSP_logos/ServiceNow%20Logo.jpg" TargetMode="External"/><Relationship Id="rId3279" Type="http://schemas.openxmlformats.org/officeDocument/2006/relationships/hyperlink" Target="https://marketplace.fedramp.gov/img/logos/Agency_logos/PSA%20Logo.jpg" TargetMode="External"/><Relationship Id="rId139" Type="http://schemas.openxmlformats.org/officeDocument/2006/relationships/hyperlink" Target="https://marketplace.fedramp.gov/img/logos/CSP_logos/Oracle%20Logo.jpg" TargetMode="External"/><Relationship Id="rId138" Type="http://schemas.openxmlformats.org/officeDocument/2006/relationships/hyperlink" Target="http://www.oracle.com/us/industries/public-sector/government-cloud/index.html" TargetMode="External"/><Relationship Id="rId137" Type="http://schemas.openxmlformats.org/officeDocument/2006/relationships/hyperlink" Target="https://community.max.gov/download/attachments/1155203762/ATO.Letter_OracleFMCS_NEH_11.09.09.pdf?api=v2" TargetMode="External"/><Relationship Id="rId3261" Type="http://schemas.openxmlformats.org/officeDocument/2006/relationships/hyperlink" Target="https://community.max.gov/download/attachments/1520275924/ATO.Letter_TalaTek_PBGC_6.30.17.pdf?api=v2" TargetMode="External"/><Relationship Id="rId3260" Type="http://schemas.openxmlformats.org/officeDocument/2006/relationships/hyperlink" Target="https://community.max.gov/x/UYwxT" TargetMode="External"/><Relationship Id="rId132" Type="http://schemas.openxmlformats.org/officeDocument/2006/relationships/hyperlink" Target="https://community.max.gov/x/xIGIOg" TargetMode="External"/><Relationship Id="rId3263" Type="http://schemas.openxmlformats.org/officeDocument/2006/relationships/hyperlink" Target="https://marketplace.fedramp.gov/img/logos/CSP_logos/TalaTek%20Logo.jpg" TargetMode="External"/><Relationship Id="rId131" Type="http://schemas.openxmlformats.org/officeDocument/2006/relationships/hyperlink" Target="https://marketplace.fedramp.gov/img/logos/Agency_logos/US-DeptOfHHS-Seal.png" TargetMode="External"/><Relationship Id="rId3262" Type="http://schemas.openxmlformats.org/officeDocument/2006/relationships/hyperlink" Target="http://www.talatek.com" TargetMode="External"/><Relationship Id="rId130" Type="http://schemas.openxmlformats.org/officeDocument/2006/relationships/hyperlink" Target="https://marketplace.fedramp.gov/img/logos/CSP_logos/Amazon%20Logo.jpg" TargetMode="External"/><Relationship Id="rId3265" Type="http://schemas.openxmlformats.org/officeDocument/2006/relationships/hyperlink" Target="https://community.max.gov/x/QoWaP" TargetMode="External"/><Relationship Id="rId3264" Type="http://schemas.openxmlformats.org/officeDocument/2006/relationships/hyperlink" Target="https://marketplace.fedramp.gov/img/logos/Agency_logos/PBGC%20logo.png" TargetMode="External"/><Relationship Id="rId136" Type="http://schemas.openxmlformats.org/officeDocument/2006/relationships/hyperlink" Target="https://community.max.gov/x/DgwdJg" TargetMode="External"/><Relationship Id="rId3267" Type="http://schemas.openxmlformats.org/officeDocument/2006/relationships/hyperlink" Target="http://www.servicenow.com" TargetMode="External"/><Relationship Id="rId135" Type="http://schemas.openxmlformats.org/officeDocument/2006/relationships/hyperlink" Target="https://marketplace.fedramp.gov/img/logos/Agency_logos/US-DeptOfCommerce-Seal.png" TargetMode="External"/><Relationship Id="rId3266" Type="http://schemas.openxmlformats.org/officeDocument/2006/relationships/hyperlink" Target="https://community.max.gov/download/attachments/1155203837/ATO.Letter_ServiceNow_DoI_BSEE_2.12.18.pdf?api=v2" TargetMode="External"/><Relationship Id="rId134" Type="http://schemas.openxmlformats.org/officeDocument/2006/relationships/hyperlink" Target="https://marketplace.fedramp.gov/img/logos/CSP_logos/Cisco%20Logo.jpg" TargetMode="External"/><Relationship Id="rId3269" Type="http://schemas.openxmlformats.org/officeDocument/2006/relationships/hyperlink" Target="https://marketplace.fedramp.gov/img/logos/Agency_logos/US-DeptOfTheInterior-Seal.png" TargetMode="External"/><Relationship Id="rId133" Type="http://schemas.openxmlformats.org/officeDocument/2006/relationships/hyperlink" Target="https://community.max.gov/download/attachments/982024658/ATO.Letter_CiscoWebEx_DOC_ESA_01.31.13.pdf?api=v2" TargetMode="External"/><Relationship Id="rId3268" Type="http://schemas.openxmlformats.org/officeDocument/2006/relationships/hyperlink" Target="https://marketplace.fedramp.gov/img/logos/CSP_logos/ServiceNow%20Logo.jpg" TargetMode="External"/><Relationship Id="rId172" Type="http://schemas.openxmlformats.org/officeDocument/2006/relationships/hyperlink" Target="https://community.max.gov/download/attachments/1115488742/ATO.Letter_AWS.EW_NSF_07.10.14.pdf?api=v2" TargetMode="External"/><Relationship Id="rId171" Type="http://schemas.openxmlformats.org/officeDocument/2006/relationships/hyperlink" Target="https://community.max.gov/x/DpBJK" TargetMode="External"/><Relationship Id="rId170" Type="http://schemas.openxmlformats.org/officeDocument/2006/relationships/hyperlink" Target="https://marketplace.fedramp.gov/img/logos/Agency_logos/Seal_of_the_United_States_Department_of_Justice.png" TargetMode="External"/><Relationship Id="rId3290" Type="http://schemas.openxmlformats.org/officeDocument/2006/relationships/hyperlink" Target="https://community.max.gov/x/bwBCMg" TargetMode="External"/><Relationship Id="rId3292" Type="http://schemas.openxmlformats.org/officeDocument/2006/relationships/hyperlink" Target="http://www.air-watch.com" TargetMode="External"/><Relationship Id="rId3291" Type="http://schemas.openxmlformats.org/officeDocument/2006/relationships/hyperlink" Target="https://community.max.gov/download/attachments/976290520/ATO.Letter_AirWatch_SSA_12.22.17.pdf?api=v2" TargetMode="External"/><Relationship Id="rId3294" Type="http://schemas.openxmlformats.org/officeDocument/2006/relationships/hyperlink" Target="https://marketplace.fedramp.gov/img/logos/Agency_logos/US-SocialSecurityAdmin-Seal.png" TargetMode="External"/><Relationship Id="rId3293" Type="http://schemas.openxmlformats.org/officeDocument/2006/relationships/hyperlink" Target="https://marketplace.fedramp.gov/img/logos/CSP_logos/Airwatch%20Logo.jpg" TargetMode="External"/><Relationship Id="rId165" Type="http://schemas.openxmlformats.org/officeDocument/2006/relationships/hyperlink" Target="https://marketplace.fedramp.gov/img/logos/Agency_logos/US-DeptOfHHS-Seal.png" TargetMode="External"/><Relationship Id="rId3296" Type="http://schemas.openxmlformats.org/officeDocument/2006/relationships/hyperlink" Target="https://community.max.gov/download/attachments/982024658/ATO.Letter_WebEx_DoE_LANL_2.27.18.pdf?api=v2" TargetMode="External"/><Relationship Id="rId164" Type="http://schemas.openxmlformats.org/officeDocument/2006/relationships/hyperlink" Target="https://marketplace.fedramp.gov/img/logos/CSP_logos/Amazon%20Logo.jpg" TargetMode="External"/><Relationship Id="rId3295" Type="http://schemas.openxmlformats.org/officeDocument/2006/relationships/hyperlink" Target="https://community.max.gov/x/xIGIOg" TargetMode="External"/><Relationship Id="rId163" Type="http://schemas.openxmlformats.org/officeDocument/2006/relationships/hyperlink" Target="http://www.aws.amazon.com" TargetMode="External"/><Relationship Id="rId3298" Type="http://schemas.openxmlformats.org/officeDocument/2006/relationships/hyperlink" Target="https://marketplace.fedramp.gov/img/logos/CSP_logos/Cisco%20Logo.jpg" TargetMode="External"/><Relationship Id="rId162" Type="http://schemas.openxmlformats.org/officeDocument/2006/relationships/hyperlink" Target="https://community.max.gov/download/attachments/1115488742/ATO.Letter_AWS.EW_HHS.HRSA_02.24.14.pdf?api=v2" TargetMode="External"/><Relationship Id="rId3297" Type="http://schemas.openxmlformats.org/officeDocument/2006/relationships/hyperlink" Target="http://www.cisco.com/go/fedramp" TargetMode="External"/><Relationship Id="rId169" Type="http://schemas.openxmlformats.org/officeDocument/2006/relationships/hyperlink" Target="https://marketplace.fedramp.gov/img/logos/CSP_logos/Amazon%20Logo.jpg" TargetMode="External"/><Relationship Id="rId168" Type="http://schemas.openxmlformats.org/officeDocument/2006/relationships/hyperlink" Target="http://www.aws.amazon.com" TargetMode="External"/><Relationship Id="rId3299" Type="http://schemas.openxmlformats.org/officeDocument/2006/relationships/hyperlink" Target="https://marketplace.fedramp.gov/img/logos/Agency_logos/US-DeptOfEnergy-Seal.png" TargetMode="External"/><Relationship Id="rId167" Type="http://schemas.openxmlformats.org/officeDocument/2006/relationships/hyperlink" Target="https://community.max.gov/download/attachments/1115488742/ATO.Letter_AWS.EW_DOJ_06.30.14.pdf?api=v2" TargetMode="External"/><Relationship Id="rId166" Type="http://schemas.openxmlformats.org/officeDocument/2006/relationships/hyperlink" Target="https://community.max.gov/x/DpBJK" TargetMode="External"/><Relationship Id="rId161" Type="http://schemas.openxmlformats.org/officeDocument/2006/relationships/hyperlink" Target="https://community.max.gov/x/DpBJK" TargetMode="External"/><Relationship Id="rId160" Type="http://schemas.openxmlformats.org/officeDocument/2006/relationships/hyperlink" Target="https://marketplace.fedramp.gov/img/logos/Agency_logos/GSAlogo.png" TargetMode="External"/><Relationship Id="rId159" Type="http://schemas.openxmlformats.org/officeDocument/2006/relationships/hyperlink" Target="https://marketplace.fedramp.gov/img/logos/CSP_logos/Akamai%20Logo.jpg" TargetMode="External"/><Relationship Id="rId3281" Type="http://schemas.openxmlformats.org/officeDocument/2006/relationships/hyperlink" Target="https://community.max.gov/download/attachments/1155203837/ATO.Letter_ServiceNow_FCC_12.20.17.pdf?api=v2" TargetMode="External"/><Relationship Id="rId3280" Type="http://schemas.openxmlformats.org/officeDocument/2006/relationships/hyperlink" Target="https://community.max.gov/x/QoWaP" TargetMode="External"/><Relationship Id="rId3283" Type="http://schemas.openxmlformats.org/officeDocument/2006/relationships/hyperlink" Target="https://marketplace.fedramp.gov/img/logos/CSP_logos/ServiceNow%20Logo.jpg" TargetMode="External"/><Relationship Id="rId3282" Type="http://schemas.openxmlformats.org/officeDocument/2006/relationships/hyperlink" Target="http://www.servicenow.com" TargetMode="External"/><Relationship Id="rId154" Type="http://schemas.openxmlformats.org/officeDocument/2006/relationships/hyperlink" Target="https://marketplace.fedramp.gov/img/logos/CSP_logos/Akamai%20Logo.jpg" TargetMode="External"/><Relationship Id="rId3285" Type="http://schemas.openxmlformats.org/officeDocument/2006/relationships/hyperlink" Target="https://community.max.gov/x/QoWaP" TargetMode="External"/><Relationship Id="rId153" Type="http://schemas.openxmlformats.org/officeDocument/2006/relationships/hyperlink" Target="http://www.akamai.com" TargetMode="External"/><Relationship Id="rId3284" Type="http://schemas.openxmlformats.org/officeDocument/2006/relationships/hyperlink" Target="https://marketplace.fedramp.gov/img/logos/Agency_logos/US-FCC-Seal.png" TargetMode="External"/><Relationship Id="rId152" Type="http://schemas.openxmlformats.org/officeDocument/2006/relationships/hyperlink" Target="https://community.max.gov/download/attachments/1256457901/ATO.Letter_Akamai_Treasury_03.06.14.pdf?api=v2" TargetMode="External"/><Relationship Id="rId3287" Type="http://schemas.openxmlformats.org/officeDocument/2006/relationships/hyperlink" Target="http://www.servicenow.com" TargetMode="External"/><Relationship Id="rId151" Type="http://schemas.openxmlformats.org/officeDocument/2006/relationships/hyperlink" Target="https://community.max.gov/x/wgmOJQ" TargetMode="External"/><Relationship Id="rId3286" Type="http://schemas.openxmlformats.org/officeDocument/2006/relationships/hyperlink" Target="https://community.max.gov/download/attachments/1155203837/ATO.Letter_ServiceNow_DoJ_USMS_1.25.18.pdf?api=v2" TargetMode="External"/><Relationship Id="rId158" Type="http://schemas.openxmlformats.org/officeDocument/2006/relationships/hyperlink" Target="http://www.akamai.com" TargetMode="External"/><Relationship Id="rId3289" Type="http://schemas.openxmlformats.org/officeDocument/2006/relationships/hyperlink" Target="https://marketplace.fedramp.gov/img/logos/Agency_logos/Seal_of_the_United_States_Department_of_Justice.png" TargetMode="External"/><Relationship Id="rId157" Type="http://schemas.openxmlformats.org/officeDocument/2006/relationships/hyperlink" Target="https://community.max.gov/download/attachments/1256457901/ATO.Letter_Akamai_GSA_02.27.14.pdf?api=v2" TargetMode="External"/><Relationship Id="rId3288" Type="http://schemas.openxmlformats.org/officeDocument/2006/relationships/hyperlink" Target="https://marketplace.fedramp.gov/img/logos/CSP_logos/ServiceNow%20Logo.jpg" TargetMode="External"/><Relationship Id="rId156" Type="http://schemas.openxmlformats.org/officeDocument/2006/relationships/hyperlink" Target="https://community.max.gov/x/wgmOJQ" TargetMode="External"/><Relationship Id="rId155" Type="http://schemas.openxmlformats.org/officeDocument/2006/relationships/hyperlink" Target="https://marketplace.fedramp.gov/img/logos/Agency_logos/US-DeptOfTheTreasury-Seal.png" TargetMode="External"/><Relationship Id="rId2820" Type="http://schemas.openxmlformats.org/officeDocument/2006/relationships/hyperlink" Target="https://community.max.gov/download/attachments/777093308/ATO.Letter_MicroPact_DoC_USPTO_05.31.17.pdf?api=v2" TargetMode="External"/><Relationship Id="rId2821" Type="http://schemas.openxmlformats.org/officeDocument/2006/relationships/hyperlink" Target="http://www.micropact.com" TargetMode="External"/><Relationship Id="rId2822" Type="http://schemas.openxmlformats.org/officeDocument/2006/relationships/hyperlink" Target="https://marketplace.fedramp.gov/img/logos/CSP_logos/MicroPact%20Logo.jpg" TargetMode="External"/><Relationship Id="rId2823" Type="http://schemas.openxmlformats.org/officeDocument/2006/relationships/hyperlink" Target="https://marketplace.fedramp.gov/img/logos/Agency_logos/US-DeptOfCommerce-Seal.png" TargetMode="External"/><Relationship Id="rId2824" Type="http://schemas.openxmlformats.org/officeDocument/2006/relationships/hyperlink" Target="https://community.max.gov/x/DpBJK" TargetMode="External"/><Relationship Id="rId2825" Type="http://schemas.openxmlformats.org/officeDocument/2006/relationships/hyperlink" Target="https://community.max.gov/download/attachments/1115488742/ATO.Letter_AWSEW_SSA_07.06.17.pdf?api=v2" TargetMode="External"/><Relationship Id="rId2826" Type="http://schemas.openxmlformats.org/officeDocument/2006/relationships/hyperlink" Target="http://www.aws.amazon.com" TargetMode="External"/><Relationship Id="rId2827" Type="http://schemas.openxmlformats.org/officeDocument/2006/relationships/hyperlink" Target="https://marketplace.fedramp.gov/img/logos/CSP_logos/Amazon%20Logo.jpg" TargetMode="External"/><Relationship Id="rId2828" Type="http://schemas.openxmlformats.org/officeDocument/2006/relationships/hyperlink" Target="https://marketplace.fedramp.gov/img/logos/Agency_logos/US-SocialSecurityAdmin-Seal.png" TargetMode="External"/><Relationship Id="rId2829" Type="http://schemas.openxmlformats.org/officeDocument/2006/relationships/hyperlink" Target="https://community.max.gov/x/QoWaP" TargetMode="External"/><Relationship Id="rId2810" Type="http://schemas.openxmlformats.org/officeDocument/2006/relationships/hyperlink" Target="https://community.max.gov/download/attachments/780173411/ATO.Letter_MSO365_DoC_USPTO_08.02.17.pdf?api=v2" TargetMode="External"/><Relationship Id="rId2811" Type="http://schemas.openxmlformats.org/officeDocument/2006/relationships/hyperlink" Target="http://www.microsoft.office.com" TargetMode="External"/><Relationship Id="rId2812" Type="http://schemas.openxmlformats.org/officeDocument/2006/relationships/hyperlink" Target="https://marketplace.fedramp.gov/img/logos/CSP_logos/Microsoft%20Logo.jpg" TargetMode="External"/><Relationship Id="rId2813" Type="http://schemas.openxmlformats.org/officeDocument/2006/relationships/hyperlink" Target="https://marketplace.fedramp.gov/img/logos/Agency_logos/US-DeptOfCommerce-Seal.png" TargetMode="External"/><Relationship Id="rId2814" Type="http://schemas.openxmlformats.org/officeDocument/2006/relationships/hyperlink" Target="https://community.max.gov/x/GgwdJg" TargetMode="External"/><Relationship Id="rId2815" Type="http://schemas.openxmlformats.org/officeDocument/2006/relationships/hyperlink" Target="https://community.max.gov/download/attachments/777093308/ATO.Letter_MicroPact_DoC_USPTO_07.31.17.pdf?api=v2" TargetMode="External"/><Relationship Id="rId2816" Type="http://schemas.openxmlformats.org/officeDocument/2006/relationships/hyperlink" Target="http://www.micropact.com" TargetMode="External"/><Relationship Id="rId2817" Type="http://schemas.openxmlformats.org/officeDocument/2006/relationships/hyperlink" Target="https://marketplace.fedramp.gov/img/logos/CSP_logos/MicroPact%20Logo.jpg" TargetMode="External"/><Relationship Id="rId2818" Type="http://schemas.openxmlformats.org/officeDocument/2006/relationships/hyperlink" Target="https://marketplace.fedramp.gov/img/logos/Agency_logos/US-DeptOfCommerce-Seal.png" TargetMode="External"/><Relationship Id="rId2819" Type="http://schemas.openxmlformats.org/officeDocument/2006/relationships/hyperlink" Target="https://community.max.gov/x/GgwdJg" TargetMode="External"/><Relationship Id="rId1510" Type="http://schemas.openxmlformats.org/officeDocument/2006/relationships/hyperlink" Target="https://community.max.gov/download/attachments/1155203596/ATO.Letter_IBMMaaS360_GSA_08.30.16.pdf?api=v2" TargetMode="External"/><Relationship Id="rId2841" Type="http://schemas.openxmlformats.org/officeDocument/2006/relationships/hyperlink" Target="http://azure.microsoft.com/en-us/" TargetMode="External"/><Relationship Id="rId1511" Type="http://schemas.openxmlformats.org/officeDocument/2006/relationships/hyperlink" Target="http://www.maas360.com" TargetMode="External"/><Relationship Id="rId2842" Type="http://schemas.openxmlformats.org/officeDocument/2006/relationships/hyperlink" Target="https://marketplace.fedramp.gov/img/logos/CSP_logos/Microsoft%20Logo.jpg" TargetMode="External"/><Relationship Id="rId1512" Type="http://schemas.openxmlformats.org/officeDocument/2006/relationships/hyperlink" Target="https://marketplace.fedramp.gov/img/logos/CSP_logos/MaaS360%20Logo.jpg" TargetMode="External"/><Relationship Id="rId2843" Type="http://schemas.openxmlformats.org/officeDocument/2006/relationships/hyperlink" Target="https://marketplace.fedramp.gov/img/logos/Agency_logos/US-DeptOfEducation-Seal.png" TargetMode="External"/><Relationship Id="rId1513" Type="http://schemas.openxmlformats.org/officeDocument/2006/relationships/hyperlink" Target="https://marketplace.fedramp.gov/img/logos/Agency_logos/GSAlogo.png" TargetMode="External"/><Relationship Id="rId2844" Type="http://schemas.openxmlformats.org/officeDocument/2006/relationships/hyperlink" Target="https://community.max.gov/x/EYGKLQ" TargetMode="External"/><Relationship Id="rId1514" Type="http://schemas.openxmlformats.org/officeDocument/2006/relationships/hyperlink" Target="https://community.max.gov/x/GgwdJg" TargetMode="External"/><Relationship Id="rId2845" Type="http://schemas.openxmlformats.org/officeDocument/2006/relationships/hyperlink" Target="https://community.max.gov/download/attachments/952697705/PH%20eSignLive%20accreditation%20decision.pdf?api=v2" TargetMode="External"/><Relationship Id="rId1515" Type="http://schemas.openxmlformats.org/officeDocument/2006/relationships/hyperlink" Target="https://community.max.gov/download/attachments/992346701/ATO.Letter_MicroPact_GSA_08.30.16.pdf?api=v2" TargetMode="External"/><Relationship Id="rId2846" Type="http://schemas.openxmlformats.org/officeDocument/2006/relationships/hyperlink" Target="http://www.projecthosts.com" TargetMode="External"/><Relationship Id="rId1516" Type="http://schemas.openxmlformats.org/officeDocument/2006/relationships/hyperlink" Target="http://www.micropact.com" TargetMode="External"/><Relationship Id="rId2847" Type="http://schemas.openxmlformats.org/officeDocument/2006/relationships/hyperlink" Target="https://marketplace.fedramp.gov/img/logos/CSP_logos/eSignLiveVasco%20Logo.jpg" TargetMode="External"/><Relationship Id="rId1517" Type="http://schemas.openxmlformats.org/officeDocument/2006/relationships/hyperlink" Target="https://marketplace.fedramp.gov/img/logos/CSP_logos/MicroPact%20Logo.jpg" TargetMode="External"/><Relationship Id="rId2848" Type="http://schemas.openxmlformats.org/officeDocument/2006/relationships/hyperlink" Target="https://marketplace.fedramp.gov/img/logos/Agency_logos/US-DeptOfAgriculture-Seal2.png" TargetMode="External"/><Relationship Id="rId1518" Type="http://schemas.openxmlformats.org/officeDocument/2006/relationships/hyperlink" Target="https://marketplace.fedramp.gov/img/logos/Agency_logos/GSAlogo.png" TargetMode="External"/><Relationship Id="rId2849" Type="http://schemas.openxmlformats.org/officeDocument/2006/relationships/hyperlink" Target="https://community.max.gov/x/34ngVQ" TargetMode="External"/><Relationship Id="rId1519" Type="http://schemas.openxmlformats.org/officeDocument/2006/relationships/hyperlink" Target="https://community.max.gov/x/EYGKLQ" TargetMode="External"/><Relationship Id="rId2840" Type="http://schemas.openxmlformats.org/officeDocument/2006/relationships/hyperlink" Target="https://community.max.gov/download/attachments/1155204218/ATO.Letter_MSAzure_DoED_08.03.17.pdf?api=v2" TargetMode="External"/><Relationship Id="rId2830" Type="http://schemas.openxmlformats.org/officeDocument/2006/relationships/hyperlink" Target="https://community.max.gov/download/attachments/1155203837/ATO.Letter_ServiceNow_HHS_ACF_11.24.16.pdf?api=v2" TargetMode="External"/><Relationship Id="rId1500" Type="http://schemas.openxmlformats.org/officeDocument/2006/relationships/hyperlink" Target="https://community.max.gov/download/attachments/1097467326/ATO.Letter_AWSGC_GSA_08.30.16.pdf?api=v2" TargetMode="External"/><Relationship Id="rId2831" Type="http://schemas.openxmlformats.org/officeDocument/2006/relationships/hyperlink" Target="http://www.servicenow.com" TargetMode="External"/><Relationship Id="rId1501" Type="http://schemas.openxmlformats.org/officeDocument/2006/relationships/hyperlink" Target="http://www.aws.amazon.com" TargetMode="External"/><Relationship Id="rId2832" Type="http://schemas.openxmlformats.org/officeDocument/2006/relationships/hyperlink" Target="https://marketplace.fedramp.gov/img/logos/CSP_logos/ServiceNow%20Logo.jpg" TargetMode="External"/><Relationship Id="rId1502" Type="http://schemas.openxmlformats.org/officeDocument/2006/relationships/hyperlink" Target="https://marketplace.fedramp.gov/img/logos/CSP_logos/Amazon%20Logo.jpg" TargetMode="External"/><Relationship Id="rId2833" Type="http://schemas.openxmlformats.org/officeDocument/2006/relationships/hyperlink" Target="https://marketplace.fedramp.gov/img/logos/Agency_logos/US-DeptOfHHS-Seal.png" TargetMode="External"/><Relationship Id="rId1503" Type="http://schemas.openxmlformats.org/officeDocument/2006/relationships/hyperlink" Target="https://marketplace.fedramp.gov/img/logos/Agency_logos/GSAlogo.png" TargetMode="External"/><Relationship Id="rId2834" Type="http://schemas.openxmlformats.org/officeDocument/2006/relationships/hyperlink" Target="https://community.max.gov/x/WIHpNg" TargetMode="External"/><Relationship Id="rId1504" Type="http://schemas.openxmlformats.org/officeDocument/2006/relationships/hyperlink" Target="https://community.max.gov/x/FgQpLg" TargetMode="External"/><Relationship Id="rId2835" Type="http://schemas.openxmlformats.org/officeDocument/2006/relationships/hyperlink" Target="https://community.max.gov/download/attachments/921272705/ATO.Letter_AEMMSGC_DoED_12.15.16.pdf?api=v2" TargetMode="External"/><Relationship Id="rId1505" Type="http://schemas.openxmlformats.org/officeDocument/2006/relationships/hyperlink" Target="https://community.max.gov/download/attachments/1155203545/ATO.Letter_GovDelivery_GSA_08.30.16.pdf?api=v2" TargetMode="External"/><Relationship Id="rId2836" Type="http://schemas.openxmlformats.org/officeDocument/2006/relationships/hyperlink" Target="http://www.adobe.com" TargetMode="External"/><Relationship Id="rId1506" Type="http://schemas.openxmlformats.org/officeDocument/2006/relationships/hyperlink" Target="http://www.granicus.com" TargetMode="External"/><Relationship Id="rId2837" Type="http://schemas.openxmlformats.org/officeDocument/2006/relationships/hyperlink" Target="https://marketplace.fedramp.gov/img/logos/CSP_logos/Adobe%20Logo.jpg" TargetMode="External"/><Relationship Id="rId1507" Type="http://schemas.openxmlformats.org/officeDocument/2006/relationships/hyperlink" Target="https://marketplace.fedramp.gov/img/logos/CSP_logos/Granicus%20Logo.jpg" TargetMode="External"/><Relationship Id="rId2838" Type="http://schemas.openxmlformats.org/officeDocument/2006/relationships/hyperlink" Target="https://marketplace.fedramp.gov/img/logos/Agency_logos/US-DeptOfEducation-Seal.png" TargetMode="External"/><Relationship Id="rId1508" Type="http://schemas.openxmlformats.org/officeDocument/2006/relationships/hyperlink" Target="https://marketplace.fedramp.gov/img/logos/Agency_logos/GSAlogo.png" TargetMode="External"/><Relationship Id="rId2839" Type="http://schemas.openxmlformats.org/officeDocument/2006/relationships/hyperlink" Target="https://community.max.gov/display/FedRAMPExternal/MS+Azure+ATO+Letters" TargetMode="External"/><Relationship Id="rId1509" Type="http://schemas.openxmlformats.org/officeDocument/2006/relationships/hyperlink" Target="https://community.max.gov/x/GBU6Jg" TargetMode="External"/><Relationship Id="rId2800" Type="http://schemas.openxmlformats.org/officeDocument/2006/relationships/hyperlink" Target="https://community.max.gov/download/attachments/1531087274/ATO.Letter_Google_DoC_USPTO_11.27.16.pdf?api=v2" TargetMode="External"/><Relationship Id="rId2801" Type="http://schemas.openxmlformats.org/officeDocument/2006/relationships/hyperlink" Target="https://gsuite.google.com/" TargetMode="External"/><Relationship Id="rId2802" Type="http://schemas.openxmlformats.org/officeDocument/2006/relationships/hyperlink" Target="https://marketplace.fedramp.gov/img/logos/CSP_logos/Google%20Logo.jpg" TargetMode="External"/><Relationship Id="rId2803" Type="http://schemas.openxmlformats.org/officeDocument/2006/relationships/hyperlink" Target="https://marketplace.fedramp.gov/img/logos/Agency_logos/US-DeptOfCommerce-Seal.png" TargetMode="External"/><Relationship Id="rId2804" Type="http://schemas.openxmlformats.org/officeDocument/2006/relationships/hyperlink" Target="https://community.max.gov/display/FedRAMPExternal/MS+Azure+ATO+Letters" TargetMode="External"/><Relationship Id="rId2805" Type="http://schemas.openxmlformats.org/officeDocument/2006/relationships/hyperlink" Target="https://community.max.gov/download/attachments/1256458242/ATO.Letter_MSAzure_DoC_USPTO_08.02.17.pdf?api=v2" TargetMode="External"/><Relationship Id="rId2806" Type="http://schemas.openxmlformats.org/officeDocument/2006/relationships/hyperlink" Target="http://azure.microsoft.com/en-us/" TargetMode="External"/><Relationship Id="rId2807" Type="http://schemas.openxmlformats.org/officeDocument/2006/relationships/hyperlink" Target="https://marketplace.fedramp.gov/img/logos/CSP_logos/Microsoft%20Logo.jpg" TargetMode="External"/><Relationship Id="rId2808" Type="http://schemas.openxmlformats.org/officeDocument/2006/relationships/hyperlink" Target="https://marketplace.fedramp.gov/img/logos/Agency_logos/US-DeptOfCommerce-Seal.png" TargetMode="External"/><Relationship Id="rId2809" Type="http://schemas.openxmlformats.org/officeDocument/2006/relationships/hyperlink" Target="https://community.max.gov/x/3JC6L" TargetMode="External"/><Relationship Id="rId1576" Type="http://schemas.openxmlformats.org/officeDocument/2006/relationships/hyperlink" Target="http://www.aws.amazon.com" TargetMode="External"/><Relationship Id="rId1577" Type="http://schemas.openxmlformats.org/officeDocument/2006/relationships/hyperlink" Target="https://marketplace.fedramp.gov/img/logos/CSP_logos/Amazon%20Logo.jpg" TargetMode="External"/><Relationship Id="rId1578" Type="http://schemas.openxmlformats.org/officeDocument/2006/relationships/hyperlink" Target="https://marketplace.fedramp.gov/img/logos/Agency_logos/US-DeptOfCommerce-Seal.png" TargetMode="External"/><Relationship Id="rId1579" Type="http://schemas.openxmlformats.org/officeDocument/2006/relationships/hyperlink" Target="https://community.max.gov/x/34ngVQ" TargetMode="External"/><Relationship Id="rId987" Type="http://schemas.openxmlformats.org/officeDocument/2006/relationships/hyperlink" Target="http://blackberry.athoc.com" TargetMode="External"/><Relationship Id="rId986" Type="http://schemas.openxmlformats.org/officeDocument/2006/relationships/hyperlink" Target="https://community.max.gov/download/attachments/1395853104/ATO.Letter_Blackberry_DoT_06.01.15.pdf?api=v2" TargetMode="External"/><Relationship Id="rId985" Type="http://schemas.openxmlformats.org/officeDocument/2006/relationships/hyperlink" Target="https://community.max.gov/x/CgIoNQ" TargetMode="External"/><Relationship Id="rId984" Type="http://schemas.openxmlformats.org/officeDocument/2006/relationships/hyperlink" Target="https://marketplace.fedramp.gov/img/logos/Agency_logos/SEC%20Logo.jpg" TargetMode="External"/><Relationship Id="rId989" Type="http://schemas.openxmlformats.org/officeDocument/2006/relationships/hyperlink" Target="https://marketplace.fedramp.gov/img/logos/Agency_logos/US-DeptOfTheTreasury-Seal.png" TargetMode="External"/><Relationship Id="rId988" Type="http://schemas.openxmlformats.org/officeDocument/2006/relationships/hyperlink" Target="https://marketplace.fedramp.gov/img/logos/CSP_logos/BlackBerry%20Logo.jpg" TargetMode="External"/><Relationship Id="rId1570" Type="http://schemas.openxmlformats.org/officeDocument/2006/relationships/hyperlink" Target="https://community.max.gov/download/attachments/1113425425/ATO.Letter_AWSGC_DOC_NOAA_03.17.16.pdf?api=v2" TargetMode="External"/><Relationship Id="rId1571" Type="http://schemas.openxmlformats.org/officeDocument/2006/relationships/hyperlink" Target="http://www.aws.amazon.com" TargetMode="External"/><Relationship Id="rId983" Type="http://schemas.openxmlformats.org/officeDocument/2006/relationships/hyperlink" Target="https://marketplace.fedramp.gov/img/logos/CSP_logos/Salesforce%20Logo.jpg" TargetMode="External"/><Relationship Id="rId1572" Type="http://schemas.openxmlformats.org/officeDocument/2006/relationships/hyperlink" Target="https://marketplace.fedramp.gov/img/logos/CSP_logos/Amazon%20Logo.jpg" TargetMode="External"/><Relationship Id="rId982" Type="http://schemas.openxmlformats.org/officeDocument/2006/relationships/hyperlink" Target="http://www.salesforce.com/industries/public-sector" TargetMode="External"/><Relationship Id="rId1573" Type="http://schemas.openxmlformats.org/officeDocument/2006/relationships/hyperlink" Target="https://marketplace.fedramp.gov/img/logos/Agency_logos/US-DeptOfCommerce-Seal.png" TargetMode="External"/><Relationship Id="rId981" Type="http://schemas.openxmlformats.org/officeDocument/2006/relationships/hyperlink" Target="https://community.max.gov/download/attachments/992346725/ATO.Letter_Salesforce_SEC_08.10.15.pdf?api=v2" TargetMode="External"/><Relationship Id="rId1574" Type="http://schemas.openxmlformats.org/officeDocument/2006/relationships/hyperlink" Target="https://community.max.gov/x/DpBJK" TargetMode="External"/><Relationship Id="rId980" Type="http://schemas.openxmlformats.org/officeDocument/2006/relationships/hyperlink" Target="https://community.max.gov/x/eQs3Kw" TargetMode="External"/><Relationship Id="rId1575" Type="http://schemas.openxmlformats.org/officeDocument/2006/relationships/hyperlink" Target="https://community.max.gov/download/attachments/1115488742/ATO.Letter_AWSEW_DOC_NOAA_03.17.16.pdf?api=v2" TargetMode="External"/><Relationship Id="rId1565" Type="http://schemas.openxmlformats.org/officeDocument/2006/relationships/hyperlink" Target="https://community.max.gov/download/attachments/1155203796/ATO.Letter_OracleSC_NASA_09.09.16.pdf?api=v2" TargetMode="External"/><Relationship Id="rId2896" Type="http://schemas.openxmlformats.org/officeDocument/2006/relationships/hyperlink" Target="http://www.projecthosts.com" TargetMode="External"/><Relationship Id="rId1566" Type="http://schemas.openxmlformats.org/officeDocument/2006/relationships/hyperlink" Target="http://cloud.oracle.com/public-sector-cloud" TargetMode="External"/><Relationship Id="rId2897" Type="http://schemas.openxmlformats.org/officeDocument/2006/relationships/hyperlink" Target="https://marketplace.fedramp.gov/img/logos/CSP_logos/eSignLiveVasco%20Logo.jpg" TargetMode="External"/><Relationship Id="rId1567" Type="http://schemas.openxmlformats.org/officeDocument/2006/relationships/hyperlink" Target="https://marketplace.fedramp.gov/img/logos/CSP_logos/Oracle%20Logo.jpg" TargetMode="External"/><Relationship Id="rId2898" Type="http://schemas.openxmlformats.org/officeDocument/2006/relationships/hyperlink" Target="https://marketplace.fedramp.gov/img/logos/Agency_logos/US-DeptOfCommerce-Seal.png" TargetMode="External"/><Relationship Id="rId1568" Type="http://schemas.openxmlformats.org/officeDocument/2006/relationships/hyperlink" Target="https://marketplace.fedramp.gov/img/logos/Agency_logos/NASA_logo.png" TargetMode="External"/><Relationship Id="rId2899" Type="http://schemas.openxmlformats.org/officeDocument/2006/relationships/hyperlink" Target="https://community.max.gov/x/QoWaP" TargetMode="External"/><Relationship Id="rId1569" Type="http://schemas.openxmlformats.org/officeDocument/2006/relationships/hyperlink" Target="https://community.max.gov/x/DpBJK" TargetMode="External"/><Relationship Id="rId976" Type="http://schemas.openxmlformats.org/officeDocument/2006/relationships/hyperlink" Target="https://community.max.gov/download/attachments/1395853104/ATO.Letter_Blackberry_DoE_12.11.14.pdf?api=v2" TargetMode="External"/><Relationship Id="rId975" Type="http://schemas.openxmlformats.org/officeDocument/2006/relationships/hyperlink" Target="https://community.max.gov/x/CgIoNQ" TargetMode="External"/><Relationship Id="rId974" Type="http://schemas.openxmlformats.org/officeDocument/2006/relationships/hyperlink" Target="https://marketplace.fedramp.gov/img/logos/Agency_logos/US-DeptOfEnergy-Seal.png" TargetMode="External"/><Relationship Id="rId973" Type="http://schemas.openxmlformats.org/officeDocument/2006/relationships/hyperlink" Target="https://marketplace.fedramp.gov/img/logos/CSP_logos/BlackBerry%20Logo.jpg" TargetMode="External"/><Relationship Id="rId979" Type="http://schemas.openxmlformats.org/officeDocument/2006/relationships/hyperlink" Target="https://marketplace.fedramp.gov/img/logos/Agency_logos/US-DeptOfEnergy-Seal.png" TargetMode="External"/><Relationship Id="rId978" Type="http://schemas.openxmlformats.org/officeDocument/2006/relationships/hyperlink" Target="https://marketplace.fedramp.gov/img/logos/CSP_logos/BlackBerry%20Logo.jpg" TargetMode="External"/><Relationship Id="rId977" Type="http://schemas.openxmlformats.org/officeDocument/2006/relationships/hyperlink" Target="http://blackberry.athoc.com" TargetMode="External"/><Relationship Id="rId2890" Type="http://schemas.openxmlformats.org/officeDocument/2006/relationships/hyperlink" Target="https://community.max.gov/download/attachments/992346693/ATO.Letter_DoT_FAA_Huddle_9.29.17.pdf?api=v2" TargetMode="External"/><Relationship Id="rId1560" Type="http://schemas.openxmlformats.org/officeDocument/2006/relationships/hyperlink" Target="https://community.max.gov/download/attachments/1130635691/ATO.Letter_Salesforce_DOJ_USMS_09.06.16.pdf?api=v2" TargetMode="External"/><Relationship Id="rId2891" Type="http://schemas.openxmlformats.org/officeDocument/2006/relationships/hyperlink" Target="http://www.huddle.com" TargetMode="External"/><Relationship Id="rId972" Type="http://schemas.openxmlformats.org/officeDocument/2006/relationships/hyperlink" Target="http://blackberry.athoc.com" TargetMode="External"/><Relationship Id="rId1561" Type="http://schemas.openxmlformats.org/officeDocument/2006/relationships/hyperlink" Target="http://www.salesforce.com/industries/public-sector" TargetMode="External"/><Relationship Id="rId2892" Type="http://schemas.openxmlformats.org/officeDocument/2006/relationships/hyperlink" Target="https://marketplace.fedramp.gov/img/logos/CSP_logos/Huddle%20Logo.jpg" TargetMode="External"/><Relationship Id="rId971" Type="http://schemas.openxmlformats.org/officeDocument/2006/relationships/hyperlink" Target="https://community.max.gov/download/attachments/1395853104/ATO.Letter_Blackberry_DoE_02.02.15.pdf?api=v2" TargetMode="External"/><Relationship Id="rId1562" Type="http://schemas.openxmlformats.org/officeDocument/2006/relationships/hyperlink" Target="https://marketplace.fedramp.gov/img/logos/CSP_logos/Salesforce%20Logo.jpg" TargetMode="External"/><Relationship Id="rId2893" Type="http://schemas.openxmlformats.org/officeDocument/2006/relationships/hyperlink" Target="https://marketplace.fedramp.gov/img/logos/Agency_logos/768px-US-DeptOfTransportation-Seal.svg.png" TargetMode="External"/><Relationship Id="rId970" Type="http://schemas.openxmlformats.org/officeDocument/2006/relationships/hyperlink" Target="https://community.max.gov/x/CgIoNQ" TargetMode="External"/><Relationship Id="rId1563" Type="http://schemas.openxmlformats.org/officeDocument/2006/relationships/hyperlink" Target="https://marketplace.fedramp.gov/img/logos/Agency_logos/Seal_of_the_United_States_Department_of_Justice.png" TargetMode="External"/><Relationship Id="rId2894" Type="http://schemas.openxmlformats.org/officeDocument/2006/relationships/hyperlink" Target="https://community.max.gov/x/EYGKLQ" TargetMode="External"/><Relationship Id="rId1564" Type="http://schemas.openxmlformats.org/officeDocument/2006/relationships/hyperlink" Target="https://community.max.gov/x/WQOaLQ" TargetMode="External"/><Relationship Id="rId2895" Type="http://schemas.openxmlformats.org/officeDocument/2006/relationships/hyperlink" Target="https://community.max.gov/download/attachments/952697705/CEN26%20ADSD%20eSignLive.pdf?api=v2" TargetMode="External"/><Relationship Id="rId1598" Type="http://schemas.openxmlformats.org/officeDocument/2006/relationships/hyperlink" Target="https://marketplace.fedramp.gov/img/logos/CSP_logos/Oracle%20Logo.jpg" TargetMode="External"/><Relationship Id="rId1599" Type="http://schemas.openxmlformats.org/officeDocument/2006/relationships/hyperlink" Target="https://marketplace.fedramp.gov/img/logos/Agency_logos/US-DeptOfHHS-Seal.png" TargetMode="External"/><Relationship Id="rId1590" Type="http://schemas.openxmlformats.org/officeDocument/2006/relationships/hyperlink" Target="https://community.max.gov/download/attachments/1256458242/ATO.Letter_MSAzure_DOC_NOAA_03.17.16.pdf?api=v2" TargetMode="External"/><Relationship Id="rId1591" Type="http://schemas.openxmlformats.org/officeDocument/2006/relationships/hyperlink" Target="mailto:adamsoh@microsoft.com" TargetMode="External"/><Relationship Id="rId1592" Type="http://schemas.openxmlformats.org/officeDocument/2006/relationships/hyperlink" Target="http://azure.microsoft.com/en-us/" TargetMode="External"/><Relationship Id="rId1593" Type="http://schemas.openxmlformats.org/officeDocument/2006/relationships/hyperlink" Target="https://marketplace.fedramp.gov/img/logos/CSP_logos/Microsoft%20Logo.jpg" TargetMode="External"/><Relationship Id="rId1594" Type="http://schemas.openxmlformats.org/officeDocument/2006/relationships/hyperlink" Target="https://marketplace.fedramp.gov/img/logos/Agency_logos/US-DeptOfCommerce-Seal.png" TargetMode="External"/><Relationship Id="rId1595" Type="http://schemas.openxmlformats.org/officeDocument/2006/relationships/hyperlink" Target="https://community.max.gov/x/DgwdJg" TargetMode="External"/><Relationship Id="rId1596" Type="http://schemas.openxmlformats.org/officeDocument/2006/relationships/hyperlink" Target="https://community.max.gov/download/attachments/1155203762/ATO.Letter_OracleFMCS_HHS_12.16.15.pdf?api=v2" TargetMode="External"/><Relationship Id="rId1597" Type="http://schemas.openxmlformats.org/officeDocument/2006/relationships/hyperlink" Target="http://www.oracle.com/us/industries/public-sector/government-cloud/index.html" TargetMode="External"/><Relationship Id="rId1587" Type="http://schemas.openxmlformats.org/officeDocument/2006/relationships/hyperlink" Target="https://marketplace.fedramp.gov/img/logos/CSP_logos/MaaS360%20Logo.jpg" TargetMode="External"/><Relationship Id="rId1588" Type="http://schemas.openxmlformats.org/officeDocument/2006/relationships/hyperlink" Target="https://marketplace.fedramp.gov/img/logos/Agency_logos/US-DeptOfCommerce-Seal.png" TargetMode="External"/><Relationship Id="rId1589" Type="http://schemas.openxmlformats.org/officeDocument/2006/relationships/hyperlink" Target="https://community.max.gov/display/FedRAMPExternal/MS+Azure+ATO+Letters" TargetMode="External"/><Relationship Id="rId998" Type="http://schemas.openxmlformats.org/officeDocument/2006/relationships/hyperlink" Target="https://marketplace.fedramp.gov/img/logos/CSP_logos/Microsoft%20Logo.jpg" TargetMode="External"/><Relationship Id="rId997" Type="http://schemas.openxmlformats.org/officeDocument/2006/relationships/hyperlink" Target="http://www.microsoft.office.com" TargetMode="External"/><Relationship Id="rId996" Type="http://schemas.openxmlformats.org/officeDocument/2006/relationships/hyperlink" Target="https://community.max.gov/download/attachments/992346706/ATO.Letter_MSO365_DoC_Census_11.05.14.pdf?api=v2" TargetMode="External"/><Relationship Id="rId995" Type="http://schemas.openxmlformats.org/officeDocument/2006/relationships/hyperlink" Target="https://community.max.gov/x/3JC6L" TargetMode="External"/><Relationship Id="rId999" Type="http://schemas.openxmlformats.org/officeDocument/2006/relationships/hyperlink" Target="https://marketplace.fedramp.gov/img/logos/Agency_logos/US-DeptOfCommerce-Seal.png" TargetMode="External"/><Relationship Id="rId990" Type="http://schemas.openxmlformats.org/officeDocument/2006/relationships/hyperlink" Target="https://community.max.gov/x/RgLbR" TargetMode="External"/><Relationship Id="rId1580" Type="http://schemas.openxmlformats.org/officeDocument/2006/relationships/hyperlink" Target="https://community.max.gov/download/attachments/1531087274/ATO.Letter_Google_DOC_NOAA_03.17.16.pdf?api=v2" TargetMode="External"/><Relationship Id="rId1581" Type="http://schemas.openxmlformats.org/officeDocument/2006/relationships/hyperlink" Target="https://gsuite.google.com/" TargetMode="External"/><Relationship Id="rId1582" Type="http://schemas.openxmlformats.org/officeDocument/2006/relationships/hyperlink" Target="https://marketplace.fedramp.gov/img/logos/CSP_logos/Google%20Logo.jpg" TargetMode="External"/><Relationship Id="rId994" Type="http://schemas.openxmlformats.org/officeDocument/2006/relationships/hyperlink" Target="https://marketplace.fedramp.gov/img/logos/Agency_logos/Seal_of_the_United_States_Department_of_Justice.png" TargetMode="External"/><Relationship Id="rId1583" Type="http://schemas.openxmlformats.org/officeDocument/2006/relationships/hyperlink" Target="https://marketplace.fedramp.gov/img/logos/Agency_logos/US-DeptOfCommerce-Seal.png" TargetMode="External"/><Relationship Id="rId993" Type="http://schemas.openxmlformats.org/officeDocument/2006/relationships/hyperlink" Target="https://marketplace.fedramp.gov/img/logos/CSP_logos/IBM%20Logo.jpg" TargetMode="External"/><Relationship Id="rId1584" Type="http://schemas.openxmlformats.org/officeDocument/2006/relationships/hyperlink" Target="https://community.max.gov/x/GBU6Jg" TargetMode="External"/><Relationship Id="rId992" Type="http://schemas.openxmlformats.org/officeDocument/2006/relationships/hyperlink" Target="http://www-01.ibm.com/software/lotus/cloud/government/" TargetMode="External"/><Relationship Id="rId1585" Type="http://schemas.openxmlformats.org/officeDocument/2006/relationships/hyperlink" Target="https://community.max.gov/download/attachments/1256458199/ATO.Letter_IBMMaaS360_DOC_NOAA_03.17.16.pdf?api=v2" TargetMode="External"/><Relationship Id="rId991" Type="http://schemas.openxmlformats.org/officeDocument/2006/relationships/hyperlink" Target="https://community.max.gov/download/attachments/1155203654/ATO.Letter_IBMSCG_DoJ_03.17.15.pdf?api=v2" TargetMode="External"/><Relationship Id="rId1586" Type="http://schemas.openxmlformats.org/officeDocument/2006/relationships/hyperlink" Target="http://www.maas360.com" TargetMode="External"/><Relationship Id="rId1532" Type="http://schemas.openxmlformats.org/officeDocument/2006/relationships/hyperlink" Target="https://marketplace.fedramp.gov/img/logos/CSP_logos/IBM%20Logo.jpg" TargetMode="External"/><Relationship Id="rId2863" Type="http://schemas.openxmlformats.org/officeDocument/2006/relationships/hyperlink" Target="https://marketplace.fedramp.gov/img/logos/Agency_logos/PBGC%20logo.png" TargetMode="External"/><Relationship Id="rId1533" Type="http://schemas.openxmlformats.org/officeDocument/2006/relationships/hyperlink" Target="https://marketplace.fedramp.gov/img/logos/Agency_logos/United_States_Department_of_Defense_Seal.png" TargetMode="External"/><Relationship Id="rId2864" Type="http://schemas.openxmlformats.org/officeDocument/2006/relationships/hyperlink" Target="https://community.max.gov/x/GgwdJg" TargetMode="External"/><Relationship Id="rId1534" Type="http://schemas.openxmlformats.org/officeDocument/2006/relationships/hyperlink" Target="https://community.max.gov/x/QoWaP" TargetMode="External"/><Relationship Id="rId2865" Type="http://schemas.openxmlformats.org/officeDocument/2006/relationships/hyperlink" Target="https://community.max.gov/download/attachments/992346701/ATO.Letter_MicroPact_DoT_USMint_09.27.17.pdf?api=v2" TargetMode="External"/><Relationship Id="rId1535" Type="http://schemas.openxmlformats.org/officeDocument/2006/relationships/hyperlink" Target="https://community.max.gov/download/attachments/1155203837/ATO.Letter_ServiceNow_HHS_FDA_08.22.16.pdf?api=v2" TargetMode="External"/><Relationship Id="rId2866" Type="http://schemas.openxmlformats.org/officeDocument/2006/relationships/hyperlink" Target="http://www.micropact.com" TargetMode="External"/><Relationship Id="rId1536" Type="http://schemas.openxmlformats.org/officeDocument/2006/relationships/hyperlink" Target="http://www.servicenow.com" TargetMode="External"/><Relationship Id="rId2867" Type="http://schemas.openxmlformats.org/officeDocument/2006/relationships/hyperlink" Target="https://marketplace.fedramp.gov/img/logos/CSP_logos/MicroPact%20Logo.jpg" TargetMode="External"/><Relationship Id="rId1537" Type="http://schemas.openxmlformats.org/officeDocument/2006/relationships/hyperlink" Target="https://marketplace.fedramp.gov/img/logos/CSP_logos/ServiceNow%20Logo.jpg" TargetMode="External"/><Relationship Id="rId2868" Type="http://schemas.openxmlformats.org/officeDocument/2006/relationships/hyperlink" Target="https://marketplace.fedramp.gov/img/logos/Agency_logos/US-DeptOfTheTreasury-Seal.png" TargetMode="External"/><Relationship Id="rId1538" Type="http://schemas.openxmlformats.org/officeDocument/2006/relationships/hyperlink" Target="https://marketplace.fedramp.gov/img/logos/Agency_logos/US-DeptOfHHS-Seal.png" TargetMode="External"/><Relationship Id="rId2869" Type="http://schemas.openxmlformats.org/officeDocument/2006/relationships/hyperlink" Target="https://community.max.gov/x/QoWaP" TargetMode="External"/><Relationship Id="rId1539" Type="http://schemas.openxmlformats.org/officeDocument/2006/relationships/hyperlink" Target="https://community.max.gov/x/VJM5JQ" TargetMode="External"/><Relationship Id="rId949" Type="http://schemas.openxmlformats.org/officeDocument/2006/relationships/hyperlink" Target="https://marketplace.fedramp.gov/img/logos/Agency_logos/US-DeptOfAgriculture-Seal2.png" TargetMode="External"/><Relationship Id="rId948" Type="http://schemas.openxmlformats.org/officeDocument/2006/relationships/hyperlink" Target="https://marketplace.fedramp.gov/img/logos/CSP_logos/Salesforce%20Logo.jpg" TargetMode="External"/><Relationship Id="rId943" Type="http://schemas.openxmlformats.org/officeDocument/2006/relationships/hyperlink" Target="https://marketplace.fedramp.gov/img/logos/CSP_logos/DXC%20Logo.jpg" TargetMode="External"/><Relationship Id="rId942" Type="http://schemas.openxmlformats.org/officeDocument/2006/relationships/hyperlink" Target="https://community.max.gov/download/attachments/1155203563/ATO.Letter_HPEHelion_DoE_FSA_09.18.15.pdf?api=v2" TargetMode="External"/><Relationship Id="rId941" Type="http://schemas.openxmlformats.org/officeDocument/2006/relationships/hyperlink" Target="https://community.max.gov/x/cKF3Jg" TargetMode="External"/><Relationship Id="rId940" Type="http://schemas.openxmlformats.org/officeDocument/2006/relationships/hyperlink" Target="https://marketplace.fedramp.gov/img/logos/Agency_logos/US-DeptOfEducation-Seal.png" TargetMode="External"/><Relationship Id="rId947" Type="http://schemas.openxmlformats.org/officeDocument/2006/relationships/hyperlink" Target="http://www.salesforce.com/industries/public-sector" TargetMode="External"/><Relationship Id="rId946" Type="http://schemas.openxmlformats.org/officeDocument/2006/relationships/hyperlink" Target="https://community.max.gov/download/attachments/1130635691/ATO.Letter_Salesforce_USDA_03.09.15.pdf?api=v2" TargetMode="External"/><Relationship Id="rId945" Type="http://schemas.openxmlformats.org/officeDocument/2006/relationships/hyperlink" Target="https://community.max.gov/x/eQs3Kw" TargetMode="External"/><Relationship Id="rId944" Type="http://schemas.openxmlformats.org/officeDocument/2006/relationships/hyperlink" Target="https://marketplace.fedramp.gov/img/logos/Agency_logos/US-DeptOfEducation-Seal.png" TargetMode="External"/><Relationship Id="rId2860" Type="http://schemas.openxmlformats.org/officeDocument/2006/relationships/hyperlink" Target="https://community.max.gov/download/attachments/992346706/ATO.Letter_MSO365_PBGC_09.22.17.pdf?api=v2" TargetMode="External"/><Relationship Id="rId1530" Type="http://schemas.openxmlformats.org/officeDocument/2006/relationships/hyperlink" Target="https://community.max.gov/download/attachments/774439992/ATO.Letter_IBMCMSG_DOD_DISA_08.23.16.pdf?api=v2" TargetMode="External"/><Relationship Id="rId2861" Type="http://schemas.openxmlformats.org/officeDocument/2006/relationships/hyperlink" Target="http://www.microsoft.office.com" TargetMode="External"/><Relationship Id="rId1531" Type="http://schemas.openxmlformats.org/officeDocument/2006/relationships/hyperlink" Target="http://www.ibm.com" TargetMode="External"/><Relationship Id="rId2862" Type="http://schemas.openxmlformats.org/officeDocument/2006/relationships/hyperlink" Target="https://marketplace.fedramp.gov/img/logos/CSP_logos/Microsoft%20Logo.jpg" TargetMode="External"/><Relationship Id="rId1521" Type="http://schemas.openxmlformats.org/officeDocument/2006/relationships/hyperlink" Target="http://www.projecthosts.com" TargetMode="External"/><Relationship Id="rId2852" Type="http://schemas.openxmlformats.org/officeDocument/2006/relationships/hyperlink" Target="https://marketplace.fedramp.gov/img/logos/CSP_logos/Google%20Logo.jpg" TargetMode="External"/><Relationship Id="rId1522" Type="http://schemas.openxmlformats.org/officeDocument/2006/relationships/hyperlink" Target="https://marketplace.fedramp.gov/img/logos/CSP_logos/eSignLiveVasco%20Logo.jpg" TargetMode="External"/><Relationship Id="rId2853" Type="http://schemas.openxmlformats.org/officeDocument/2006/relationships/hyperlink" Target="https://marketplace.fedramp.gov/img/logos/Agency_logos/US-DeptOfCommerce-Seal.png" TargetMode="External"/><Relationship Id="rId1523" Type="http://schemas.openxmlformats.org/officeDocument/2006/relationships/hyperlink" Target="https://marketplace.fedramp.gov/img/logos/Agency_logos/GSAlogo.png" TargetMode="External"/><Relationship Id="rId2854" Type="http://schemas.openxmlformats.org/officeDocument/2006/relationships/hyperlink" Target="https://community.max.gov/x/UQK2PQ" TargetMode="External"/><Relationship Id="rId1524" Type="http://schemas.openxmlformats.org/officeDocument/2006/relationships/hyperlink" Target="https://community.max.gov/x/QoWaP" TargetMode="External"/><Relationship Id="rId2855" Type="http://schemas.openxmlformats.org/officeDocument/2006/relationships/hyperlink" Target="https://community.max.gov/download/attachments/1035338333/ATO.Letter_Box_DoC_NIST_02.17.17.pdf?api=v2" TargetMode="External"/><Relationship Id="rId1525" Type="http://schemas.openxmlformats.org/officeDocument/2006/relationships/hyperlink" Target="https://community.max.gov/download/attachments/1155203837/ATO.Letter_ServiceNow_GSA_08.30.16.pdf?api=v2" TargetMode="External"/><Relationship Id="rId2856" Type="http://schemas.openxmlformats.org/officeDocument/2006/relationships/hyperlink" Target="http://www.box.com" TargetMode="External"/><Relationship Id="rId1526" Type="http://schemas.openxmlformats.org/officeDocument/2006/relationships/hyperlink" Target="http://www.servicenow.com" TargetMode="External"/><Relationship Id="rId2857" Type="http://schemas.openxmlformats.org/officeDocument/2006/relationships/hyperlink" Target="https://marketplace.fedramp.gov/img/logos/CSP_logos/Box%20Logo.jpg" TargetMode="External"/><Relationship Id="rId1527" Type="http://schemas.openxmlformats.org/officeDocument/2006/relationships/hyperlink" Target="https://marketplace.fedramp.gov/img/logos/CSP_logos/ServiceNow%20Logo.jpg" TargetMode="External"/><Relationship Id="rId2858" Type="http://schemas.openxmlformats.org/officeDocument/2006/relationships/hyperlink" Target="https://marketplace.fedramp.gov/img/logos/Agency_logos/US-DeptOfCommerce-Seal.png" TargetMode="External"/><Relationship Id="rId1528" Type="http://schemas.openxmlformats.org/officeDocument/2006/relationships/hyperlink" Target="https://marketplace.fedramp.gov/img/logos/Agency_logos/GSAlogo.png" TargetMode="External"/><Relationship Id="rId2859" Type="http://schemas.openxmlformats.org/officeDocument/2006/relationships/hyperlink" Target="https://community.max.gov/x/3JC6L" TargetMode="External"/><Relationship Id="rId1529" Type="http://schemas.openxmlformats.org/officeDocument/2006/relationships/hyperlink" Target="https://community.max.gov/x/IQLQLQ" TargetMode="External"/><Relationship Id="rId939" Type="http://schemas.openxmlformats.org/officeDocument/2006/relationships/hyperlink" Target="https://marketplace.fedramp.gov/img/logos/CSP_logos/Oracle%20Logo.jpg" TargetMode="External"/><Relationship Id="rId938" Type="http://schemas.openxmlformats.org/officeDocument/2006/relationships/hyperlink" Target="http://www.oracle.com/us/industries/public-sector/government-cloud/index.html" TargetMode="External"/><Relationship Id="rId937" Type="http://schemas.openxmlformats.org/officeDocument/2006/relationships/hyperlink" Target="https://community.max.gov/download/attachments/1155203762/ATO.Letter_OracleFMCS_DoE_FSA_09.18.15.pdf?api=v2" TargetMode="External"/><Relationship Id="rId932" Type="http://schemas.openxmlformats.org/officeDocument/2006/relationships/hyperlink" Target="https://community.max.gov/download/attachments/1256458288/ATO.Letter_ServiceNow_FRTIB_07.08.15.pdf?api=v2" TargetMode="External"/><Relationship Id="rId931" Type="http://schemas.openxmlformats.org/officeDocument/2006/relationships/hyperlink" Target="https://community.max.gov/x/QoWaP" TargetMode="External"/><Relationship Id="rId930" Type="http://schemas.openxmlformats.org/officeDocument/2006/relationships/hyperlink" Target="https://marketplace.fedramp.gov/img/logos/Agency_logos/Seal_of_the_United_States_Department_of_Homeland_Security.png" TargetMode="External"/><Relationship Id="rId936" Type="http://schemas.openxmlformats.org/officeDocument/2006/relationships/hyperlink" Target="https://community.max.gov/x/DgwdJg" TargetMode="External"/><Relationship Id="rId935" Type="http://schemas.openxmlformats.org/officeDocument/2006/relationships/hyperlink" Target="https://marketplace.fedramp.gov/img/logos/Agency_logos/FRTIB%20Logo.jpg" TargetMode="External"/><Relationship Id="rId934" Type="http://schemas.openxmlformats.org/officeDocument/2006/relationships/hyperlink" Target="https://marketplace.fedramp.gov/img/logos/CSP_logos/ServiceNow%20Logo.jpg" TargetMode="External"/><Relationship Id="rId933" Type="http://schemas.openxmlformats.org/officeDocument/2006/relationships/hyperlink" Target="http://www.servicenow.com" TargetMode="External"/><Relationship Id="rId2850" Type="http://schemas.openxmlformats.org/officeDocument/2006/relationships/hyperlink" Target="https://community.max.gov/download/attachments/1531087271/ATO.Letter_Google_DoC_NIST_02.17.17.pdf?api=v2" TargetMode="External"/><Relationship Id="rId1520" Type="http://schemas.openxmlformats.org/officeDocument/2006/relationships/hyperlink" Target="https://community.max.gov/download/attachments/952697705/ATO.Letter_ProjectHosts_GSA_08.30.16.pdf?api=v2" TargetMode="External"/><Relationship Id="rId2851" Type="http://schemas.openxmlformats.org/officeDocument/2006/relationships/hyperlink" Target="https://gsuite.google.com/" TargetMode="External"/><Relationship Id="rId1554" Type="http://schemas.openxmlformats.org/officeDocument/2006/relationships/hyperlink" Target="https://community.max.gov/x/DpBJK" TargetMode="External"/><Relationship Id="rId2885" Type="http://schemas.openxmlformats.org/officeDocument/2006/relationships/hyperlink" Target="https://community.max.gov/download/attachments/1155204011/ATO.Letter_Softlayer_DHS_FLETC_08.21.17.PDF?api=v2" TargetMode="External"/><Relationship Id="rId1555" Type="http://schemas.openxmlformats.org/officeDocument/2006/relationships/hyperlink" Target="https://community.max.gov/download/attachments/1113425425/ATO.Letter_AWSGC_DOE_NREL_08.05.16.pdf?api=v2" TargetMode="External"/><Relationship Id="rId2886" Type="http://schemas.openxmlformats.org/officeDocument/2006/relationships/hyperlink" Target="http://www.softlayer.com" TargetMode="External"/><Relationship Id="rId1556" Type="http://schemas.openxmlformats.org/officeDocument/2006/relationships/hyperlink" Target="http://www.aws.amazon.com" TargetMode="External"/><Relationship Id="rId2887" Type="http://schemas.openxmlformats.org/officeDocument/2006/relationships/hyperlink" Target="https://marketplace.fedramp.gov/img/logos/CSP_logos/Softlayer%20Logo.jpg" TargetMode="External"/><Relationship Id="rId1557" Type="http://schemas.openxmlformats.org/officeDocument/2006/relationships/hyperlink" Target="https://marketplace.fedramp.gov/img/logos/CSP_logos/Amazon%20Logo.jpg" TargetMode="External"/><Relationship Id="rId2888" Type="http://schemas.openxmlformats.org/officeDocument/2006/relationships/hyperlink" Target="https://marketplace.fedramp.gov/img/logos/Agency_logos/Seal_of_the_United_States_Department_of_Homeland_Security.png" TargetMode="External"/><Relationship Id="rId1558" Type="http://schemas.openxmlformats.org/officeDocument/2006/relationships/hyperlink" Target="https://marketplace.fedramp.gov/img/logos/Agency_logos/US-DeptOfEnergy-Seal.png" TargetMode="External"/><Relationship Id="rId2889" Type="http://schemas.openxmlformats.org/officeDocument/2006/relationships/hyperlink" Target="https://community.max.gov/x/KoE7Mw" TargetMode="External"/><Relationship Id="rId1559" Type="http://schemas.openxmlformats.org/officeDocument/2006/relationships/hyperlink" Target="https://community.max.gov/x/eQs3Kw" TargetMode="External"/><Relationship Id="rId965" Type="http://schemas.openxmlformats.org/officeDocument/2006/relationships/hyperlink" Target="https://community.max.gov/x/3JC6L" TargetMode="External"/><Relationship Id="rId964" Type="http://schemas.openxmlformats.org/officeDocument/2006/relationships/hyperlink" Target="https://marketplace.fedramp.gov/img/logos/Agency_logos/US-DeptOfEducation-Seal.png" TargetMode="External"/><Relationship Id="rId963" Type="http://schemas.openxmlformats.org/officeDocument/2006/relationships/hyperlink" Target="https://marketplace.fedramp.gov/img/logos/CSP_logos/GDIT%20Logo.jpg" TargetMode="External"/><Relationship Id="rId962" Type="http://schemas.openxmlformats.org/officeDocument/2006/relationships/hyperlink" Target="http://www.gdit.com/cloudsolutions" TargetMode="External"/><Relationship Id="rId969" Type="http://schemas.openxmlformats.org/officeDocument/2006/relationships/hyperlink" Target="https://marketplace.fedramp.gov/img/logos/Agency_logos/PBGC%20logo.png" TargetMode="External"/><Relationship Id="rId968" Type="http://schemas.openxmlformats.org/officeDocument/2006/relationships/hyperlink" Target="https://marketplace.fedramp.gov/img/logos/CSP_logos/Microsoft%20Logo.jpg" TargetMode="External"/><Relationship Id="rId967" Type="http://schemas.openxmlformats.org/officeDocument/2006/relationships/hyperlink" Target="http://www.microsoft.office.com" TargetMode="External"/><Relationship Id="rId966" Type="http://schemas.openxmlformats.org/officeDocument/2006/relationships/hyperlink" Target="https://community.max.gov/download/attachments/780173411/ATO.Letter_MSO365_PBGC_03.30.15.pdf?api=v2" TargetMode="External"/><Relationship Id="rId2880" Type="http://schemas.openxmlformats.org/officeDocument/2006/relationships/hyperlink" Target="https://community.max.gov/download/attachments/1155203654/ATO.Letter_IBMSCG_DHS_FLETC_08.21.17.PDF?api=v2" TargetMode="External"/><Relationship Id="rId961" Type="http://schemas.openxmlformats.org/officeDocument/2006/relationships/hyperlink" Target="https://community.max.gov/download/attachments/1155203438/ATO.Letter_GDIT_DoE_FSA_12.16.14.pdf?api=v2" TargetMode="External"/><Relationship Id="rId1550" Type="http://schemas.openxmlformats.org/officeDocument/2006/relationships/hyperlink" Target="https://community.max.gov/download/attachments/1155204092/ATO.Letter_ARCP_DOE_NREL_08.05.16.pdf?api=v2" TargetMode="External"/><Relationship Id="rId2881" Type="http://schemas.openxmlformats.org/officeDocument/2006/relationships/hyperlink" Target="http://www-01.ibm.com/software/lotus/cloud/government/" TargetMode="External"/><Relationship Id="rId960" Type="http://schemas.openxmlformats.org/officeDocument/2006/relationships/hyperlink" Target="https://community.max.gov/x/_gPNKw" TargetMode="External"/><Relationship Id="rId1551" Type="http://schemas.openxmlformats.org/officeDocument/2006/relationships/hyperlink" Target="http://www.autonomicresources.com" TargetMode="External"/><Relationship Id="rId2882" Type="http://schemas.openxmlformats.org/officeDocument/2006/relationships/hyperlink" Target="https://marketplace.fedramp.gov/img/logos/CSP_logos/IBM%20Logo.jpg" TargetMode="External"/><Relationship Id="rId1552" Type="http://schemas.openxmlformats.org/officeDocument/2006/relationships/hyperlink" Target="https://marketplace.fedramp.gov/img/logos/CSP_logos/ARC-P%20Logo.jpg" TargetMode="External"/><Relationship Id="rId2883" Type="http://schemas.openxmlformats.org/officeDocument/2006/relationships/hyperlink" Target="https://marketplace.fedramp.gov/img/logos/Agency_logos/Seal_of_the_United_States_Department_of_Homeland_Security.png" TargetMode="External"/><Relationship Id="rId1553" Type="http://schemas.openxmlformats.org/officeDocument/2006/relationships/hyperlink" Target="https://marketplace.fedramp.gov/img/logos/Agency_logos/US-DeptOfEnergy-Seal.png" TargetMode="External"/><Relationship Id="rId2884" Type="http://schemas.openxmlformats.org/officeDocument/2006/relationships/hyperlink" Target="https://community.max.gov/x/vg_4Jg" TargetMode="External"/><Relationship Id="rId1543" Type="http://schemas.openxmlformats.org/officeDocument/2006/relationships/hyperlink" Target="https://marketplace.fedramp.gov/img/logos/Agency_logos/Seal_of_the_United_States_Department_of_Homeland_Security.png" TargetMode="External"/><Relationship Id="rId2874" Type="http://schemas.openxmlformats.org/officeDocument/2006/relationships/hyperlink" Target="https://community.max.gov/x/ApBJK" TargetMode="External"/><Relationship Id="rId1544" Type="http://schemas.openxmlformats.org/officeDocument/2006/relationships/hyperlink" Target="https://community.max.gov/x/GATJO" TargetMode="External"/><Relationship Id="rId2875" Type="http://schemas.openxmlformats.org/officeDocument/2006/relationships/hyperlink" Target="https://community.max.gov/download/attachments/1113425425/ATO.Letter_AWSGC_DoT_FAA_09.13.17.pdf?api=v2" TargetMode="External"/><Relationship Id="rId1545" Type="http://schemas.openxmlformats.org/officeDocument/2006/relationships/hyperlink" Target="https://community.max.gov/download/attachments/1153174344/ATO.Letter_DGS_DOJ_OJP_09.01.16.pdf?api=v2" TargetMode="External"/><Relationship Id="rId2876" Type="http://schemas.openxmlformats.org/officeDocument/2006/relationships/hyperlink" Target="http://www.aws.amazon.com" TargetMode="External"/><Relationship Id="rId1546" Type="http://schemas.openxmlformats.org/officeDocument/2006/relationships/hyperlink" Target="http://www.rackspace.com/government" TargetMode="External"/><Relationship Id="rId2877" Type="http://schemas.openxmlformats.org/officeDocument/2006/relationships/hyperlink" Target="https://marketplace.fedramp.gov/img/logos/CSP_logos/Amazon%20Logo.jpg" TargetMode="External"/><Relationship Id="rId1547" Type="http://schemas.openxmlformats.org/officeDocument/2006/relationships/hyperlink" Target="https://marketplace.fedramp.gov/img/logos/CSP_logos/Rackspace%20Logo.jpg" TargetMode="External"/><Relationship Id="rId2878" Type="http://schemas.openxmlformats.org/officeDocument/2006/relationships/hyperlink" Target="https://marketplace.fedramp.gov/img/logos/Agency_logos/768px-US-DeptOfTransportation-Seal.svg.png" TargetMode="External"/><Relationship Id="rId1548" Type="http://schemas.openxmlformats.org/officeDocument/2006/relationships/hyperlink" Target="https://marketplace.fedramp.gov/img/logos/Agency_logos/Seal_of_the_United_States_Department_of_Justice.png" TargetMode="External"/><Relationship Id="rId2879" Type="http://schemas.openxmlformats.org/officeDocument/2006/relationships/hyperlink" Target="https://community.max.gov/x/RgLbR" TargetMode="External"/><Relationship Id="rId1549" Type="http://schemas.openxmlformats.org/officeDocument/2006/relationships/hyperlink" Target="https://community.max.gov/x/bI5VJQ" TargetMode="External"/><Relationship Id="rId959" Type="http://schemas.openxmlformats.org/officeDocument/2006/relationships/hyperlink" Target="https://marketplace.fedramp.gov/img/logos/Agency_logos/US-DeptOfEducation-Seal.png" TargetMode="External"/><Relationship Id="rId954" Type="http://schemas.openxmlformats.org/officeDocument/2006/relationships/hyperlink" Target="https://marketplace.fedramp.gov/img/logos/Agency_logos/US-DeptOfEducation-Seal.png" TargetMode="External"/><Relationship Id="rId953" Type="http://schemas.openxmlformats.org/officeDocument/2006/relationships/hyperlink" Target="https://marketplace.fedramp.gov/img/logos/CSP_logos/Adobe%20Logo.jpg" TargetMode="External"/><Relationship Id="rId952" Type="http://schemas.openxmlformats.org/officeDocument/2006/relationships/hyperlink" Target="http://www.adobe.com" TargetMode="External"/><Relationship Id="rId951" Type="http://schemas.openxmlformats.org/officeDocument/2006/relationships/hyperlink" Target="https://community.max.gov/download/attachments/1500545316/ATO.Letter_AdobeACMSGC_DoE_05.22.15.pdf?api=v2" TargetMode="External"/><Relationship Id="rId958" Type="http://schemas.openxmlformats.org/officeDocument/2006/relationships/hyperlink" Target="https://marketplace.fedramp.gov/img/logos/CSP_logos/Salesforce%20Logo.jpg" TargetMode="External"/><Relationship Id="rId957" Type="http://schemas.openxmlformats.org/officeDocument/2006/relationships/hyperlink" Target="http://www.salesforce.com/industries/public-sector" TargetMode="External"/><Relationship Id="rId956" Type="http://schemas.openxmlformats.org/officeDocument/2006/relationships/hyperlink" Target="https://community.max.gov/download/attachments/1130635691/ATO.Letter_Salesforce_DoE_05.04.15.pdf?api=v2" TargetMode="External"/><Relationship Id="rId955" Type="http://schemas.openxmlformats.org/officeDocument/2006/relationships/hyperlink" Target="https://community.max.gov/x/eQs3Kw" TargetMode="External"/><Relationship Id="rId950" Type="http://schemas.openxmlformats.org/officeDocument/2006/relationships/hyperlink" Target="https://community.max.gov/x/U4HpNg" TargetMode="External"/><Relationship Id="rId2870" Type="http://schemas.openxmlformats.org/officeDocument/2006/relationships/hyperlink" Target="https://community.max.gov/download/attachments/1155203837/ATO.Letter_ServiceNow_DoS_01.26.17.pdf?api=v2" TargetMode="External"/><Relationship Id="rId1540" Type="http://schemas.openxmlformats.org/officeDocument/2006/relationships/hyperlink" Target="https://community.max.gov/download/attachments/1116602747/ATO.Letter_CGI_DHS_08.30.16.pdf?api=v2" TargetMode="External"/><Relationship Id="rId2871" Type="http://schemas.openxmlformats.org/officeDocument/2006/relationships/hyperlink" Target="http://www.servicenow.com" TargetMode="External"/><Relationship Id="rId1541" Type="http://schemas.openxmlformats.org/officeDocument/2006/relationships/hyperlink" Target="http://www.cgi.com" TargetMode="External"/><Relationship Id="rId2872" Type="http://schemas.openxmlformats.org/officeDocument/2006/relationships/hyperlink" Target="https://marketplace.fedramp.gov/img/logos/CSP_logos/ServiceNow%20Logo.jpg" TargetMode="External"/><Relationship Id="rId1542" Type="http://schemas.openxmlformats.org/officeDocument/2006/relationships/hyperlink" Target="https://marketplace.fedramp.gov/img/logos/CSP_logos/CGI%20Federal.jpg" TargetMode="External"/><Relationship Id="rId2873" Type="http://schemas.openxmlformats.org/officeDocument/2006/relationships/hyperlink" Target="https://marketplace.fedramp.gov/img/logos/Agency_logos/DoS%20Logo.png" TargetMode="External"/><Relationship Id="rId2027" Type="http://schemas.openxmlformats.org/officeDocument/2006/relationships/hyperlink" Target="https://marketplace.fedramp.gov/img/logos/Agency_logos/US-DeptOfEnergy-Seal.png" TargetMode="External"/><Relationship Id="rId3359" Type="http://schemas.openxmlformats.org/officeDocument/2006/relationships/hyperlink" Target="https://community.max.gov/download/attachments/992346701/ATO.Letter_MicroPact_HUD_3.13.18.pdf?api=v2" TargetMode="External"/><Relationship Id="rId2028" Type="http://schemas.openxmlformats.org/officeDocument/2006/relationships/hyperlink" Target="https://community.max.gov/x/daF3Jg" TargetMode="External"/><Relationship Id="rId3358" Type="http://schemas.openxmlformats.org/officeDocument/2006/relationships/hyperlink" Target="https://community.max.gov/x/GgwdJg" TargetMode="External"/><Relationship Id="rId2029" Type="http://schemas.openxmlformats.org/officeDocument/2006/relationships/hyperlink" Target="https://community.max.gov/download/attachments/981566003/ATO.Letter_Deloitte_DoL_12.14.16.pdf?api=v2" TargetMode="External"/><Relationship Id="rId107" Type="http://schemas.openxmlformats.org/officeDocument/2006/relationships/hyperlink" Target="https://marketplace.fedramp.gov/img/logos/CSP_logos/MicroPact%20Logo.jpg" TargetMode="External"/><Relationship Id="rId106" Type="http://schemas.openxmlformats.org/officeDocument/2006/relationships/hyperlink" Target="http://www.micropact.com" TargetMode="External"/><Relationship Id="rId105" Type="http://schemas.openxmlformats.org/officeDocument/2006/relationships/hyperlink" Target="https://community.max.gov/download/attachments/777093308/ATO.Letter_MicroPact_DOI_06.06.14.pdf?api=v2" TargetMode="External"/><Relationship Id="rId104" Type="http://schemas.openxmlformats.org/officeDocument/2006/relationships/hyperlink" Target="https://community.max.gov/x/GgwdJg" TargetMode="External"/><Relationship Id="rId109" Type="http://schemas.openxmlformats.org/officeDocument/2006/relationships/hyperlink" Target="https://community.max.gov/x/Ko4TKQ" TargetMode="External"/><Relationship Id="rId108" Type="http://schemas.openxmlformats.org/officeDocument/2006/relationships/hyperlink" Target="https://marketplace.fedramp.gov/img/logos/Agency_logos/Seal_of_the_United_States_Department_of_Homeland_Security.png" TargetMode="External"/><Relationship Id="rId3351" Type="http://schemas.openxmlformats.org/officeDocument/2006/relationships/hyperlink" Target="https://www.microsoft.com/en-us/dynamics/public-sector.aspx" TargetMode="External"/><Relationship Id="rId2020" Type="http://schemas.openxmlformats.org/officeDocument/2006/relationships/hyperlink" Target="https://www.databank.com/" TargetMode="External"/><Relationship Id="rId3350" Type="http://schemas.openxmlformats.org/officeDocument/2006/relationships/hyperlink" Target="https://community.max.gov/download/attachments/1179582858/P-ATO_MSCRMOL_03.14.18.pdf?api=v2" TargetMode="External"/><Relationship Id="rId2021" Type="http://schemas.openxmlformats.org/officeDocument/2006/relationships/hyperlink" Target="https://marketplace.fedramp.gov/img/logos/CSP_logos/DataBank%20Logo.jpg" TargetMode="External"/><Relationship Id="rId3353" Type="http://schemas.openxmlformats.org/officeDocument/2006/relationships/hyperlink" Target="https://community.max.gov/x/DpBJK" TargetMode="External"/><Relationship Id="rId2022" Type="http://schemas.openxmlformats.org/officeDocument/2006/relationships/hyperlink" Target="https://marketplace.fedramp.gov/img/logos/Agency_logos/US-DeptOfEnergy-Seal.png" TargetMode="External"/><Relationship Id="rId3352" Type="http://schemas.openxmlformats.org/officeDocument/2006/relationships/hyperlink" Target="https://marketplace.fedramp.gov/img/logos/CSP_logos/Microsoft%20Logo.jpg" TargetMode="External"/><Relationship Id="rId103" Type="http://schemas.openxmlformats.org/officeDocument/2006/relationships/hyperlink" Target="https://marketplace.fedramp.gov/img/logos/Agency_logos/US-DeptOfAgriculture-Seal2.png" TargetMode="External"/><Relationship Id="rId2023" Type="http://schemas.openxmlformats.org/officeDocument/2006/relationships/hyperlink" Target="https://community.max.gov/x/9QLJO" TargetMode="External"/><Relationship Id="rId3355" Type="http://schemas.openxmlformats.org/officeDocument/2006/relationships/hyperlink" Target="http://www.aws.amazon.com" TargetMode="External"/><Relationship Id="rId102" Type="http://schemas.openxmlformats.org/officeDocument/2006/relationships/hyperlink" Target="https://marketplace.fedramp.gov/img/logos/CSP_logos/MicroPact%20Logo.jpg" TargetMode="External"/><Relationship Id="rId2024" Type="http://schemas.openxmlformats.org/officeDocument/2006/relationships/hyperlink" Target="https://community.max.gov/download/attachments/1115488830/ATO.Letter_Accenture_DoE_FERC_01.12.17.pdf?api=v2" TargetMode="External"/><Relationship Id="rId3354" Type="http://schemas.openxmlformats.org/officeDocument/2006/relationships/hyperlink" Target="https://community.max.gov/download/attachments/1115488742/ATO.Letter_AWSEW_PeaceCorps_3.9.18.pdf?api=v2" TargetMode="External"/><Relationship Id="rId101" Type="http://schemas.openxmlformats.org/officeDocument/2006/relationships/hyperlink" Target="http://www.micropact.com" TargetMode="External"/><Relationship Id="rId2025" Type="http://schemas.openxmlformats.org/officeDocument/2006/relationships/hyperlink" Target="https://www.accenture.com/us-en/afs-industry-index.aspx" TargetMode="External"/><Relationship Id="rId3357" Type="http://schemas.openxmlformats.org/officeDocument/2006/relationships/hyperlink" Target="https://marketplace.fedramp.gov/img/logos/Agency_logos/Peace%20Corps%20Logo.jpg" TargetMode="External"/><Relationship Id="rId100" Type="http://schemas.openxmlformats.org/officeDocument/2006/relationships/hyperlink" Target="https://community.max.gov/download/attachments/777093308/ATO.Letter_MicroPact_USDA.NAD_03.28.13.pdf?api=v2" TargetMode="External"/><Relationship Id="rId2026" Type="http://schemas.openxmlformats.org/officeDocument/2006/relationships/hyperlink" Target="https://marketplace.fedramp.gov/img/logos/CSP_logos/Accenture%20Logo2.jpg" TargetMode="External"/><Relationship Id="rId3356" Type="http://schemas.openxmlformats.org/officeDocument/2006/relationships/hyperlink" Target="https://marketplace.fedramp.gov/img/logos/CSP_logos/Amazon%20Logo.jpg" TargetMode="External"/><Relationship Id="rId2016" Type="http://schemas.openxmlformats.org/officeDocument/2006/relationships/hyperlink" Target="https://marketplace.fedramp.gov/img/logos/CSP_logos/Rackspace%20Logo.jpg" TargetMode="External"/><Relationship Id="rId3348" Type="http://schemas.openxmlformats.org/officeDocument/2006/relationships/hyperlink" Target="https://marketplace.fedramp.gov/img/logos/CSP_logos/Oracle%20Logo.jpg" TargetMode="External"/><Relationship Id="rId2017" Type="http://schemas.openxmlformats.org/officeDocument/2006/relationships/hyperlink" Target="https://marketplace.fedramp.gov/img/logos/Agency_logos/US-DeptOfEnergy-Seal.png" TargetMode="External"/><Relationship Id="rId3347" Type="http://schemas.openxmlformats.org/officeDocument/2006/relationships/hyperlink" Target="http://www.oracle.com" TargetMode="External"/><Relationship Id="rId2018" Type="http://schemas.openxmlformats.org/officeDocument/2006/relationships/hyperlink" Target="https://community.max.gov/x/XYPDLw" TargetMode="External"/><Relationship Id="rId2019" Type="http://schemas.openxmlformats.org/officeDocument/2006/relationships/hyperlink" Target="https://community.max.gov/download/attachments/992346672/ATO.Letter_EdgeHosting_DoE_FERC_01.12.17.pdf?api=v2" TargetMode="External"/><Relationship Id="rId3349" Type="http://schemas.openxmlformats.org/officeDocument/2006/relationships/hyperlink" Target="https://community.max.gov/x/nAG9PQ" TargetMode="External"/><Relationship Id="rId3340" Type="http://schemas.openxmlformats.org/officeDocument/2006/relationships/hyperlink" Target="https://community.max.gov/x/GwCsPQ" TargetMode="External"/><Relationship Id="rId2010" Type="http://schemas.openxmlformats.org/officeDocument/2006/relationships/hyperlink" Target="http://www.granicus.com" TargetMode="External"/><Relationship Id="rId3342" Type="http://schemas.openxmlformats.org/officeDocument/2006/relationships/hyperlink" Target="http://www.cloud.gov" TargetMode="External"/><Relationship Id="rId2011" Type="http://schemas.openxmlformats.org/officeDocument/2006/relationships/hyperlink" Target="https://marketplace.fedramp.gov/img/logos/CSP_logos/Granicus%20Logo.jpg" TargetMode="External"/><Relationship Id="rId3341" Type="http://schemas.openxmlformats.org/officeDocument/2006/relationships/hyperlink" Target="https://community.max.gov/download/attachments/1197709114/ATO.Letter_18F_EPA_2.7.18.pdf?api=v2" TargetMode="External"/><Relationship Id="rId2012" Type="http://schemas.openxmlformats.org/officeDocument/2006/relationships/hyperlink" Target="https://marketplace.fedramp.gov/img/logos/Agency_logos/US-DeptOfAgriculture-Seal2.png" TargetMode="External"/><Relationship Id="rId3344" Type="http://schemas.openxmlformats.org/officeDocument/2006/relationships/hyperlink" Target="https://marketplace.fedramp.gov/img/logos/Agency_logos/Environmental_Protection_Agency_logo.png" TargetMode="External"/><Relationship Id="rId2013" Type="http://schemas.openxmlformats.org/officeDocument/2006/relationships/hyperlink" Target="https://community.max.gov/x/GATJO" TargetMode="External"/><Relationship Id="rId3343" Type="http://schemas.openxmlformats.org/officeDocument/2006/relationships/hyperlink" Target="https://marketplace.fedramp.gov/img/logos/CSP_logos/Cloud.gov%20Logo.jpg" TargetMode="External"/><Relationship Id="rId2014" Type="http://schemas.openxmlformats.org/officeDocument/2006/relationships/hyperlink" Target="https://community.max.gov/download/attachments/1153174344/ATO.Letter_Datapipe_DoE_FERC_01.12.17.pdf?api=v2" TargetMode="External"/><Relationship Id="rId3346" Type="http://schemas.openxmlformats.org/officeDocument/2006/relationships/hyperlink" Target="https://community.max.gov/download/attachments/1215071466/P-ATO_OracleGC_03.14.18.pdf?api=v2" TargetMode="External"/><Relationship Id="rId2015" Type="http://schemas.openxmlformats.org/officeDocument/2006/relationships/hyperlink" Target="http://www.rackspace.com/government" TargetMode="External"/><Relationship Id="rId3345" Type="http://schemas.openxmlformats.org/officeDocument/2006/relationships/hyperlink" Target="https://community.max.gov/x/xYGeNw" TargetMode="External"/><Relationship Id="rId2049" Type="http://schemas.openxmlformats.org/officeDocument/2006/relationships/hyperlink" Target="http://cloud.oracle.com/public-sector-cloud" TargetMode="External"/><Relationship Id="rId129" Type="http://schemas.openxmlformats.org/officeDocument/2006/relationships/hyperlink" Target="http://www.aws.amazon.com" TargetMode="External"/><Relationship Id="rId128" Type="http://schemas.openxmlformats.org/officeDocument/2006/relationships/hyperlink" Target="https://community.max.gov/download/attachments/1113425425/ATO%20Letter_AWSGC_HHS_05.13.13.pdf?api=v2" TargetMode="External"/><Relationship Id="rId127" Type="http://schemas.openxmlformats.org/officeDocument/2006/relationships/hyperlink" Target="https://community.max.gov/x/ApBJK" TargetMode="External"/><Relationship Id="rId126" Type="http://schemas.openxmlformats.org/officeDocument/2006/relationships/hyperlink" Target="https://marketplace.fedramp.gov/img/logos/Agency_logos/US-DeptOfAgriculture-Seal2.png" TargetMode="External"/><Relationship Id="rId3371" Type="http://schemas.openxmlformats.org/officeDocument/2006/relationships/hyperlink" Target="https://marketplace.fedramp.gov/img/logos/CSP_logos/Google%20Logo.jpg" TargetMode="External"/><Relationship Id="rId2040" Type="http://schemas.openxmlformats.org/officeDocument/2006/relationships/hyperlink" Target="http://www.cloud.gov" TargetMode="External"/><Relationship Id="rId3370" Type="http://schemas.openxmlformats.org/officeDocument/2006/relationships/hyperlink" Target="https://cloud.google.com" TargetMode="External"/><Relationship Id="rId121" Type="http://schemas.openxmlformats.org/officeDocument/2006/relationships/hyperlink" Target="https://marketplace.fedramp.gov/img/logos/CSP_logos/Microsoft%20Logo.jpg" TargetMode="External"/><Relationship Id="rId2041" Type="http://schemas.openxmlformats.org/officeDocument/2006/relationships/hyperlink" Target="https://marketplace.fedramp.gov/img/logos/CSP_logos/Cloud.gov%20Logo.jpg" TargetMode="External"/><Relationship Id="rId3373" Type="http://schemas.openxmlformats.org/officeDocument/2006/relationships/hyperlink" Target="https://community.max.gov/download/attachments/1531087271/ATO.Letter_Google_GSA_3.27.18.pdf?api=v2" TargetMode="External"/><Relationship Id="rId120" Type="http://schemas.openxmlformats.org/officeDocument/2006/relationships/hyperlink" Target="http://www.microsoft.com" TargetMode="External"/><Relationship Id="rId2042" Type="http://schemas.openxmlformats.org/officeDocument/2006/relationships/hyperlink" Target="https://community.max.gov/x/GwCsPQ" TargetMode="External"/><Relationship Id="rId3372" Type="http://schemas.openxmlformats.org/officeDocument/2006/relationships/hyperlink" Target="https://community.max.gov/x/34ngVQ" TargetMode="External"/><Relationship Id="rId2043" Type="http://schemas.openxmlformats.org/officeDocument/2006/relationships/hyperlink" Target="https://community.max.gov/download/attachments/1197709114/ATO.Letter_Cloud.gov_GSA_01.23.17.pdf?api=v2" TargetMode="External"/><Relationship Id="rId3375" Type="http://schemas.openxmlformats.org/officeDocument/2006/relationships/hyperlink" Target="https://marketplace.fedramp.gov/img/logos/CSP_logos/Google%20Logo.jpg" TargetMode="External"/><Relationship Id="rId2044" Type="http://schemas.openxmlformats.org/officeDocument/2006/relationships/hyperlink" Target="http://www.cloud.gov" TargetMode="External"/><Relationship Id="rId3374" Type="http://schemas.openxmlformats.org/officeDocument/2006/relationships/hyperlink" Target="https://gsuite.google.com/" TargetMode="External"/><Relationship Id="rId125" Type="http://schemas.openxmlformats.org/officeDocument/2006/relationships/hyperlink" Target="https://marketplace.fedramp.gov/img/logos/CSP_logos/USDA%20Logo.jpg" TargetMode="External"/><Relationship Id="rId2045" Type="http://schemas.openxmlformats.org/officeDocument/2006/relationships/hyperlink" Target="https://marketplace.fedramp.gov/img/logos/CSP_logos/Cloud.gov%20Logo.jpg" TargetMode="External"/><Relationship Id="rId3377" Type="http://schemas.openxmlformats.org/officeDocument/2006/relationships/hyperlink" Target="https://community.max.gov/x/UQK2PQ" TargetMode="External"/><Relationship Id="rId124" Type="http://schemas.openxmlformats.org/officeDocument/2006/relationships/hyperlink" Target="http://www.ocio.usda.gov/about-ocio/data-center-operations/nitc-cloud-services" TargetMode="External"/><Relationship Id="rId2046" Type="http://schemas.openxmlformats.org/officeDocument/2006/relationships/hyperlink" Target="https://marketplace.fedramp.gov/img/logos/Agency_logos/GSAlogo.png" TargetMode="External"/><Relationship Id="rId3376" Type="http://schemas.openxmlformats.org/officeDocument/2006/relationships/hyperlink" Target="https://marketplace.fedramp.gov/img/logos/Agency_logos/GSAlogo.png" TargetMode="External"/><Relationship Id="rId123" Type="http://schemas.openxmlformats.org/officeDocument/2006/relationships/hyperlink" Target="https://community.max.gov/download/attachments/992346739/ATO.Letter_USDA.NITC_USDA_09.16.13.pdf?api=v2" TargetMode="External"/><Relationship Id="rId2047" Type="http://schemas.openxmlformats.org/officeDocument/2006/relationships/hyperlink" Target="https://community.max.gov/x/WQOaLQ" TargetMode="External"/><Relationship Id="rId3379" Type="http://schemas.openxmlformats.org/officeDocument/2006/relationships/hyperlink" Target="http://www.box.com" TargetMode="External"/><Relationship Id="rId122" Type="http://schemas.openxmlformats.org/officeDocument/2006/relationships/hyperlink" Target="https://community.max.gov/x/Pwu4Jg" TargetMode="External"/><Relationship Id="rId2048" Type="http://schemas.openxmlformats.org/officeDocument/2006/relationships/hyperlink" Target="https://community.max.gov/download/attachments/1256458267/P-ATO_Oracle.SC_12.05.14.pdf?api=v2" TargetMode="External"/><Relationship Id="rId3378" Type="http://schemas.openxmlformats.org/officeDocument/2006/relationships/hyperlink" Target="https://community.max.gov/download/attachments/1035338333/ATO.Letter_Box_FCC_12.7.17.pdf?api=v2" TargetMode="External"/><Relationship Id="rId2038" Type="http://schemas.openxmlformats.org/officeDocument/2006/relationships/hyperlink" Target="https://community.max.gov/x/GwCsPQ" TargetMode="External"/><Relationship Id="rId2039" Type="http://schemas.openxmlformats.org/officeDocument/2006/relationships/hyperlink" Target="https://community.max.gov/download/attachments/1197709114/P-ATO_18F.Cloud.gov_01.18.17.pdf?api=v2" TargetMode="External"/><Relationship Id="rId3369" Type="http://schemas.openxmlformats.org/officeDocument/2006/relationships/hyperlink" Target="https://community.max.gov/download/attachments/1440778850/P-ATO_Google_03.14.18.pdf?api=v2" TargetMode="External"/><Relationship Id="rId118" Type="http://schemas.openxmlformats.org/officeDocument/2006/relationships/hyperlink" Target="https://community.max.gov/x/XgZfJw" TargetMode="External"/><Relationship Id="rId117" Type="http://schemas.openxmlformats.org/officeDocument/2006/relationships/hyperlink" Target="https://marketplace.fedramp.gov/img/logos/Agency_logos/US-DeptOfTheInterior-Seal.png" TargetMode="External"/><Relationship Id="rId116" Type="http://schemas.openxmlformats.org/officeDocument/2006/relationships/hyperlink" Target="https://marketplace.fedramp.gov/img/logos/CSP_logos/Microsoft%20Logo.jpg" TargetMode="External"/><Relationship Id="rId115" Type="http://schemas.openxmlformats.org/officeDocument/2006/relationships/hyperlink" Target="http://azure.microsoft.com/en-us/" TargetMode="External"/><Relationship Id="rId3360" Type="http://schemas.openxmlformats.org/officeDocument/2006/relationships/hyperlink" Target="http://www.micropact.com" TargetMode="External"/><Relationship Id="rId119" Type="http://schemas.openxmlformats.org/officeDocument/2006/relationships/hyperlink" Target="https://community.max.gov/download/attachments/1155204180/P-ATO_MS.GFS_09.27.13.pdf?api=v2" TargetMode="External"/><Relationship Id="rId110" Type="http://schemas.openxmlformats.org/officeDocument/2006/relationships/hyperlink" Target="https://community.max.gov/download/attachments/1256458242/%20P-ATO_MS.Azure_09.27.13.pdf?api=v2" TargetMode="External"/><Relationship Id="rId2030" Type="http://schemas.openxmlformats.org/officeDocument/2006/relationships/hyperlink" Target="http://www.deloitte.com" TargetMode="External"/><Relationship Id="rId3362" Type="http://schemas.openxmlformats.org/officeDocument/2006/relationships/hyperlink" Target="https://marketplace.fedramp.gov/img/logos/Agency_logos/US-DeptOfHUD-Seal.png" TargetMode="External"/><Relationship Id="rId2031" Type="http://schemas.openxmlformats.org/officeDocument/2006/relationships/hyperlink" Target="https://marketplace.fedramp.gov/img/logos/CSP_logos/Deloitte%20Logo.jpg" TargetMode="External"/><Relationship Id="rId3361" Type="http://schemas.openxmlformats.org/officeDocument/2006/relationships/hyperlink" Target="https://marketplace.fedramp.gov/img/logos/CSP_logos/MicroPact%20Logo.jpg" TargetMode="External"/><Relationship Id="rId2032" Type="http://schemas.openxmlformats.org/officeDocument/2006/relationships/hyperlink" Target="https://marketplace.fedramp.gov/img/logos/Agency_logos/US-DeptOfLabor-Seal-AltColors.svg.png" TargetMode="External"/><Relationship Id="rId3364" Type="http://schemas.openxmlformats.org/officeDocument/2006/relationships/hyperlink" Target="https://community.max.gov/download/attachments/992346725/ATO.Letter_Salesforce_USDA_3.9.18.pdf?api=v2" TargetMode="External"/><Relationship Id="rId2033" Type="http://schemas.openxmlformats.org/officeDocument/2006/relationships/hyperlink" Target="https://community.max.gov/x/eoVSJw" TargetMode="External"/><Relationship Id="rId3363" Type="http://schemas.openxmlformats.org/officeDocument/2006/relationships/hyperlink" Target="https://community.max.gov/x/eQs3Kw" TargetMode="External"/><Relationship Id="rId114" Type="http://schemas.openxmlformats.org/officeDocument/2006/relationships/hyperlink" Target="https://community.max.gov/download/attachments/1256458242/ATO.Letter_MS.Azure_DOI_09.10.13.pdf?api=v2" TargetMode="External"/><Relationship Id="rId2034" Type="http://schemas.openxmlformats.org/officeDocument/2006/relationships/hyperlink" Target="https://community.max.gov/download/attachments/1256458014/ATO.Letter_EconSys_PBGC_12.01.16.pdf?api=v2" TargetMode="External"/><Relationship Id="rId3366" Type="http://schemas.openxmlformats.org/officeDocument/2006/relationships/hyperlink" Target="https://marketplace.fedramp.gov/img/logos/CSP_logos/Salesforce%20Logo.jpg" TargetMode="External"/><Relationship Id="rId113" Type="http://schemas.openxmlformats.org/officeDocument/2006/relationships/hyperlink" Target="https://community.max.gov/display/FedRAMPExternal/MS+Azure+JAB+Final+Approved+Package" TargetMode="External"/><Relationship Id="rId2035" Type="http://schemas.openxmlformats.org/officeDocument/2006/relationships/hyperlink" Target="http://www.fedhrnavigator.com/" TargetMode="External"/><Relationship Id="rId3365" Type="http://schemas.openxmlformats.org/officeDocument/2006/relationships/hyperlink" Target="http://www.salesforce.com/industries/public-sector" TargetMode="External"/><Relationship Id="rId112" Type="http://schemas.openxmlformats.org/officeDocument/2006/relationships/hyperlink" Target="https://marketplace.fedramp.gov/img/logos/CSP_logos/Microsoft%20Logo.jpg" TargetMode="External"/><Relationship Id="rId2036" Type="http://schemas.openxmlformats.org/officeDocument/2006/relationships/hyperlink" Target="https://marketplace.fedramp.gov/img/logos/CSP_logos/EconSys%20Logo.jpg" TargetMode="External"/><Relationship Id="rId3368" Type="http://schemas.openxmlformats.org/officeDocument/2006/relationships/hyperlink" Target="https://community.max.gov/x/YorgVQ" TargetMode="External"/><Relationship Id="rId111" Type="http://schemas.openxmlformats.org/officeDocument/2006/relationships/hyperlink" Target="http://azure.microsoft.com/en-us/" TargetMode="External"/><Relationship Id="rId2037" Type="http://schemas.openxmlformats.org/officeDocument/2006/relationships/hyperlink" Target="https://marketplace.fedramp.gov/img/logos/Agency_logos/PBGC%20logo.png" TargetMode="External"/><Relationship Id="rId3367" Type="http://schemas.openxmlformats.org/officeDocument/2006/relationships/hyperlink" Target="https://marketplace.fedramp.gov/img/logos/Agency_logos/US-DeptOfAgriculture-Seal2.png" TargetMode="External"/><Relationship Id="rId3315" Type="http://schemas.openxmlformats.org/officeDocument/2006/relationships/hyperlink" Target="https://community.max.gov/x/vgVqQQ" TargetMode="External"/><Relationship Id="rId3314" Type="http://schemas.openxmlformats.org/officeDocument/2006/relationships/hyperlink" Target="https://marketplace.fedramp.gov/img/logos/Agency_logos/US-DeptOfLabor-Seal-AltColors.svg.png" TargetMode="External"/><Relationship Id="rId3317" Type="http://schemas.openxmlformats.org/officeDocument/2006/relationships/hyperlink" Target="http://www.aws.amazon.com" TargetMode="External"/><Relationship Id="rId3316" Type="http://schemas.openxmlformats.org/officeDocument/2006/relationships/hyperlink" Target="https://community.max.gov/download/attachments/1097467326/ATO.Letter_AWSGC_DHS_FLETC_2.28.18.pdf?api=v2" TargetMode="External"/><Relationship Id="rId3319" Type="http://schemas.openxmlformats.org/officeDocument/2006/relationships/hyperlink" Target="https://marketplace.fedramp.gov/img/logos/Agency_logos/Seal_of_the_United_States_Department_of_Homeland_Security.png" TargetMode="External"/><Relationship Id="rId3318" Type="http://schemas.openxmlformats.org/officeDocument/2006/relationships/hyperlink" Target="https://marketplace.fedramp.gov/img/logos/CSP_logos/Amazon%20Logo.jpg" TargetMode="External"/><Relationship Id="rId3311" Type="http://schemas.openxmlformats.org/officeDocument/2006/relationships/hyperlink" Target="https://community.max.gov/download/attachments/1155203596/ATO.Letter_MaaS360_DoL_12.26.17.pdf?api=v2" TargetMode="External"/><Relationship Id="rId3310" Type="http://schemas.openxmlformats.org/officeDocument/2006/relationships/hyperlink" Target="https://community.max.gov/x/GBU6Jg" TargetMode="External"/><Relationship Id="rId3313" Type="http://schemas.openxmlformats.org/officeDocument/2006/relationships/hyperlink" Target="https://marketplace.fedramp.gov/img/logos/CSP_logos/MaaS360%20Logo.jpg" TargetMode="External"/><Relationship Id="rId3312" Type="http://schemas.openxmlformats.org/officeDocument/2006/relationships/hyperlink" Target="http://www.maas360.com" TargetMode="External"/><Relationship Id="rId3304" Type="http://schemas.openxmlformats.org/officeDocument/2006/relationships/hyperlink" Target="https://marketplace.fedramp.gov/img/logos/Agency_logos/768px-US-DeptOfTransportation-Seal.svg.png" TargetMode="External"/><Relationship Id="rId3303" Type="http://schemas.openxmlformats.org/officeDocument/2006/relationships/hyperlink" Target="https://marketplace.fedramp.gov/img/logos/CSP_logos/EconSys%20Logo.jpg" TargetMode="External"/><Relationship Id="rId3306" Type="http://schemas.openxmlformats.org/officeDocument/2006/relationships/hyperlink" Target="https://community.max.gov/download/attachments/992346706/ATO.Letter_MSO365_DoL_12.26.17.pdf?api=v2" TargetMode="External"/><Relationship Id="rId3305" Type="http://schemas.openxmlformats.org/officeDocument/2006/relationships/hyperlink" Target="https://community.max.gov/x/3JC6L" TargetMode="External"/><Relationship Id="rId3308" Type="http://schemas.openxmlformats.org/officeDocument/2006/relationships/hyperlink" Target="https://marketplace.fedramp.gov/img/logos/CSP_logos/Microsoft%20Logo.jpg" TargetMode="External"/><Relationship Id="rId3307" Type="http://schemas.openxmlformats.org/officeDocument/2006/relationships/hyperlink" Target="http://www.microsoft.office.com" TargetMode="External"/><Relationship Id="rId3309" Type="http://schemas.openxmlformats.org/officeDocument/2006/relationships/hyperlink" Target="https://marketplace.fedramp.gov/img/logos/Agency_logos/US-DeptOfLabor-Seal-AltColors.svg.png" TargetMode="External"/><Relationship Id="rId3300" Type="http://schemas.openxmlformats.org/officeDocument/2006/relationships/hyperlink" Target="https://community.max.gov/x/eoVSJw" TargetMode="External"/><Relationship Id="rId3302" Type="http://schemas.openxmlformats.org/officeDocument/2006/relationships/hyperlink" Target="http://www.fedhrnavigator.com/" TargetMode="External"/><Relationship Id="rId3301" Type="http://schemas.openxmlformats.org/officeDocument/2006/relationships/hyperlink" Target="https://community.max.gov/download/attachments/1155203360/ATO.Letter_EconSys_DoT_2.16.18.pdf?api=v2" TargetMode="External"/><Relationship Id="rId2005" Type="http://schemas.openxmlformats.org/officeDocument/2006/relationships/hyperlink" Target="http://www-01.ibm.com/software/lotus/cloud/government/" TargetMode="External"/><Relationship Id="rId3337" Type="http://schemas.openxmlformats.org/officeDocument/2006/relationships/hyperlink" Target="http://www.salesforce.com/industries/public-sector" TargetMode="External"/><Relationship Id="rId2006" Type="http://schemas.openxmlformats.org/officeDocument/2006/relationships/hyperlink" Target="https://marketplace.fedramp.gov/img/logos/CSP_logos/IBM%20Logo.jpg" TargetMode="External"/><Relationship Id="rId3336" Type="http://schemas.openxmlformats.org/officeDocument/2006/relationships/hyperlink" Target="https://community.max.gov/download/attachments/992346725/ATO.Letter_Salesforce_DoI_3.9.18.pdf?api=v2" TargetMode="External"/><Relationship Id="rId2007" Type="http://schemas.openxmlformats.org/officeDocument/2006/relationships/hyperlink" Target="https://marketplace.fedramp.gov/img/logos/Agency_logos/United_States_Department_of_Defense_Seal.png" TargetMode="External"/><Relationship Id="rId3339" Type="http://schemas.openxmlformats.org/officeDocument/2006/relationships/hyperlink" Target="https://marketplace.fedramp.gov/img/logos/Agency_logos/US-DeptOfTheInterior-Seal.png" TargetMode="External"/><Relationship Id="rId2008" Type="http://schemas.openxmlformats.org/officeDocument/2006/relationships/hyperlink" Target="https://community.max.gov/x/FgQpLg" TargetMode="External"/><Relationship Id="rId3338" Type="http://schemas.openxmlformats.org/officeDocument/2006/relationships/hyperlink" Target="https://marketplace.fedramp.gov/img/logos/CSP_logos/Salesforce%20Logo.jpg" TargetMode="External"/><Relationship Id="rId2009" Type="http://schemas.openxmlformats.org/officeDocument/2006/relationships/hyperlink" Target="https://community.max.gov/download/attachments/1155203545/ATO.Letter_GovDelivery_DoA_NIFA_01.10.17.pdf?api=v2" TargetMode="External"/><Relationship Id="rId3331" Type="http://schemas.openxmlformats.org/officeDocument/2006/relationships/hyperlink" Target="https://community.max.gov/download/attachments/1129612893/ATO.Letter_Accellion_DoI_3.9.18.pdf?api=v2" TargetMode="External"/><Relationship Id="rId2000" Type="http://schemas.openxmlformats.org/officeDocument/2006/relationships/hyperlink" Target="http://www.servicenow.com" TargetMode="External"/><Relationship Id="rId3330" Type="http://schemas.openxmlformats.org/officeDocument/2006/relationships/hyperlink" Target="https://community.max.gov/x/0h0kSQ" TargetMode="External"/><Relationship Id="rId2001" Type="http://schemas.openxmlformats.org/officeDocument/2006/relationships/hyperlink" Target="https://marketplace.fedramp.gov/img/logos/CSP_logos/ServiceNow%20Logo.jpg" TargetMode="External"/><Relationship Id="rId3333" Type="http://schemas.openxmlformats.org/officeDocument/2006/relationships/hyperlink" Target="https://marketplace.fedramp.gov/img/logos/CSP_logos/Accellion%20Logo.jpg" TargetMode="External"/><Relationship Id="rId2002" Type="http://schemas.openxmlformats.org/officeDocument/2006/relationships/hyperlink" Target="https://marketplace.fedramp.gov/img/logos/Agency_logos/DoS%20Logo.png" TargetMode="External"/><Relationship Id="rId3332" Type="http://schemas.openxmlformats.org/officeDocument/2006/relationships/hyperlink" Target="http://www.accellion.com/government" TargetMode="External"/><Relationship Id="rId2003" Type="http://schemas.openxmlformats.org/officeDocument/2006/relationships/hyperlink" Target="https://community.max.gov/x/RgLbR" TargetMode="External"/><Relationship Id="rId3335" Type="http://schemas.openxmlformats.org/officeDocument/2006/relationships/hyperlink" Target="https://community.max.gov/x/eQs3Kw" TargetMode="External"/><Relationship Id="rId2004" Type="http://schemas.openxmlformats.org/officeDocument/2006/relationships/hyperlink" Target="https://community.max.gov/download/attachments/1155203654/ATO.Letter_IBMSCG_DoD_DISA_10.07.16.pdf?api=v2" TargetMode="External"/><Relationship Id="rId3334" Type="http://schemas.openxmlformats.org/officeDocument/2006/relationships/hyperlink" Target="https://marketplace.fedramp.gov/img/logos/Agency_logos/US-DeptOfTheInterior-Seal.png" TargetMode="External"/><Relationship Id="rId3326" Type="http://schemas.openxmlformats.org/officeDocument/2006/relationships/hyperlink" Target="https://community.max.gov/download/attachments/1155203360/ATO.Letter_EconSys_PBGC_2.28.18.pdf?api=v2" TargetMode="External"/><Relationship Id="rId3325" Type="http://schemas.openxmlformats.org/officeDocument/2006/relationships/hyperlink" Target="https://community.max.gov/x/eoVSJw" TargetMode="External"/><Relationship Id="rId3328" Type="http://schemas.openxmlformats.org/officeDocument/2006/relationships/hyperlink" Target="https://marketplace.fedramp.gov/img/logos/CSP_logos/EconSys%20Logo.jpg" TargetMode="External"/><Relationship Id="rId3327" Type="http://schemas.openxmlformats.org/officeDocument/2006/relationships/hyperlink" Target="http://www.fedhrnavigator.com/" TargetMode="External"/><Relationship Id="rId3329" Type="http://schemas.openxmlformats.org/officeDocument/2006/relationships/hyperlink" Target="https://marketplace.fedramp.gov/img/logos/Agency_logos/PBGC%20logo.png" TargetMode="External"/><Relationship Id="rId3320" Type="http://schemas.openxmlformats.org/officeDocument/2006/relationships/hyperlink" Target="https://community.max.gov/x/GgwdJg" TargetMode="External"/><Relationship Id="rId3322" Type="http://schemas.openxmlformats.org/officeDocument/2006/relationships/hyperlink" Target="http://www.micropact.com" TargetMode="External"/><Relationship Id="rId3321" Type="http://schemas.openxmlformats.org/officeDocument/2006/relationships/hyperlink" Target="https://community.max.gov/download/attachments/992346701/ATO.Letter_MicroPact_PBGC_2.27.18.pdf?api=v2" TargetMode="External"/><Relationship Id="rId3324" Type="http://schemas.openxmlformats.org/officeDocument/2006/relationships/hyperlink" Target="https://marketplace.fedramp.gov/img/logos/Agency_logos/PBGC%20logo.png" TargetMode="External"/><Relationship Id="rId3323" Type="http://schemas.openxmlformats.org/officeDocument/2006/relationships/hyperlink" Target="https://marketplace.fedramp.gov/img/logos/CSP_logos/MicroPact%20Logo.jpg" TargetMode="External"/><Relationship Id="rId2090" Type="http://schemas.openxmlformats.org/officeDocument/2006/relationships/hyperlink" Target="https://marketplace.fedramp.gov/img/logos/Agency_logos/US-DeptOfHHS-Seal.png" TargetMode="External"/><Relationship Id="rId2091" Type="http://schemas.openxmlformats.org/officeDocument/2006/relationships/hyperlink" Target="https://community.max.gov/x/ApBJK" TargetMode="External"/><Relationship Id="rId2092" Type="http://schemas.openxmlformats.org/officeDocument/2006/relationships/hyperlink" Target="https://community.max.gov/download/attachments/1113425425/ATO.Letter_AWSGC_DoC_Census_02.14.17.pdf?api=v2" TargetMode="External"/><Relationship Id="rId2093" Type="http://schemas.openxmlformats.org/officeDocument/2006/relationships/hyperlink" Target="http://www.aws.amazon.com" TargetMode="External"/><Relationship Id="rId2094" Type="http://schemas.openxmlformats.org/officeDocument/2006/relationships/hyperlink" Target="https://marketplace.fedramp.gov/img/logos/CSP_logos/Amazon%20Logo.jpg" TargetMode="External"/><Relationship Id="rId2095" Type="http://schemas.openxmlformats.org/officeDocument/2006/relationships/hyperlink" Target="https://marketplace.fedramp.gov/img/logos/Agency_logos/US-DeptOfCommerce-Seal.png" TargetMode="External"/><Relationship Id="rId2096" Type="http://schemas.openxmlformats.org/officeDocument/2006/relationships/hyperlink" Target="https://community.max.gov/x/GAugKw" TargetMode="External"/><Relationship Id="rId2097" Type="http://schemas.openxmlformats.org/officeDocument/2006/relationships/hyperlink" Target="https://community.max.gov/download/attachments/936118328/ATO.Letter_Acquia_DoT_02.16.17.pdf?api=v2" TargetMode="External"/><Relationship Id="rId2098" Type="http://schemas.openxmlformats.org/officeDocument/2006/relationships/hyperlink" Target="http://www.acquia.com" TargetMode="External"/><Relationship Id="rId2099" Type="http://schemas.openxmlformats.org/officeDocument/2006/relationships/hyperlink" Target="https://marketplace.fedramp.gov/img/logos/CSP_logos/Acquia%20Logo.jpg" TargetMode="External"/><Relationship Id="rId3391" Type="http://schemas.openxmlformats.org/officeDocument/2006/relationships/hyperlink" Target="https://marketplace.fedramp.gov/img/logos/Agency_logos/PBGC%20logo.png" TargetMode="External"/><Relationship Id="rId2060" Type="http://schemas.openxmlformats.org/officeDocument/2006/relationships/hyperlink" Target="https://marketplace.fedramp.gov/img/logos/Agency_logos/United_States_Commission_of_Fine_Arts_-_seal.png" TargetMode="External"/><Relationship Id="rId3390" Type="http://schemas.openxmlformats.org/officeDocument/2006/relationships/hyperlink" Target="https://marketplace.fedramp.gov/img/logos/CSP_logos/Acquia%20Logo.jpg" TargetMode="External"/><Relationship Id="rId2061" Type="http://schemas.openxmlformats.org/officeDocument/2006/relationships/hyperlink" Target="https://community.max.gov/x/DpBJK" TargetMode="External"/><Relationship Id="rId3393" Type="http://schemas.openxmlformats.org/officeDocument/2006/relationships/hyperlink" Target="https://community.max.gov/download/attachments/1155203349/ATO.Letter_MIS_DoD_USMC_4.3.18.pdf?api=v2" TargetMode="External"/><Relationship Id="rId2062" Type="http://schemas.openxmlformats.org/officeDocument/2006/relationships/hyperlink" Target="https://community.max.gov/download/attachments/1115488742/ATO.Letter_AWSEW_DoT_IRS_02.06.17.pdf?api=v2" TargetMode="External"/><Relationship Id="rId3392" Type="http://schemas.openxmlformats.org/officeDocument/2006/relationships/hyperlink" Target="https://community.max.gov/x/ZgK0LQ" TargetMode="External"/><Relationship Id="rId2063" Type="http://schemas.openxmlformats.org/officeDocument/2006/relationships/hyperlink" Target="http://www.aws.amazon.com" TargetMode="External"/><Relationship Id="rId3395" Type="http://schemas.openxmlformats.org/officeDocument/2006/relationships/hyperlink" Target="https://marketplace.fedramp.gov/img/logos/CSP_logos/MIS%20Sciences%20Logo.jpg" TargetMode="External"/><Relationship Id="rId2064" Type="http://schemas.openxmlformats.org/officeDocument/2006/relationships/hyperlink" Target="https://marketplace.fedramp.gov/img/logos/CSP_logos/Amazon%20Logo.jpg" TargetMode="External"/><Relationship Id="rId3394" Type="http://schemas.openxmlformats.org/officeDocument/2006/relationships/hyperlink" Target="http://www.mis-sciences.com" TargetMode="External"/><Relationship Id="rId2065" Type="http://schemas.openxmlformats.org/officeDocument/2006/relationships/hyperlink" Target="https://marketplace.fedramp.gov/img/logos/Agency_logos/US-DeptOfTheTreasury-Seal.png" TargetMode="External"/><Relationship Id="rId3397" Type="http://schemas.openxmlformats.org/officeDocument/2006/relationships/hyperlink" Target="https://community.max.gov/x/34ngVQ" TargetMode="External"/><Relationship Id="rId2066" Type="http://schemas.openxmlformats.org/officeDocument/2006/relationships/hyperlink" Target="https://community.max.gov/x/FgQpLg" TargetMode="External"/><Relationship Id="rId3396" Type="http://schemas.openxmlformats.org/officeDocument/2006/relationships/hyperlink" Target="https://marketplace.fedramp.gov/img/logos/Agency_logos/United_States_Department_of_Defense_Seal.png" TargetMode="External"/><Relationship Id="rId2067" Type="http://schemas.openxmlformats.org/officeDocument/2006/relationships/hyperlink" Target="https://community.max.gov/download/attachments/1155203545/ATO.Letter_GovDelivery_FCA_02.09.17.pdf?api=v2" TargetMode="External"/><Relationship Id="rId3399" Type="http://schemas.openxmlformats.org/officeDocument/2006/relationships/hyperlink" Target="https://gsuite.google.com/" TargetMode="External"/><Relationship Id="rId2068" Type="http://schemas.openxmlformats.org/officeDocument/2006/relationships/hyperlink" Target="http://www.granicus.com" TargetMode="External"/><Relationship Id="rId3398" Type="http://schemas.openxmlformats.org/officeDocument/2006/relationships/hyperlink" Target="https://community.max.gov/download/attachments/1531087271/ATO.Letter_Google_DoC_NOAA_3.30.18.pdf?api=v2" TargetMode="External"/><Relationship Id="rId2069" Type="http://schemas.openxmlformats.org/officeDocument/2006/relationships/hyperlink" Target="https://marketplace.fedramp.gov/img/logos/CSP_logos/Granicus%20Logo.jpg" TargetMode="External"/><Relationship Id="rId3380" Type="http://schemas.openxmlformats.org/officeDocument/2006/relationships/hyperlink" Target="https://marketplace.fedramp.gov/img/logos/CSP_logos/Box%20Logo.jpg" TargetMode="External"/><Relationship Id="rId2050" Type="http://schemas.openxmlformats.org/officeDocument/2006/relationships/hyperlink" Target="https://marketplace.fedramp.gov/img/logos/CSP_logos/Oracle%20Logo.jpg" TargetMode="External"/><Relationship Id="rId3382" Type="http://schemas.openxmlformats.org/officeDocument/2006/relationships/hyperlink" Target="https://community.max.gov/x/-oSIOg" TargetMode="External"/><Relationship Id="rId2051" Type="http://schemas.openxmlformats.org/officeDocument/2006/relationships/hyperlink" Target="https://community.max.gov/x/QoWaP" TargetMode="External"/><Relationship Id="rId3381" Type="http://schemas.openxmlformats.org/officeDocument/2006/relationships/hyperlink" Target="https://marketplace.fedramp.gov/img/logos/Agency_logos/US-FCC-Seal.png" TargetMode="External"/><Relationship Id="rId2052" Type="http://schemas.openxmlformats.org/officeDocument/2006/relationships/hyperlink" Target="https://community.max.gov/download/attachments/1155203837/ATO.Letter_ServiceNow_NASA_10.28.16.pdf?api=v2" TargetMode="External"/><Relationship Id="rId3384" Type="http://schemas.openxmlformats.org/officeDocument/2006/relationships/hyperlink" Target="https://www.okta.com/" TargetMode="External"/><Relationship Id="rId2053" Type="http://schemas.openxmlformats.org/officeDocument/2006/relationships/hyperlink" Target="http://www.servicenow.com" TargetMode="External"/><Relationship Id="rId3383" Type="http://schemas.openxmlformats.org/officeDocument/2006/relationships/hyperlink" Target="https://community.max.gov/download/attachments/982025475/ATO.Letter_Okta_FCC_12.7.17.pdf?api=v2" TargetMode="External"/><Relationship Id="rId2054" Type="http://schemas.openxmlformats.org/officeDocument/2006/relationships/hyperlink" Target="https://marketplace.fedramp.gov/img/logos/CSP_logos/ServiceNow%20Logo.jpg" TargetMode="External"/><Relationship Id="rId3386" Type="http://schemas.openxmlformats.org/officeDocument/2006/relationships/hyperlink" Target="https://marketplace.fedramp.gov/img/logos/Agency_logos/US-FCC-Seal.png" TargetMode="External"/><Relationship Id="rId2055" Type="http://schemas.openxmlformats.org/officeDocument/2006/relationships/hyperlink" Target="https://marketplace.fedramp.gov/img/logos/Agency_logos/NASA_logo.png" TargetMode="External"/><Relationship Id="rId3385" Type="http://schemas.openxmlformats.org/officeDocument/2006/relationships/hyperlink" Target="https://marketplace.fedramp.gov/img/logos/CSP_logos/Okta%20Logo.jpg" TargetMode="External"/><Relationship Id="rId2056" Type="http://schemas.openxmlformats.org/officeDocument/2006/relationships/hyperlink" Target="https://community.max.gov/x/VJM5JQ" TargetMode="External"/><Relationship Id="rId3388" Type="http://schemas.openxmlformats.org/officeDocument/2006/relationships/hyperlink" Target="https://community.max.gov/download/attachments/936118328/ATO.Letter_Acquia_PBGC_3.23.18.pdf?api=v2" TargetMode="External"/><Relationship Id="rId2057" Type="http://schemas.openxmlformats.org/officeDocument/2006/relationships/hyperlink" Target="https://community.max.gov/download/attachments/1116602747/ATO.Letter_CGI_CFA_02.06.17.pdf?api=v2" TargetMode="External"/><Relationship Id="rId3387" Type="http://schemas.openxmlformats.org/officeDocument/2006/relationships/hyperlink" Target="https://community.max.gov/x/GAugKw" TargetMode="External"/><Relationship Id="rId2058" Type="http://schemas.openxmlformats.org/officeDocument/2006/relationships/hyperlink" Target="http://www.cgi.com" TargetMode="External"/><Relationship Id="rId2059" Type="http://schemas.openxmlformats.org/officeDocument/2006/relationships/hyperlink" Target="https://marketplace.fedramp.gov/img/logos/CSP_logos/CGI%20Federal.jpg" TargetMode="External"/><Relationship Id="rId3389" Type="http://schemas.openxmlformats.org/officeDocument/2006/relationships/hyperlink" Target="http://www.acquia.com" TargetMode="External"/><Relationship Id="rId2080" Type="http://schemas.openxmlformats.org/officeDocument/2006/relationships/hyperlink" Target="https://marketplace.fedramp.gov/img/logos/Agency_logos/US-DeptOfHHS-Seal.png" TargetMode="External"/><Relationship Id="rId2081" Type="http://schemas.openxmlformats.org/officeDocument/2006/relationships/hyperlink" Target="https://community.max.gov/x/EYGKLQ" TargetMode="External"/><Relationship Id="rId2082" Type="http://schemas.openxmlformats.org/officeDocument/2006/relationships/hyperlink" Target="https://community.max.gov/download/attachments/882934025/Sites.USA.gov%20Limited%20Authority%20to%20Operate%20%28LATO%29%20Memo%2020170214.pdf?api=v2" TargetMode="External"/><Relationship Id="rId2083" Type="http://schemas.openxmlformats.org/officeDocument/2006/relationships/hyperlink" Target="http://www.projecthosts.com" TargetMode="External"/><Relationship Id="rId2084" Type="http://schemas.openxmlformats.org/officeDocument/2006/relationships/hyperlink" Target="https://marketplace.fedramp.gov/img/logos/CSP_logos/Project%20Hosts%20Logo.jpg" TargetMode="External"/><Relationship Id="rId2085" Type="http://schemas.openxmlformats.org/officeDocument/2006/relationships/hyperlink" Target="https://marketplace.fedramp.gov/img/logos/Agency_logos/GSAlogo.png" TargetMode="External"/><Relationship Id="rId2086" Type="http://schemas.openxmlformats.org/officeDocument/2006/relationships/hyperlink" Target="https://community.max.gov/x/ZAVyRg" TargetMode="External"/><Relationship Id="rId2087" Type="http://schemas.openxmlformats.org/officeDocument/2006/relationships/hyperlink" Target="https://community.max.gov/download/attachments/1181877635/ATO.Letter_CiscoHCSG_HHS_02.01.17.pdf?api=v2" TargetMode="External"/><Relationship Id="rId2088" Type="http://schemas.openxmlformats.org/officeDocument/2006/relationships/hyperlink" Target="http://www.cisco.com" TargetMode="External"/><Relationship Id="rId2089" Type="http://schemas.openxmlformats.org/officeDocument/2006/relationships/hyperlink" Target="https://marketplace.fedramp.gov/img/logos/CSP_logos/Cisco%20Logo.jpg" TargetMode="External"/><Relationship Id="rId2070" Type="http://schemas.openxmlformats.org/officeDocument/2006/relationships/hyperlink" Target="https://marketplace.fedramp.gov/img/logos/Agency_logos/FCA%20Logo.jpg" TargetMode="External"/><Relationship Id="rId2071" Type="http://schemas.openxmlformats.org/officeDocument/2006/relationships/hyperlink" Target="https://community.max.gov/x/FgQpLg" TargetMode="External"/><Relationship Id="rId2072" Type="http://schemas.openxmlformats.org/officeDocument/2006/relationships/hyperlink" Target="https://community.max.gov/download/attachments/1155203545/ATO.Letter_GovDelivery_FHFA_02.13.17.pdf?api=v2" TargetMode="External"/><Relationship Id="rId2073" Type="http://schemas.openxmlformats.org/officeDocument/2006/relationships/hyperlink" Target="http://www.granicus.com" TargetMode="External"/><Relationship Id="rId2074" Type="http://schemas.openxmlformats.org/officeDocument/2006/relationships/hyperlink" Target="https://marketplace.fedramp.gov/img/logos/CSP_logos/Granicus%20Logo.jpg" TargetMode="External"/><Relationship Id="rId2075" Type="http://schemas.openxmlformats.org/officeDocument/2006/relationships/hyperlink" Target="https://marketplace.fedramp.gov/img/logos/Agency_logos/FHFA%20Logo.jpg" TargetMode="External"/><Relationship Id="rId2076" Type="http://schemas.openxmlformats.org/officeDocument/2006/relationships/hyperlink" Target="https://community.max.gov/x/lAC8Mg" TargetMode="External"/><Relationship Id="rId2077" Type="http://schemas.openxmlformats.org/officeDocument/2006/relationships/hyperlink" Target="https://community.max.gov/download/attachments/1115488812/ATO.Letter_Appian_HHS_FDA_02.09.17.pdf?api=v2" TargetMode="External"/><Relationship Id="rId2078" Type="http://schemas.openxmlformats.org/officeDocument/2006/relationships/hyperlink" Target="http://www.appian.com" TargetMode="External"/><Relationship Id="rId2079" Type="http://schemas.openxmlformats.org/officeDocument/2006/relationships/hyperlink" Target="https://marketplace.fedramp.gov/img/logos/CSP_logos/Appian%20Logo.jpg" TargetMode="External"/><Relationship Id="rId2940" Type="http://schemas.openxmlformats.org/officeDocument/2006/relationships/hyperlink" Target="https://marketplace.fedramp.gov/img/logos/Agency_logos/US-DeptOfAgriculture-Seal2.png" TargetMode="External"/><Relationship Id="rId1610" Type="http://schemas.openxmlformats.org/officeDocument/2006/relationships/hyperlink" Target="https://community.max.gov/x/UQK2PQ" TargetMode="External"/><Relationship Id="rId2941" Type="http://schemas.openxmlformats.org/officeDocument/2006/relationships/hyperlink" Target="https://community.max.gov/x/TAQeSQ" TargetMode="External"/><Relationship Id="rId1611" Type="http://schemas.openxmlformats.org/officeDocument/2006/relationships/hyperlink" Target="https://community.max.gov/download/attachments/779322127/ATO.Letter_Box_DoT_09.27.16.pdf?api=v2" TargetMode="External"/><Relationship Id="rId2942" Type="http://schemas.openxmlformats.org/officeDocument/2006/relationships/hyperlink" Target="https://community.max.gov/download/attachments/1226703953/ATO.Letter_NG_BBG_04.03.17.pdf?api=v2" TargetMode="External"/><Relationship Id="rId1612" Type="http://schemas.openxmlformats.org/officeDocument/2006/relationships/hyperlink" Target="http://www.box.com" TargetMode="External"/><Relationship Id="rId2943" Type="http://schemas.openxmlformats.org/officeDocument/2006/relationships/hyperlink" Target="http://www.northropgrumman.com" TargetMode="External"/><Relationship Id="rId1613" Type="http://schemas.openxmlformats.org/officeDocument/2006/relationships/hyperlink" Target="https://marketplace.fedramp.gov/img/logos/CSP_logos/Box%20Logo.jpg" TargetMode="External"/><Relationship Id="rId2944" Type="http://schemas.openxmlformats.org/officeDocument/2006/relationships/hyperlink" Target="https://marketplace.fedramp.gov/img/logos/CSP_logos/Northrop%20Grumman%20Logo.jpg" TargetMode="External"/><Relationship Id="rId1614" Type="http://schemas.openxmlformats.org/officeDocument/2006/relationships/hyperlink" Target="https://marketplace.fedramp.gov/img/logos/Agency_logos/US-DeptOfTheTreasury-Seal.png" TargetMode="External"/><Relationship Id="rId2945" Type="http://schemas.openxmlformats.org/officeDocument/2006/relationships/hyperlink" Target="https://marketplace.fedramp.gov/img/logos/Agency_logos/BBG%20Logo.jpg" TargetMode="External"/><Relationship Id="rId1615" Type="http://schemas.openxmlformats.org/officeDocument/2006/relationships/hyperlink" Target="https://community.max.gov/x/34ngVQ" TargetMode="External"/><Relationship Id="rId2946" Type="http://schemas.openxmlformats.org/officeDocument/2006/relationships/hyperlink" Target="https://community.max.gov/x/zAebJw" TargetMode="External"/><Relationship Id="rId1616" Type="http://schemas.openxmlformats.org/officeDocument/2006/relationships/hyperlink" Target="https://community.max.gov/download/attachments/1531087274/ATO.Letter_Google_GSA_09.26.16.pdf?api=v2" TargetMode="External"/><Relationship Id="rId2947" Type="http://schemas.openxmlformats.org/officeDocument/2006/relationships/hyperlink" Target="https://community.max.gov/download/attachments/1155203715/ATO.Letter_IT-CNP_GSA_9.28.17.pdf?api=v2" TargetMode="External"/><Relationship Id="rId907" Type="http://schemas.openxmlformats.org/officeDocument/2006/relationships/hyperlink" Target="https://community.max.gov/download/attachments/992346701/ATO.Letter_Micropact_DHS_CBP_02.12.15.pdf?api=v2" TargetMode="External"/><Relationship Id="rId1617" Type="http://schemas.openxmlformats.org/officeDocument/2006/relationships/hyperlink" Target="https://gsuite.google.com/" TargetMode="External"/><Relationship Id="rId2948" Type="http://schemas.openxmlformats.org/officeDocument/2006/relationships/hyperlink" Target="http://www.govdatahosting.com/" TargetMode="External"/><Relationship Id="rId906" Type="http://schemas.openxmlformats.org/officeDocument/2006/relationships/hyperlink" Target="https://community.max.gov/x/GgwdJg" TargetMode="External"/><Relationship Id="rId1618" Type="http://schemas.openxmlformats.org/officeDocument/2006/relationships/hyperlink" Target="https://marketplace.fedramp.gov/img/logos/CSP_logos/Google%20Logo.jpg" TargetMode="External"/><Relationship Id="rId2949" Type="http://schemas.openxmlformats.org/officeDocument/2006/relationships/hyperlink" Target="https://marketplace.fedramp.gov/img/logos/CSP_logos/IT-CNP%20Logo.jpg" TargetMode="External"/><Relationship Id="rId905" Type="http://schemas.openxmlformats.org/officeDocument/2006/relationships/hyperlink" Target="https://marketplace.fedramp.gov/img/logos/Agency_logos/GSAlogo.png" TargetMode="External"/><Relationship Id="rId1619" Type="http://schemas.openxmlformats.org/officeDocument/2006/relationships/hyperlink" Target="https://marketplace.fedramp.gov/img/logos/Agency_logos/GSAlogo.png" TargetMode="External"/><Relationship Id="rId904" Type="http://schemas.openxmlformats.org/officeDocument/2006/relationships/hyperlink" Target="https://marketplace.fedramp.gov/img/logos/CSP_logos/USDA%20Logo.jpg" TargetMode="External"/><Relationship Id="rId909" Type="http://schemas.openxmlformats.org/officeDocument/2006/relationships/hyperlink" Target="https://marketplace.fedramp.gov/img/logos/CSP_logos/MicroPact%20Logo.jpg" TargetMode="External"/><Relationship Id="rId908" Type="http://schemas.openxmlformats.org/officeDocument/2006/relationships/hyperlink" Target="http://www.micropact.com" TargetMode="External"/><Relationship Id="rId903" Type="http://schemas.openxmlformats.org/officeDocument/2006/relationships/hyperlink" Target="http://www.ocio.usda.gov/about-ocio/data-center-operations/nitc-cloud-services" TargetMode="External"/><Relationship Id="rId902" Type="http://schemas.openxmlformats.org/officeDocument/2006/relationships/hyperlink" Target="https://community.max.gov/download/attachments/992346739/ATO.Letter_USDA_NITC_GSA_07.17.15.pdf?api=v2" TargetMode="External"/><Relationship Id="rId901" Type="http://schemas.openxmlformats.org/officeDocument/2006/relationships/hyperlink" Target="https://community.max.gov/x/w4ZYL" TargetMode="External"/><Relationship Id="rId900" Type="http://schemas.openxmlformats.org/officeDocument/2006/relationships/hyperlink" Target="https://marketplace.fedramp.gov/img/logos/Agency_logos/GSAlogo.png" TargetMode="External"/><Relationship Id="rId2930" Type="http://schemas.openxmlformats.org/officeDocument/2006/relationships/hyperlink" Target="https://marketplace.fedramp.gov/img/logos/Agency_logos/PBGC%20logo.png" TargetMode="External"/><Relationship Id="rId1600" Type="http://schemas.openxmlformats.org/officeDocument/2006/relationships/hyperlink" Target="https://community.max.gov/x/DpBJK" TargetMode="External"/><Relationship Id="rId2931" Type="http://schemas.openxmlformats.org/officeDocument/2006/relationships/hyperlink" Target="https://community.max.gov/x/AYIHJw" TargetMode="External"/><Relationship Id="rId1601" Type="http://schemas.openxmlformats.org/officeDocument/2006/relationships/hyperlink" Target="https://community.max.gov/download/attachments/1113425425/ATO.Letter_AWSGC_DOE_NNSA_LLNL_09.16.16.PDF?api=v2" TargetMode="External"/><Relationship Id="rId2932" Type="http://schemas.openxmlformats.org/officeDocument/2006/relationships/hyperlink" Target="https://community.max.gov/download/attachments/1155204052/ATO.Letter_Virtustream_USDA_11.10.16.pdf?api=v2" TargetMode="External"/><Relationship Id="rId1602" Type="http://schemas.openxmlformats.org/officeDocument/2006/relationships/hyperlink" Target="http://www.aws.amazon.com" TargetMode="External"/><Relationship Id="rId2933" Type="http://schemas.openxmlformats.org/officeDocument/2006/relationships/hyperlink" Target="http://www.virtustream.com" TargetMode="External"/><Relationship Id="rId1603" Type="http://schemas.openxmlformats.org/officeDocument/2006/relationships/hyperlink" Target="https://marketplace.fedramp.gov/img/logos/CSP_logos/Amazon%20Logo.jpg" TargetMode="External"/><Relationship Id="rId2934" Type="http://schemas.openxmlformats.org/officeDocument/2006/relationships/hyperlink" Target="https://marketplace.fedramp.gov/img/logos/CSP_logos/Virtustream%20Logo.jpg" TargetMode="External"/><Relationship Id="rId1604" Type="http://schemas.openxmlformats.org/officeDocument/2006/relationships/hyperlink" Target="https://marketplace.fedramp.gov/img/logos/Agency_logos/US-DeptOfEnergy-Seal.png" TargetMode="External"/><Relationship Id="rId2935" Type="http://schemas.openxmlformats.org/officeDocument/2006/relationships/hyperlink" Target="https://marketplace.fedramp.gov/img/logos/Agency_logos/US-DeptOfAgriculture-Seal2.png" TargetMode="External"/><Relationship Id="rId1605" Type="http://schemas.openxmlformats.org/officeDocument/2006/relationships/hyperlink" Target="https://community.max.gov/x/VJM5JQ" TargetMode="External"/><Relationship Id="rId2936" Type="http://schemas.openxmlformats.org/officeDocument/2006/relationships/hyperlink" Target="https://community.max.gov/x/AYIHJw" TargetMode="External"/><Relationship Id="rId1606" Type="http://schemas.openxmlformats.org/officeDocument/2006/relationships/hyperlink" Target="https://community.max.gov/download/attachments/1116602747/ATO.Letter_CGI_DHS_ICE_09.13.16.pdf?api=v2" TargetMode="External"/><Relationship Id="rId2937" Type="http://schemas.openxmlformats.org/officeDocument/2006/relationships/hyperlink" Target="https://community.max.gov/download/attachments/1155204052/ATO.Letter_Virtustream2_USDA_11.10.16.pdf?api=v2" TargetMode="External"/><Relationship Id="rId1607" Type="http://schemas.openxmlformats.org/officeDocument/2006/relationships/hyperlink" Target="http://www.cgi.com" TargetMode="External"/><Relationship Id="rId2938" Type="http://schemas.openxmlformats.org/officeDocument/2006/relationships/hyperlink" Target="http://www.virtustream.com" TargetMode="External"/><Relationship Id="rId1608" Type="http://schemas.openxmlformats.org/officeDocument/2006/relationships/hyperlink" Target="https://marketplace.fedramp.gov/img/logos/CSP_logos/CGI%20Federal.jpg" TargetMode="External"/><Relationship Id="rId2939" Type="http://schemas.openxmlformats.org/officeDocument/2006/relationships/hyperlink" Target="https://marketplace.fedramp.gov/img/logos/CSP_logos/Virtustream%20Logo.jpg" TargetMode="External"/><Relationship Id="rId1609" Type="http://schemas.openxmlformats.org/officeDocument/2006/relationships/hyperlink" Target="https://marketplace.fedramp.gov/img/logos/Agency_logos/Seal_of_the_United_States_Department_of_Homeland_Security.png" TargetMode="External"/><Relationship Id="rId1631" Type="http://schemas.openxmlformats.org/officeDocument/2006/relationships/hyperlink" Target="https://community.max.gov/download/attachments/1115488742/ATO.Letter_AWSEW_DOE_FERC_09.26.16.pdf?api=v2" TargetMode="External"/><Relationship Id="rId2962" Type="http://schemas.openxmlformats.org/officeDocument/2006/relationships/hyperlink" Target="https://community.max.gov/download/attachments/1155203837/ATO.Letter_ServiceNow_DoC_ITA_10.12.16.pdf?api=v2" TargetMode="External"/><Relationship Id="rId1632" Type="http://schemas.openxmlformats.org/officeDocument/2006/relationships/hyperlink" Target="http://www.aws.amazon.com" TargetMode="External"/><Relationship Id="rId2963" Type="http://schemas.openxmlformats.org/officeDocument/2006/relationships/hyperlink" Target="http://www.servicenow.com" TargetMode="External"/><Relationship Id="rId1633" Type="http://schemas.openxmlformats.org/officeDocument/2006/relationships/hyperlink" Target="https://marketplace.fedramp.gov/img/logos/CSP_logos/Amazon%20Logo.jpg" TargetMode="External"/><Relationship Id="rId2964" Type="http://schemas.openxmlformats.org/officeDocument/2006/relationships/hyperlink" Target="https://marketplace.fedramp.gov/img/logos/CSP_logos/ServiceNow%20Logo.jpg" TargetMode="External"/><Relationship Id="rId1634" Type="http://schemas.openxmlformats.org/officeDocument/2006/relationships/hyperlink" Target="https://marketplace.fedramp.gov/img/logos/Agency_logos/US-DeptOfEnergy-Seal.png" TargetMode="External"/><Relationship Id="rId2965" Type="http://schemas.openxmlformats.org/officeDocument/2006/relationships/hyperlink" Target="https://marketplace.fedramp.gov/img/logos/Agency_logos/US-DeptOfCommerce-Seal.png" TargetMode="External"/><Relationship Id="rId1635" Type="http://schemas.openxmlformats.org/officeDocument/2006/relationships/hyperlink" Target="https://community.max.gov/x/3JC6L" TargetMode="External"/><Relationship Id="rId2966" Type="http://schemas.openxmlformats.org/officeDocument/2006/relationships/hyperlink" Target="https://community.max.gov/x/DpBJK" TargetMode="External"/><Relationship Id="rId1636" Type="http://schemas.openxmlformats.org/officeDocument/2006/relationships/hyperlink" Target="https://community.max.gov/download/attachments/992346706/ATO.Letter_MSO365_DOE_FERC_09.26.16.pdf?api=v2" TargetMode="External"/><Relationship Id="rId2967" Type="http://schemas.openxmlformats.org/officeDocument/2006/relationships/hyperlink" Target="https://community.max.gov/download/attachments/1115488742/ATO.Letter_AWSEW_DoC_ITA_11.7.16.pdf?api=v2" TargetMode="External"/><Relationship Id="rId1637" Type="http://schemas.openxmlformats.org/officeDocument/2006/relationships/hyperlink" Target="http://www.microsoft.office.com" TargetMode="External"/><Relationship Id="rId2968" Type="http://schemas.openxmlformats.org/officeDocument/2006/relationships/hyperlink" Target="http://www.aws.amazon.com" TargetMode="External"/><Relationship Id="rId1638" Type="http://schemas.openxmlformats.org/officeDocument/2006/relationships/hyperlink" Target="https://marketplace.fedramp.gov/img/logos/CSP_logos/Microsoft%20Logo.jpg" TargetMode="External"/><Relationship Id="rId2969" Type="http://schemas.openxmlformats.org/officeDocument/2006/relationships/hyperlink" Target="https://marketplace.fedramp.gov/img/logos/CSP_logos/Amazon%20Logo.jpg" TargetMode="External"/><Relationship Id="rId929" Type="http://schemas.openxmlformats.org/officeDocument/2006/relationships/hyperlink" Target="https://marketplace.fedramp.gov/img/logos/CSP_logos/Microsoft%20Logo.jpg" TargetMode="External"/><Relationship Id="rId1639" Type="http://schemas.openxmlformats.org/officeDocument/2006/relationships/hyperlink" Target="https://marketplace.fedramp.gov/img/logos/Agency_logos/US-DeptOfEnergy-Seal.png" TargetMode="External"/><Relationship Id="rId928" Type="http://schemas.openxmlformats.org/officeDocument/2006/relationships/hyperlink" Target="http://www.microsoft.office.com" TargetMode="External"/><Relationship Id="rId927" Type="http://schemas.openxmlformats.org/officeDocument/2006/relationships/hyperlink" Target="https://community.max.gov/download/attachments/992346706/ATO.Letter_MSO365_DHS_4.13.15.pdf?api=v2" TargetMode="External"/><Relationship Id="rId926" Type="http://schemas.openxmlformats.org/officeDocument/2006/relationships/hyperlink" Target="https://community.max.gov/x/3JC6L" TargetMode="External"/><Relationship Id="rId921" Type="http://schemas.openxmlformats.org/officeDocument/2006/relationships/hyperlink" Target="https://community.max.gov/x/VJM5JQ" TargetMode="External"/><Relationship Id="rId920" Type="http://schemas.openxmlformats.org/officeDocument/2006/relationships/hyperlink" Target="https://marketplace.fedramp.gov/img/logos/Agency_logos/Seal_of_the_United_States_Department_of_Homeland_Security.png" TargetMode="External"/><Relationship Id="rId925" Type="http://schemas.openxmlformats.org/officeDocument/2006/relationships/hyperlink" Target="https://marketplace.fedramp.gov/img/logos/Agency_logos/Seal_of_the_United_States_Department_of_Homeland_Security.png" TargetMode="External"/><Relationship Id="rId924" Type="http://schemas.openxmlformats.org/officeDocument/2006/relationships/hyperlink" Target="https://marketplace.fedramp.gov/img/logos/CSP_logos/CGI%20Federal.jpg" TargetMode="External"/><Relationship Id="rId923" Type="http://schemas.openxmlformats.org/officeDocument/2006/relationships/hyperlink" Target="http://www.cgi.com" TargetMode="External"/><Relationship Id="rId922" Type="http://schemas.openxmlformats.org/officeDocument/2006/relationships/hyperlink" Target="https://community.max.gov/download/attachments/1116602747/ATO.Letter_CGI_DHS_11.20.14.pdf?api=v2" TargetMode="External"/><Relationship Id="rId2960" Type="http://schemas.openxmlformats.org/officeDocument/2006/relationships/hyperlink" Target="https://marketplace.fedramp.gov/img/logos/Agency_logos/United_States_Department_of_Defense_Seal.png" TargetMode="External"/><Relationship Id="rId1630" Type="http://schemas.openxmlformats.org/officeDocument/2006/relationships/hyperlink" Target="https://community.max.gov/x/DpBJK" TargetMode="External"/><Relationship Id="rId2961" Type="http://schemas.openxmlformats.org/officeDocument/2006/relationships/hyperlink" Target="https://community.max.gov/x/QoWaP" TargetMode="External"/><Relationship Id="rId1620" Type="http://schemas.openxmlformats.org/officeDocument/2006/relationships/hyperlink" Target="https://community.max.gov/x/DpBJK" TargetMode="External"/><Relationship Id="rId2951" Type="http://schemas.openxmlformats.org/officeDocument/2006/relationships/hyperlink" Target="https://community.max.gov/x/3JC6L" TargetMode="External"/><Relationship Id="rId1621" Type="http://schemas.openxmlformats.org/officeDocument/2006/relationships/hyperlink" Target="https://community.max.gov/download/attachments/1115488742/ATO.Letter_AWSEW_USAID_07.14.16.pdf?api=v2" TargetMode="External"/><Relationship Id="rId2952" Type="http://schemas.openxmlformats.org/officeDocument/2006/relationships/hyperlink" Target="https://community.max.gov/download/attachments/992346706/ATO.Letter_MSO365_DoC_NIST_2.14.17.pdf?api=v2" TargetMode="External"/><Relationship Id="rId1622" Type="http://schemas.openxmlformats.org/officeDocument/2006/relationships/hyperlink" Target="http://www.aws.amazon.com" TargetMode="External"/><Relationship Id="rId2953" Type="http://schemas.openxmlformats.org/officeDocument/2006/relationships/hyperlink" Target="http://www.microsoft.office.com" TargetMode="External"/><Relationship Id="rId1623" Type="http://schemas.openxmlformats.org/officeDocument/2006/relationships/hyperlink" Target="https://marketplace.fedramp.gov/img/logos/CSP_logos/Amazon%20Logo.jpg" TargetMode="External"/><Relationship Id="rId2954" Type="http://schemas.openxmlformats.org/officeDocument/2006/relationships/hyperlink" Target="https://marketplace.fedramp.gov/img/logos/CSP_logos/Microsoft%20Logo.jpg" TargetMode="External"/><Relationship Id="rId1624" Type="http://schemas.openxmlformats.org/officeDocument/2006/relationships/hyperlink" Target="https://marketplace.fedramp.gov/img/logos/Agency_logos/USAID-Seal.png" TargetMode="External"/><Relationship Id="rId2955" Type="http://schemas.openxmlformats.org/officeDocument/2006/relationships/hyperlink" Target="https://marketplace.fedramp.gov/img/logos/Agency_logos/US-DeptOfCommerce-Seal.png" TargetMode="External"/><Relationship Id="rId1625" Type="http://schemas.openxmlformats.org/officeDocument/2006/relationships/hyperlink" Target="https://community.max.gov/x/QoWaP" TargetMode="External"/><Relationship Id="rId2956" Type="http://schemas.openxmlformats.org/officeDocument/2006/relationships/hyperlink" Target="https://community.max.gov/x/Kg1nTQ" TargetMode="External"/><Relationship Id="rId1626" Type="http://schemas.openxmlformats.org/officeDocument/2006/relationships/hyperlink" Target="https://community.max.gov/download/attachments/1155203837/ATO.Letter_ServiceNow_DOE_FERC_09.26.16.pdf?api=v2" TargetMode="External"/><Relationship Id="rId2957" Type="http://schemas.openxmlformats.org/officeDocument/2006/relationships/hyperlink" Target="https://community.max.gov/download/attachments/717688549/ATO.Letter_inContact_DoD_Army_8.22.17.pdf?api=v2" TargetMode="External"/><Relationship Id="rId1627" Type="http://schemas.openxmlformats.org/officeDocument/2006/relationships/hyperlink" Target="http://www.servicenow.com" TargetMode="External"/><Relationship Id="rId2958" Type="http://schemas.openxmlformats.org/officeDocument/2006/relationships/hyperlink" Target="http://www.niceincontact.com/FedRAMP-compliant-contact-center" TargetMode="External"/><Relationship Id="rId918" Type="http://schemas.openxmlformats.org/officeDocument/2006/relationships/hyperlink" Target="http://www.cgi.com" TargetMode="External"/><Relationship Id="rId1628" Type="http://schemas.openxmlformats.org/officeDocument/2006/relationships/hyperlink" Target="https://marketplace.fedramp.gov/img/logos/CSP_logos/ServiceNow%20Logo.jpg" TargetMode="External"/><Relationship Id="rId2959" Type="http://schemas.openxmlformats.org/officeDocument/2006/relationships/hyperlink" Target="https://marketplace.fedramp.gov/img/logos/CSP_logos/NICE%20inContact%20Logo.jpg" TargetMode="External"/><Relationship Id="rId917" Type="http://schemas.openxmlformats.org/officeDocument/2006/relationships/hyperlink" Target="https://community.max.gov/download/attachments/1116602747/ATO.Letter_CGI_DHS_09.21.15.pdf?api=v2" TargetMode="External"/><Relationship Id="rId1629" Type="http://schemas.openxmlformats.org/officeDocument/2006/relationships/hyperlink" Target="https://marketplace.fedramp.gov/img/logos/Agency_logos/US-DeptOfEnergy-Seal.png" TargetMode="External"/><Relationship Id="rId916" Type="http://schemas.openxmlformats.org/officeDocument/2006/relationships/hyperlink" Target="https://community.max.gov/x/VJM5JQ" TargetMode="External"/><Relationship Id="rId915" Type="http://schemas.openxmlformats.org/officeDocument/2006/relationships/hyperlink" Target="https://marketplace.fedramp.gov/img/logos/Agency_logos/US-DeptOfTheInterior-Seal.png" TargetMode="External"/><Relationship Id="rId919" Type="http://schemas.openxmlformats.org/officeDocument/2006/relationships/hyperlink" Target="https://marketplace.fedramp.gov/img/logos/CSP_logos/CGI%20Federal.jpg" TargetMode="External"/><Relationship Id="rId910" Type="http://schemas.openxmlformats.org/officeDocument/2006/relationships/hyperlink" Target="https://marketplace.fedramp.gov/img/logos/Agency_logos/Seal_of_the_United_States_Department_of_Homeland_Security.png" TargetMode="External"/><Relationship Id="rId914" Type="http://schemas.openxmlformats.org/officeDocument/2006/relationships/hyperlink" Target="https://marketplace.fedramp.gov/img/logos/CSP_logos/Akamai%20Logo.jpg" TargetMode="External"/><Relationship Id="rId913" Type="http://schemas.openxmlformats.org/officeDocument/2006/relationships/hyperlink" Target="http://www.akamai.com" TargetMode="External"/><Relationship Id="rId912" Type="http://schemas.openxmlformats.org/officeDocument/2006/relationships/hyperlink" Target="https://community.max.gov/download/attachments/1256457901/ATO.Letter_Akamai_DOI_03.27.15.pdf?api=v2" TargetMode="External"/><Relationship Id="rId911" Type="http://schemas.openxmlformats.org/officeDocument/2006/relationships/hyperlink" Target="https://community.max.gov/x/wgmOJQ" TargetMode="External"/><Relationship Id="rId2950" Type="http://schemas.openxmlformats.org/officeDocument/2006/relationships/hyperlink" Target="https://marketplace.fedramp.gov/img/logos/Agency_logos/GSAlogo.png" TargetMode="External"/><Relationship Id="rId2900" Type="http://schemas.openxmlformats.org/officeDocument/2006/relationships/hyperlink" Target="https://community.max.gov/download/attachments/1155203837/ATO.Letter_DoC_ServiceNow_12.12.16.pdf?api=v2" TargetMode="External"/><Relationship Id="rId2901" Type="http://schemas.openxmlformats.org/officeDocument/2006/relationships/hyperlink" Target="http://www.servicenow.com" TargetMode="External"/><Relationship Id="rId2902" Type="http://schemas.openxmlformats.org/officeDocument/2006/relationships/hyperlink" Target="https://marketplace.fedramp.gov/img/logos/CSP_logos/ServiceNow%20Logo.jpg" TargetMode="External"/><Relationship Id="rId2903" Type="http://schemas.openxmlformats.org/officeDocument/2006/relationships/hyperlink" Target="https://marketplace.fedramp.gov/img/logos/Agency_logos/US-DeptOfCommerce-Seal.png" TargetMode="External"/><Relationship Id="rId2904" Type="http://schemas.openxmlformats.org/officeDocument/2006/relationships/hyperlink" Target="https://community.max.gov/x/XYIVPQ" TargetMode="External"/><Relationship Id="rId2905" Type="http://schemas.openxmlformats.org/officeDocument/2006/relationships/hyperlink" Target="https://community.max.gov/download/attachments/1356301811/ATO.Letter_SAPNS2_DOJ_JMD_8.2.17.pdf?api=v2" TargetMode="External"/><Relationship Id="rId2906" Type="http://schemas.openxmlformats.org/officeDocument/2006/relationships/hyperlink" Target="https://www.sapns2.com/cloud/" TargetMode="External"/><Relationship Id="rId2907" Type="http://schemas.openxmlformats.org/officeDocument/2006/relationships/hyperlink" Target="https://marketplace.fedramp.gov/img/logos/CSP_logos/SAP%20NS2%20Logo1.jpg" TargetMode="External"/><Relationship Id="rId2908" Type="http://schemas.openxmlformats.org/officeDocument/2006/relationships/hyperlink" Target="https://marketplace.fedramp.gov/img/logos/Agency_logos/Seal_of_the_United_States_Department_of_Justice.png" TargetMode="External"/><Relationship Id="rId2909" Type="http://schemas.openxmlformats.org/officeDocument/2006/relationships/hyperlink" Target="https://community.max.gov/x/cARBT" TargetMode="External"/><Relationship Id="rId2920" Type="http://schemas.openxmlformats.org/officeDocument/2006/relationships/hyperlink" Target="http://www.aws.amazon.com" TargetMode="External"/><Relationship Id="rId2921" Type="http://schemas.openxmlformats.org/officeDocument/2006/relationships/hyperlink" Target="https://marketplace.fedramp.gov/img/logos/CSP_logos/Amazon%20Logo.jpg" TargetMode="External"/><Relationship Id="rId2922" Type="http://schemas.openxmlformats.org/officeDocument/2006/relationships/hyperlink" Target="https://community.max.gov/x/ApBJK" TargetMode="External"/><Relationship Id="rId2923" Type="http://schemas.openxmlformats.org/officeDocument/2006/relationships/hyperlink" Target="https://community.max.gov/download/attachments/1113425425/ATO.Letter_AWSGC_DoT_8.1.17.pdf?api=v2" TargetMode="External"/><Relationship Id="rId2924" Type="http://schemas.openxmlformats.org/officeDocument/2006/relationships/hyperlink" Target="http://www.aws.amazon.com" TargetMode="External"/><Relationship Id="rId2925" Type="http://schemas.openxmlformats.org/officeDocument/2006/relationships/hyperlink" Target="https://marketplace.fedramp.gov/img/logos/CSP_logos/Amazon%20Logo.jpg" TargetMode="External"/><Relationship Id="rId2926" Type="http://schemas.openxmlformats.org/officeDocument/2006/relationships/hyperlink" Target="https://community.max.gov/x/pgC6NQ" TargetMode="External"/><Relationship Id="rId2927" Type="http://schemas.openxmlformats.org/officeDocument/2006/relationships/hyperlink" Target="https://community.max.gov/download/attachments/992346661/ATO.Letter_CDS_PBGC_7.19.17.pdf?api=v2" TargetMode="External"/><Relationship Id="rId2928" Type="http://schemas.openxmlformats.org/officeDocument/2006/relationships/hyperlink" Target="http://www.cdslegal.com" TargetMode="External"/><Relationship Id="rId2929" Type="http://schemas.openxmlformats.org/officeDocument/2006/relationships/hyperlink" Target="https://marketplace.fedramp.gov/img/logos/CSP_logos/CDS%20Logo.jpg" TargetMode="External"/><Relationship Id="rId2910" Type="http://schemas.openxmlformats.org/officeDocument/2006/relationships/hyperlink" Target="https://community.max.gov/download/attachments/1279329441/ATO.Letter_SAPNS2DoD_DOD_DLA_6.22.17.pdf?api=v2" TargetMode="External"/><Relationship Id="rId2911" Type="http://schemas.openxmlformats.org/officeDocument/2006/relationships/hyperlink" Target="https://www.sapns2.com/cloud/" TargetMode="External"/><Relationship Id="rId2912" Type="http://schemas.openxmlformats.org/officeDocument/2006/relationships/hyperlink" Target="https://marketplace.fedramp.gov/img/logos/CSP_logos/SAP%20NS2%20Logo1.jpg" TargetMode="External"/><Relationship Id="rId2913" Type="http://schemas.openxmlformats.org/officeDocument/2006/relationships/hyperlink" Target="https://marketplace.fedramp.gov/img/logos/Agency_logos/United_States_Department_of_Defense_Seal.png" TargetMode="External"/><Relationship Id="rId2914" Type="http://schemas.openxmlformats.org/officeDocument/2006/relationships/hyperlink" Target="https://community.max.gov/x/wgmOJQ" TargetMode="External"/><Relationship Id="rId2915" Type="http://schemas.openxmlformats.org/officeDocument/2006/relationships/hyperlink" Target="https://community.max.gov/download/attachments/1116602815/ATO.Letter_Akamai_DoT_8.1.17.pdf?api=v2" TargetMode="External"/><Relationship Id="rId2916" Type="http://schemas.openxmlformats.org/officeDocument/2006/relationships/hyperlink" Target="http://www.akamai.com" TargetMode="External"/><Relationship Id="rId2917" Type="http://schemas.openxmlformats.org/officeDocument/2006/relationships/hyperlink" Target="https://marketplace.fedramp.gov/img/logos/CSP_logos/Akamai%20Logo.jpg" TargetMode="External"/><Relationship Id="rId2918" Type="http://schemas.openxmlformats.org/officeDocument/2006/relationships/hyperlink" Target="https://community.max.gov/x/DpBJK" TargetMode="External"/><Relationship Id="rId2919" Type="http://schemas.openxmlformats.org/officeDocument/2006/relationships/hyperlink" Target="https://community.max.gov/download/attachments/1115488742/ATO.Letter_AWSEW_DoT_8.1.17.pdf?api=v2" TargetMode="External"/><Relationship Id="rId1697" Type="http://schemas.openxmlformats.org/officeDocument/2006/relationships/hyperlink" Target="mailto:adamsoh@microsoft.com" TargetMode="External"/><Relationship Id="rId1698" Type="http://schemas.openxmlformats.org/officeDocument/2006/relationships/hyperlink" Target="http://azure.microsoft.com/en-us/" TargetMode="External"/><Relationship Id="rId1699" Type="http://schemas.openxmlformats.org/officeDocument/2006/relationships/hyperlink" Target="https://marketplace.fedramp.gov/img/logos/CSP_logos/Microsoft%20Logo.jpg" TargetMode="External"/><Relationship Id="rId866" Type="http://schemas.openxmlformats.org/officeDocument/2006/relationships/hyperlink" Target="https://community.max.gov/download/attachments/1155203596/ATO.Letter_IBM_MaaS360_DoI_09.04.15.pdf?api=v2" TargetMode="External"/><Relationship Id="rId865" Type="http://schemas.openxmlformats.org/officeDocument/2006/relationships/hyperlink" Target="https://community.max.gov/x/GBU6Jg" TargetMode="External"/><Relationship Id="rId864" Type="http://schemas.openxmlformats.org/officeDocument/2006/relationships/hyperlink" Target="https://marketplace.fedramp.gov/img/logos/Agency_logos/US-DeptOfTheInterior-Seal.png" TargetMode="External"/><Relationship Id="rId863" Type="http://schemas.openxmlformats.org/officeDocument/2006/relationships/hyperlink" Target="https://marketplace.fedramp.gov/img/logos/CSP_logos/Google%20Logo.jpg" TargetMode="External"/><Relationship Id="rId869" Type="http://schemas.openxmlformats.org/officeDocument/2006/relationships/hyperlink" Target="https://marketplace.fedramp.gov/img/logos/Agency_logos/US-DeptOfTheInterior-Seal.png" TargetMode="External"/><Relationship Id="rId868" Type="http://schemas.openxmlformats.org/officeDocument/2006/relationships/hyperlink" Target="https://marketplace.fedramp.gov/img/logos/CSP_logos/MaaS360%20Logo.jpg" TargetMode="External"/><Relationship Id="rId867" Type="http://schemas.openxmlformats.org/officeDocument/2006/relationships/hyperlink" Target="http://www.maas360.com" TargetMode="External"/><Relationship Id="rId1690" Type="http://schemas.openxmlformats.org/officeDocument/2006/relationships/hyperlink" Target="https://community.max.gov/x/wgmOJQ" TargetMode="External"/><Relationship Id="rId1691" Type="http://schemas.openxmlformats.org/officeDocument/2006/relationships/hyperlink" Target="https://community.max.gov/download/attachments/1116602815/ATO.Letter_Akamai_DoS_OIG_07.26.16.pdf?api=v2" TargetMode="External"/><Relationship Id="rId1692" Type="http://schemas.openxmlformats.org/officeDocument/2006/relationships/hyperlink" Target="http://www.akamai.com" TargetMode="External"/><Relationship Id="rId862" Type="http://schemas.openxmlformats.org/officeDocument/2006/relationships/hyperlink" Target="https://gsuite.google.com/" TargetMode="External"/><Relationship Id="rId1693" Type="http://schemas.openxmlformats.org/officeDocument/2006/relationships/hyperlink" Target="https://marketplace.fedramp.gov/img/logos/CSP_logos/Akamai%20Logo.jpg" TargetMode="External"/><Relationship Id="rId861" Type="http://schemas.openxmlformats.org/officeDocument/2006/relationships/hyperlink" Target="https://community.max.gov/download/attachments/1531087271/ATO.Letter_Google_DoI_10.31.14.pdf?api=v2" TargetMode="External"/><Relationship Id="rId1694" Type="http://schemas.openxmlformats.org/officeDocument/2006/relationships/hyperlink" Target="https://marketplace.fedramp.gov/img/logos/Agency_logos/DoS%20Logo.png" TargetMode="External"/><Relationship Id="rId860" Type="http://schemas.openxmlformats.org/officeDocument/2006/relationships/hyperlink" Target="https://community.max.gov/x/34ngVQ" TargetMode="External"/><Relationship Id="rId1695" Type="http://schemas.openxmlformats.org/officeDocument/2006/relationships/hyperlink" Target="https://community.max.gov/display/FedRAMPExternal/MS+Azure+ATO+Letters" TargetMode="External"/><Relationship Id="rId1696" Type="http://schemas.openxmlformats.org/officeDocument/2006/relationships/hyperlink" Target="https://community.max.gov/download/attachments/1155204218/ATO.Letter_MSAzure_DoS_OIG_07.26.16.pdf?api=v2" TargetMode="External"/><Relationship Id="rId1686" Type="http://schemas.openxmlformats.org/officeDocument/2006/relationships/hyperlink" Target="https://community.max.gov/download/attachments/1155203762/ATO.Letter_OracleFMCS_DoT_BFS_05.05.16.pdf?api=v2" TargetMode="External"/><Relationship Id="rId1687" Type="http://schemas.openxmlformats.org/officeDocument/2006/relationships/hyperlink" Target="http://www.oracle.com/us/industries/public-sector/government-cloud/index.html" TargetMode="External"/><Relationship Id="rId1688" Type="http://schemas.openxmlformats.org/officeDocument/2006/relationships/hyperlink" Target="https://marketplace.fedramp.gov/img/logos/CSP_logos/Oracle%20Logo.jpg" TargetMode="External"/><Relationship Id="rId1689" Type="http://schemas.openxmlformats.org/officeDocument/2006/relationships/hyperlink" Target="https://marketplace.fedramp.gov/img/logos/Agency_logos/US-DeptOfTheTreasury-Seal.png" TargetMode="External"/><Relationship Id="rId855" Type="http://schemas.openxmlformats.org/officeDocument/2006/relationships/hyperlink" Target="https://community.max.gov/x/eQs3Kw" TargetMode="External"/><Relationship Id="rId854" Type="http://schemas.openxmlformats.org/officeDocument/2006/relationships/hyperlink" Target="https://marketplace.fedramp.gov/img/logos/Agency_logos/US-DeptOfLabor-Seal-AltColors.svg.png" TargetMode="External"/><Relationship Id="rId853" Type="http://schemas.openxmlformats.org/officeDocument/2006/relationships/hyperlink" Target="https://marketplace.fedramp.gov/img/logos/CSP_logos/MaaS360%20Logo.jpg" TargetMode="External"/><Relationship Id="rId852" Type="http://schemas.openxmlformats.org/officeDocument/2006/relationships/hyperlink" Target="http://www.maas360.com" TargetMode="External"/><Relationship Id="rId859" Type="http://schemas.openxmlformats.org/officeDocument/2006/relationships/hyperlink" Target="https://marketplace.fedramp.gov/img/logos/Agency_logos/USAID-Seal.png" TargetMode="External"/><Relationship Id="rId858" Type="http://schemas.openxmlformats.org/officeDocument/2006/relationships/hyperlink" Target="https://marketplace.fedramp.gov/img/logos/CSP_logos/Salesforce%20Logo.jpg" TargetMode="External"/><Relationship Id="rId857" Type="http://schemas.openxmlformats.org/officeDocument/2006/relationships/hyperlink" Target="http://www.salesforce.com/industries/public-sector" TargetMode="External"/><Relationship Id="rId856" Type="http://schemas.openxmlformats.org/officeDocument/2006/relationships/hyperlink" Target="https://community.max.gov/download/attachments/1130635691/ATO.Letter_Salesforce_USAID_01.15.15.pdf?api=v2" TargetMode="External"/><Relationship Id="rId1680" Type="http://schemas.openxmlformats.org/officeDocument/2006/relationships/hyperlink" Target="https://community.max.gov/x/DgwdJg" TargetMode="External"/><Relationship Id="rId1681" Type="http://schemas.openxmlformats.org/officeDocument/2006/relationships/hyperlink" Target="https://community.max.gov/download/attachments/1155203762/ATO.Letter_OracleFMCS_DoT_BEP_10.30.15.pdf?api=v2" TargetMode="External"/><Relationship Id="rId851" Type="http://schemas.openxmlformats.org/officeDocument/2006/relationships/hyperlink" Target="https://community.max.gov/download/attachments/1155203596/ATO.Letter_IBMMaaS360_DOL_12.19.14.pdf?api=v2" TargetMode="External"/><Relationship Id="rId1682" Type="http://schemas.openxmlformats.org/officeDocument/2006/relationships/hyperlink" Target="http://www.oracle.com/us/industries/public-sector/government-cloud/index.html" TargetMode="External"/><Relationship Id="rId850" Type="http://schemas.openxmlformats.org/officeDocument/2006/relationships/hyperlink" Target="https://community.max.gov/x/GBU6Jg" TargetMode="External"/><Relationship Id="rId1683" Type="http://schemas.openxmlformats.org/officeDocument/2006/relationships/hyperlink" Target="https://marketplace.fedramp.gov/img/logos/CSP_logos/Oracle%20Logo.jpg" TargetMode="External"/><Relationship Id="rId1684" Type="http://schemas.openxmlformats.org/officeDocument/2006/relationships/hyperlink" Target="https://marketplace.fedramp.gov/img/logos/Agency_logos/US-DeptOfTheTreasury-Seal.png" TargetMode="External"/><Relationship Id="rId1685" Type="http://schemas.openxmlformats.org/officeDocument/2006/relationships/hyperlink" Target="https://community.max.gov/x/DgwdJg" TargetMode="External"/><Relationship Id="rId3414" Type="http://schemas.openxmlformats.org/officeDocument/2006/relationships/hyperlink" Target="http://www.skyhighnetworks.com" TargetMode="External"/><Relationship Id="rId3413" Type="http://schemas.openxmlformats.org/officeDocument/2006/relationships/hyperlink" Target="https://community.max.gov/download/attachments/1181253908/ATO.Letter_Skyhigh_DoC_NOAA_3.30.18.pdf?api=v2" TargetMode="External"/><Relationship Id="rId3416" Type="http://schemas.openxmlformats.org/officeDocument/2006/relationships/hyperlink" Target="https://marketplace.fedramp.gov/img/logos/Agency_logos/US-DeptOfCommerce-Seal.png" TargetMode="External"/><Relationship Id="rId3415" Type="http://schemas.openxmlformats.org/officeDocument/2006/relationships/hyperlink" Target="https://marketplace.fedramp.gov/img/logos/CSP_logos/Skyhigh%20Logo.jpg" TargetMode="External"/><Relationship Id="rId3418" Type="http://schemas.openxmlformats.org/officeDocument/2006/relationships/hyperlink" Target="https://community.max.gov/download/attachments/1459192999/P-ATO_Apptio_4.3.18.pdf?api=v2" TargetMode="External"/><Relationship Id="rId3417" Type="http://schemas.openxmlformats.org/officeDocument/2006/relationships/hyperlink" Target="https://community.max.gov/x/IZH-Rw" TargetMode="External"/><Relationship Id="rId3419" Type="http://schemas.openxmlformats.org/officeDocument/2006/relationships/hyperlink" Target="http://www.apptio.com" TargetMode="External"/><Relationship Id="rId888" Type="http://schemas.openxmlformats.org/officeDocument/2006/relationships/hyperlink" Target="http://www.cgi.com" TargetMode="External"/><Relationship Id="rId887" Type="http://schemas.openxmlformats.org/officeDocument/2006/relationships/hyperlink" Target="https://community.max.gov/download/attachments/1116602747/ATO.Letter_CGI_GSA_07.17.15.pdf?api=v2" TargetMode="External"/><Relationship Id="rId886" Type="http://schemas.openxmlformats.org/officeDocument/2006/relationships/hyperlink" Target="https://community.max.gov/x/VJM5JQ" TargetMode="External"/><Relationship Id="rId885" Type="http://schemas.openxmlformats.org/officeDocument/2006/relationships/hyperlink" Target="https://marketplace.fedramp.gov/img/logos/Agency_logos/GSAlogo.png" TargetMode="External"/><Relationship Id="rId889" Type="http://schemas.openxmlformats.org/officeDocument/2006/relationships/hyperlink" Target="https://marketplace.fedramp.gov/img/logos/CSP_logos/CGI%20Federal.jpg" TargetMode="External"/><Relationship Id="rId880" Type="http://schemas.openxmlformats.org/officeDocument/2006/relationships/hyperlink" Target="https://marketplace.fedramp.gov/img/logos/Agency_logos/GSAlogo.png" TargetMode="External"/><Relationship Id="rId884" Type="http://schemas.openxmlformats.org/officeDocument/2006/relationships/hyperlink" Target="https://marketplace.fedramp.gov/img/logos/CSP_logos/Amazon%20Logo.jpg" TargetMode="External"/><Relationship Id="rId3410" Type="http://schemas.openxmlformats.org/officeDocument/2006/relationships/hyperlink" Target="https://marketplace.fedramp.gov/img/logos/CSP_logos/ServiceNow%20Logo.jpg" TargetMode="External"/><Relationship Id="rId883" Type="http://schemas.openxmlformats.org/officeDocument/2006/relationships/hyperlink" Target="http://www.aws.amazon.com" TargetMode="External"/><Relationship Id="rId882" Type="http://schemas.openxmlformats.org/officeDocument/2006/relationships/hyperlink" Target="https://community.max.gov/download/attachments/1115488742/ATO.Letter_AWS_EW_GSA_07.17.15.pdf?api=v2" TargetMode="External"/><Relationship Id="rId3412" Type="http://schemas.openxmlformats.org/officeDocument/2006/relationships/hyperlink" Target="https://community.max.gov/x/YQURNQ" TargetMode="External"/><Relationship Id="rId881" Type="http://schemas.openxmlformats.org/officeDocument/2006/relationships/hyperlink" Target="https://community.max.gov/x/DpBJK" TargetMode="External"/><Relationship Id="rId3411" Type="http://schemas.openxmlformats.org/officeDocument/2006/relationships/hyperlink" Target="https://marketplace.fedramp.gov/img/logos/Agency_logos/US-DeptOfCommerce-Seal.png" TargetMode="External"/><Relationship Id="rId3403" Type="http://schemas.openxmlformats.org/officeDocument/2006/relationships/hyperlink" Target="https://community.max.gov/download/attachments/1155203596/ATO.Letter_MaaS360_DoC_NOAA_3.30.18.pdf?api=v2" TargetMode="External"/><Relationship Id="rId3402" Type="http://schemas.openxmlformats.org/officeDocument/2006/relationships/hyperlink" Target="https://community.max.gov/x/GBU6Jg" TargetMode="External"/><Relationship Id="rId3405" Type="http://schemas.openxmlformats.org/officeDocument/2006/relationships/hyperlink" Target="https://marketplace.fedramp.gov/img/logos/CSP_logos/MaaS360%20Logo.jpg" TargetMode="External"/><Relationship Id="rId3404" Type="http://schemas.openxmlformats.org/officeDocument/2006/relationships/hyperlink" Target="http://www.maas360.com" TargetMode="External"/><Relationship Id="rId3407" Type="http://schemas.openxmlformats.org/officeDocument/2006/relationships/hyperlink" Target="https://community.max.gov/x/QoWaP" TargetMode="External"/><Relationship Id="rId3406" Type="http://schemas.openxmlformats.org/officeDocument/2006/relationships/hyperlink" Target="https://marketplace.fedramp.gov/img/logos/Agency_logos/US-DeptOfCommerce-Seal.png" TargetMode="External"/><Relationship Id="rId3409" Type="http://schemas.openxmlformats.org/officeDocument/2006/relationships/hyperlink" Target="http://www.servicenow.com" TargetMode="External"/><Relationship Id="rId3408" Type="http://schemas.openxmlformats.org/officeDocument/2006/relationships/hyperlink" Target="https://community.max.gov/download/attachments/1155203837/ATO.Letter_ServiceNow_DoC_NOAA_3.30.18.pdf?api=v2" TargetMode="External"/><Relationship Id="rId877" Type="http://schemas.openxmlformats.org/officeDocument/2006/relationships/hyperlink" Target="https://community.max.gov/download/attachments/1116602815/ATO.Letter_Akamai_GSA_07.17.15.pdf?api=v2" TargetMode="External"/><Relationship Id="rId876" Type="http://schemas.openxmlformats.org/officeDocument/2006/relationships/hyperlink" Target="https://community.max.gov/x/wgmOJQ" TargetMode="External"/><Relationship Id="rId875" Type="http://schemas.openxmlformats.org/officeDocument/2006/relationships/hyperlink" Target="https://marketplace.fedramp.gov/img/logos/Agency_logos/US-DeptOfHUD-Seal.png" TargetMode="External"/><Relationship Id="rId874" Type="http://schemas.openxmlformats.org/officeDocument/2006/relationships/hyperlink" Target="https://marketplace.fedramp.gov/img/logos/CSP_logos/Microsoft%20Logo.jpg" TargetMode="External"/><Relationship Id="rId879" Type="http://schemas.openxmlformats.org/officeDocument/2006/relationships/hyperlink" Target="https://marketplace.fedramp.gov/img/logos/CSP_logos/Akamai%20Logo.jpg" TargetMode="External"/><Relationship Id="rId878" Type="http://schemas.openxmlformats.org/officeDocument/2006/relationships/hyperlink" Target="http://www.akamai.com" TargetMode="External"/><Relationship Id="rId873" Type="http://schemas.openxmlformats.org/officeDocument/2006/relationships/hyperlink" Target="http://azure.microsoft.com/en-us/" TargetMode="External"/><Relationship Id="rId872" Type="http://schemas.openxmlformats.org/officeDocument/2006/relationships/hyperlink" Target="mailto:adamsoh@microsoft.com" TargetMode="External"/><Relationship Id="rId871" Type="http://schemas.openxmlformats.org/officeDocument/2006/relationships/hyperlink" Target="https://community.max.gov/download/attachments/1155204218/ATO.Letter_MS_Azure_HUD_08.04.15.pdf?api=v2" TargetMode="External"/><Relationship Id="rId3401" Type="http://schemas.openxmlformats.org/officeDocument/2006/relationships/hyperlink" Target="https://marketplace.fedramp.gov/img/logos/Agency_logos/US-DeptOfCommerce-Seal.png" TargetMode="External"/><Relationship Id="rId870" Type="http://schemas.openxmlformats.org/officeDocument/2006/relationships/hyperlink" Target="https://community.max.gov/display/FedRAMPExternal/MS+Azure+ATO+Letters" TargetMode="External"/><Relationship Id="rId3400" Type="http://schemas.openxmlformats.org/officeDocument/2006/relationships/hyperlink" Target="https://marketplace.fedramp.gov/img/logos/CSP_logos/Google%20Logo.jpg" TargetMode="External"/><Relationship Id="rId1653" Type="http://schemas.openxmlformats.org/officeDocument/2006/relationships/hyperlink" Target="https://marketplace.fedramp.gov/img/logos/CSP_logos/EconSys%20Logo.jpg" TargetMode="External"/><Relationship Id="rId2984" Type="http://schemas.openxmlformats.org/officeDocument/2006/relationships/hyperlink" Target="https://marketplace.fedramp.gov/img/logos/CSP_logos/CoSo%20Logo.jpg" TargetMode="External"/><Relationship Id="rId1654" Type="http://schemas.openxmlformats.org/officeDocument/2006/relationships/hyperlink" Target="https://marketplace.fedramp.gov/img/logos/Agency_logos/Seal_of_the_United_States_Department_of_Homeland_Security.png" TargetMode="External"/><Relationship Id="rId2985" Type="http://schemas.openxmlformats.org/officeDocument/2006/relationships/hyperlink" Target="https://marketplace.fedramp.gov/img/logos/Agency_logos/Seal_of_the_United_States_Department_of_Homeland_Security.png" TargetMode="External"/><Relationship Id="rId1655" Type="http://schemas.openxmlformats.org/officeDocument/2006/relationships/hyperlink" Target="https://community.max.gov/x/bI5VJQ" TargetMode="External"/><Relationship Id="rId2986" Type="http://schemas.openxmlformats.org/officeDocument/2006/relationships/hyperlink" Target="https://community.max.gov/x/UQK2PQ" TargetMode="External"/><Relationship Id="rId1656" Type="http://schemas.openxmlformats.org/officeDocument/2006/relationships/hyperlink" Target="https://community.max.gov/download/attachments/1155204092/ATO.Letter_ARC-P_HHS_CMS_9.26.16.pdf?api=v2" TargetMode="External"/><Relationship Id="rId2987" Type="http://schemas.openxmlformats.org/officeDocument/2006/relationships/hyperlink" Target="https://community.max.gov/download/attachments/1035338333/ATO.Letter_Box_USDA_USFS_4.13.17.pdf?api=v2" TargetMode="External"/><Relationship Id="rId1657" Type="http://schemas.openxmlformats.org/officeDocument/2006/relationships/hyperlink" Target="http://www.autonomicresources.com" TargetMode="External"/><Relationship Id="rId2988" Type="http://schemas.openxmlformats.org/officeDocument/2006/relationships/hyperlink" Target="http://www.box.com" TargetMode="External"/><Relationship Id="rId1658" Type="http://schemas.openxmlformats.org/officeDocument/2006/relationships/hyperlink" Target="https://marketplace.fedramp.gov/img/logos/CSP_logos/ARC-P%20Logo.jpg" TargetMode="External"/><Relationship Id="rId2989" Type="http://schemas.openxmlformats.org/officeDocument/2006/relationships/hyperlink" Target="https://marketplace.fedramp.gov/img/logos/CSP_logos/Box%20Logo.jpg" TargetMode="External"/><Relationship Id="rId1659" Type="http://schemas.openxmlformats.org/officeDocument/2006/relationships/hyperlink" Target="https://marketplace.fedramp.gov/img/logos/Agency_logos/US-DeptOfHHS-Seal.png" TargetMode="External"/><Relationship Id="rId829" Type="http://schemas.openxmlformats.org/officeDocument/2006/relationships/hyperlink" Target="https://marketplace.fedramp.gov/img/logos/Agency_logos/US-DeptOfEnergy-Seal.png" TargetMode="External"/><Relationship Id="rId828" Type="http://schemas.openxmlformats.org/officeDocument/2006/relationships/hyperlink" Target="https://marketplace.fedramp.gov/img/logos/CSP_logos/Microsoft%20Logo.jpg" TargetMode="External"/><Relationship Id="rId827" Type="http://schemas.openxmlformats.org/officeDocument/2006/relationships/hyperlink" Target="http://www.microsoft.office.com" TargetMode="External"/><Relationship Id="rId822" Type="http://schemas.openxmlformats.org/officeDocument/2006/relationships/hyperlink" Target="http://www.salesforce.com/industries/public-sector" TargetMode="External"/><Relationship Id="rId821" Type="http://schemas.openxmlformats.org/officeDocument/2006/relationships/hyperlink" Target="https://community.max.gov/download/attachments/1130635691/ATO%20Letter_Salesforce_DOJ_USMS_09.10.15.pdf?api=v2" TargetMode="External"/><Relationship Id="rId820" Type="http://schemas.openxmlformats.org/officeDocument/2006/relationships/hyperlink" Target="https://community.max.gov/x/eQs3Kw" TargetMode="External"/><Relationship Id="rId826" Type="http://schemas.openxmlformats.org/officeDocument/2006/relationships/hyperlink" Target="https://community.max.gov/download/attachments/780173411/ATO.Letter_MSO365_DOE_05.01.15.pdf?api=v2" TargetMode="External"/><Relationship Id="rId825" Type="http://schemas.openxmlformats.org/officeDocument/2006/relationships/hyperlink" Target="https://community.max.gov/x/3JC6L" TargetMode="External"/><Relationship Id="rId824" Type="http://schemas.openxmlformats.org/officeDocument/2006/relationships/hyperlink" Target="https://marketplace.fedramp.gov/img/logos/Agency_logos/Seal_of_the_United_States_Department_of_Justice.png" TargetMode="External"/><Relationship Id="rId823" Type="http://schemas.openxmlformats.org/officeDocument/2006/relationships/hyperlink" Target="https://marketplace.fedramp.gov/img/logos/CSP_logos/Salesforce%20Logo.jpg" TargetMode="External"/><Relationship Id="rId2980" Type="http://schemas.openxmlformats.org/officeDocument/2006/relationships/hyperlink" Target="https://marketplace.fedramp.gov/img/logos/Agency_logos/NASA_logo.png" TargetMode="External"/><Relationship Id="rId1650" Type="http://schemas.openxmlformats.org/officeDocument/2006/relationships/hyperlink" Target="https://community.max.gov/x/eoVSJw" TargetMode="External"/><Relationship Id="rId2981" Type="http://schemas.openxmlformats.org/officeDocument/2006/relationships/hyperlink" Target="https://community.max.gov/x/8A4GJg" TargetMode="External"/><Relationship Id="rId1651" Type="http://schemas.openxmlformats.org/officeDocument/2006/relationships/hyperlink" Target="https://community.max.gov/download/attachments/1155203360/ATO.Letter_EconSys_DHS_9.16.16.pdf?api=v2" TargetMode="External"/><Relationship Id="rId2982" Type="http://schemas.openxmlformats.org/officeDocument/2006/relationships/hyperlink" Target="https://community.max.gov/download/attachments/992346665/ATO.Letter_CoSo_DHS_TSA_8.26.17.pdf?api=v2" TargetMode="External"/><Relationship Id="rId1652" Type="http://schemas.openxmlformats.org/officeDocument/2006/relationships/hyperlink" Target="http://www.fedhrnavigator.com/" TargetMode="External"/><Relationship Id="rId2983" Type="http://schemas.openxmlformats.org/officeDocument/2006/relationships/hyperlink" Target="https://www.cosocloud.com" TargetMode="External"/><Relationship Id="rId1642" Type="http://schemas.openxmlformats.org/officeDocument/2006/relationships/hyperlink" Target="http://www.compusearch.com" TargetMode="External"/><Relationship Id="rId2973" Type="http://schemas.openxmlformats.org/officeDocument/2006/relationships/hyperlink" Target="http://www.microsoft.office.com" TargetMode="External"/><Relationship Id="rId1643" Type="http://schemas.openxmlformats.org/officeDocument/2006/relationships/hyperlink" Target="https://marketplace.fedramp.gov/img/logos/CSP_logos/Compusearch%20Logo.jpg" TargetMode="External"/><Relationship Id="rId2974" Type="http://schemas.openxmlformats.org/officeDocument/2006/relationships/hyperlink" Target="https://marketplace.fedramp.gov/img/logos/CSP_logos/Microsoft%20Logo.jpg" TargetMode="External"/><Relationship Id="rId1644" Type="http://schemas.openxmlformats.org/officeDocument/2006/relationships/hyperlink" Target="https://marketplace.fedramp.gov/img/logos/Agency_logos/US-DeptOfHHS-Seal.png" TargetMode="External"/><Relationship Id="rId2975" Type="http://schemas.openxmlformats.org/officeDocument/2006/relationships/hyperlink" Target="https://marketplace.fedramp.gov/img/logos/Agency_logos/US-DeptOfCommerce-Seal.png" TargetMode="External"/><Relationship Id="rId1645" Type="http://schemas.openxmlformats.org/officeDocument/2006/relationships/hyperlink" Target="https://community.max.gov/x/NYE7Mw" TargetMode="External"/><Relationship Id="rId2976" Type="http://schemas.openxmlformats.org/officeDocument/2006/relationships/hyperlink" Target="https://community.max.gov/x/zoSNO" TargetMode="External"/><Relationship Id="rId1646" Type="http://schemas.openxmlformats.org/officeDocument/2006/relationships/hyperlink" Target="https://community.max.gov/download/attachments/992346648/ATO.Letter_Avue_HHS_FDA_07.05.16.pdf?api=v2" TargetMode="External"/><Relationship Id="rId2977" Type="http://schemas.openxmlformats.org/officeDocument/2006/relationships/hyperlink" Target="https://community.max.gov/download/attachments/948798674/ATO.Letter_iSite_NASA_09.29.17.pdf?api=v2" TargetMode="External"/><Relationship Id="rId1647" Type="http://schemas.openxmlformats.org/officeDocument/2006/relationships/hyperlink" Target="http://www.avuetech.com/" TargetMode="External"/><Relationship Id="rId2978" Type="http://schemas.openxmlformats.org/officeDocument/2006/relationships/hyperlink" Target="http://isitellc.com/" TargetMode="External"/><Relationship Id="rId1648" Type="http://schemas.openxmlformats.org/officeDocument/2006/relationships/hyperlink" Target="https://marketplace.fedramp.gov/img/logos/CSP_logos/Avue%20Logo.jpg" TargetMode="External"/><Relationship Id="rId2979" Type="http://schemas.openxmlformats.org/officeDocument/2006/relationships/hyperlink" Target="https://marketplace.fedramp.gov/img/logos/CSP_logos/iSite%20Logo.jpg" TargetMode="External"/><Relationship Id="rId1649" Type="http://schemas.openxmlformats.org/officeDocument/2006/relationships/hyperlink" Target="https://marketplace.fedramp.gov/img/logos/Agency_logos/US-DeptOfHHS-Seal.png" TargetMode="External"/><Relationship Id="rId819" Type="http://schemas.openxmlformats.org/officeDocument/2006/relationships/hyperlink" Target="https://marketplace.fedramp.gov/img/logos/Agency_logos/US-OfficeOfGovernmentEthics-Logo.png" TargetMode="External"/><Relationship Id="rId818" Type="http://schemas.openxmlformats.org/officeDocument/2006/relationships/hyperlink" Target="https://marketplace.fedramp.gov/img/logos/CSP_logos/OMB%20Logo.jpg" TargetMode="External"/><Relationship Id="rId817" Type="http://schemas.openxmlformats.org/officeDocument/2006/relationships/hyperlink" Target="https://www.MAX.gov" TargetMode="External"/><Relationship Id="rId816" Type="http://schemas.openxmlformats.org/officeDocument/2006/relationships/hyperlink" Target="https://community.max.gov/download/attachments/920093586/ATO.Letter_MAXSS_OGE_07.23.15.pdf?api=v2" TargetMode="External"/><Relationship Id="rId811" Type="http://schemas.openxmlformats.org/officeDocument/2006/relationships/hyperlink" Target="https://community.max.gov/download/attachments/992346725/ATO%20Letter_Salesforce_DOE_NNSA_LLNL_08.03.15.pdf?api=v2" TargetMode="External"/><Relationship Id="rId810" Type="http://schemas.openxmlformats.org/officeDocument/2006/relationships/hyperlink" Target="https://community.max.gov/x/eQs3Kw" TargetMode="External"/><Relationship Id="rId815" Type="http://schemas.openxmlformats.org/officeDocument/2006/relationships/hyperlink" Target="https://community.max.gov/x/4IEYLg" TargetMode="External"/><Relationship Id="rId814" Type="http://schemas.openxmlformats.org/officeDocument/2006/relationships/hyperlink" Target="https://marketplace.fedramp.gov/img/logos/Agency_logos/US-DeptOfEnergy-Seal.png" TargetMode="External"/><Relationship Id="rId813" Type="http://schemas.openxmlformats.org/officeDocument/2006/relationships/hyperlink" Target="https://marketplace.fedramp.gov/img/logos/CSP_logos/Salesforce%20Logo.jpg" TargetMode="External"/><Relationship Id="rId812" Type="http://schemas.openxmlformats.org/officeDocument/2006/relationships/hyperlink" Target="http://www.salesforce.com/industries/public-sector" TargetMode="External"/><Relationship Id="rId2970" Type="http://schemas.openxmlformats.org/officeDocument/2006/relationships/hyperlink" Target="https://marketplace.fedramp.gov/img/logos/Agency_logos/US-DeptOfCommerce-Seal.png" TargetMode="External"/><Relationship Id="rId1640" Type="http://schemas.openxmlformats.org/officeDocument/2006/relationships/hyperlink" Target="https://community.max.gov/x/8QHENw" TargetMode="External"/><Relationship Id="rId2971" Type="http://schemas.openxmlformats.org/officeDocument/2006/relationships/hyperlink" Target="https://community.max.gov/x/3JC6L" TargetMode="External"/><Relationship Id="rId1641" Type="http://schemas.openxmlformats.org/officeDocument/2006/relationships/hyperlink" Target="https://community.max.gov/download/attachments/935592437/CAMS_ATO_02242016_Signed.pdf?api=v2" TargetMode="External"/><Relationship Id="rId2972" Type="http://schemas.openxmlformats.org/officeDocument/2006/relationships/hyperlink" Target="https://community.max.gov/download/attachments/992346706/ATO.Letter_MSO365_DoC_ITA_3.31.17.pdf?api=v2" TargetMode="External"/><Relationship Id="rId1675" Type="http://schemas.openxmlformats.org/officeDocument/2006/relationships/hyperlink" Target="https://community.max.gov/x/DgwdJg" TargetMode="External"/><Relationship Id="rId1676" Type="http://schemas.openxmlformats.org/officeDocument/2006/relationships/hyperlink" Target="https://community.max.gov/download/attachments/1155203762/ATO.Letter_OracleFMCS_DoT_BEP_12.14.15.pdf?api=v2" TargetMode="External"/><Relationship Id="rId1677" Type="http://schemas.openxmlformats.org/officeDocument/2006/relationships/hyperlink" Target="http://www.oracle.com/us/industries/public-sector/government-cloud/index.html" TargetMode="External"/><Relationship Id="rId1678" Type="http://schemas.openxmlformats.org/officeDocument/2006/relationships/hyperlink" Target="https://marketplace.fedramp.gov/img/logos/CSP_logos/Oracle%20Logo.jpg" TargetMode="External"/><Relationship Id="rId1679" Type="http://schemas.openxmlformats.org/officeDocument/2006/relationships/hyperlink" Target="https://marketplace.fedramp.gov/img/logos/Agency_logos/US-DeptOfTheTreasury-Seal.png" TargetMode="External"/><Relationship Id="rId849" Type="http://schemas.openxmlformats.org/officeDocument/2006/relationships/hyperlink" Target="https://marketplace.fedramp.gov/img/logos/Agency_logos/US-DeptOfLabor-Seal-AltColors.svg.png" TargetMode="External"/><Relationship Id="rId844" Type="http://schemas.openxmlformats.org/officeDocument/2006/relationships/hyperlink" Target="https://marketplace.fedramp.gov/img/logos/Agency_logos/768px-US-DeptOfTransportation-Seal.svg.png" TargetMode="External"/><Relationship Id="rId843" Type="http://schemas.openxmlformats.org/officeDocument/2006/relationships/hyperlink" Target="https://marketplace.fedramp.gov/img/logos/CSP_logos/Proofpoint%20Logo.jpg" TargetMode="External"/><Relationship Id="rId842" Type="http://schemas.openxmlformats.org/officeDocument/2006/relationships/hyperlink" Target="http://www.proofpoint.com" TargetMode="External"/><Relationship Id="rId841" Type="http://schemas.openxmlformats.org/officeDocument/2006/relationships/hyperlink" Target="https://community.max.gov/download/attachments/974717633/Proofpoint_FedRAMP_30_Sep2015.pdf?api=v2" TargetMode="External"/><Relationship Id="rId848" Type="http://schemas.openxmlformats.org/officeDocument/2006/relationships/hyperlink" Target="https://marketplace.fedramp.gov/img/logos/CSP_logos/Microsoft%20Logo.jpg" TargetMode="External"/><Relationship Id="rId847" Type="http://schemas.openxmlformats.org/officeDocument/2006/relationships/hyperlink" Target="http://www.microsoft.office.com" TargetMode="External"/><Relationship Id="rId846" Type="http://schemas.openxmlformats.org/officeDocument/2006/relationships/hyperlink" Target="https://community.max.gov/download/attachments/780173411/ATO.Letter_MSO365_DOL_12.19.14.pdf?api=v2" TargetMode="External"/><Relationship Id="rId845" Type="http://schemas.openxmlformats.org/officeDocument/2006/relationships/hyperlink" Target="https://community.max.gov/x/3JC6L" TargetMode="External"/><Relationship Id="rId1670" Type="http://schemas.openxmlformats.org/officeDocument/2006/relationships/hyperlink" Target="https://community.max.gov/x/QoWaP" TargetMode="External"/><Relationship Id="rId840" Type="http://schemas.openxmlformats.org/officeDocument/2006/relationships/hyperlink" Target="https://community.max.gov/x/vQIZOg" TargetMode="External"/><Relationship Id="rId1671" Type="http://schemas.openxmlformats.org/officeDocument/2006/relationships/hyperlink" Target="https://community.max.gov/download/attachments/1155203837/ATO.Letter_ServiceNow_DOC_NIST_9.23.16.pdf?api=v2" TargetMode="External"/><Relationship Id="rId1672" Type="http://schemas.openxmlformats.org/officeDocument/2006/relationships/hyperlink" Target="http://www.servicenow.com" TargetMode="External"/><Relationship Id="rId1673" Type="http://schemas.openxmlformats.org/officeDocument/2006/relationships/hyperlink" Target="https://marketplace.fedramp.gov/img/logos/CSP_logos/ServiceNow%20Logo.jpg" TargetMode="External"/><Relationship Id="rId1674" Type="http://schemas.openxmlformats.org/officeDocument/2006/relationships/hyperlink" Target="https://marketplace.fedramp.gov/img/logos/Agency_logos/US-DeptOfCommerce-Seal.png" TargetMode="External"/><Relationship Id="rId1664" Type="http://schemas.openxmlformats.org/officeDocument/2006/relationships/hyperlink" Target="https://marketplace.fedramp.gov/img/logos/Agency_logos/FHFA%20Logo.jpg" TargetMode="External"/><Relationship Id="rId2995" Type="http://schemas.openxmlformats.org/officeDocument/2006/relationships/hyperlink" Target="https://marketplace.fedramp.gov/img/logos/Agency_logos/US-DeptOfAgriculture-Seal2.png" TargetMode="External"/><Relationship Id="rId1665" Type="http://schemas.openxmlformats.org/officeDocument/2006/relationships/hyperlink" Target="https://community.max.gov/x/DgwdJg" TargetMode="External"/><Relationship Id="rId2996" Type="http://schemas.openxmlformats.org/officeDocument/2006/relationships/hyperlink" Target="https://community.max.gov/x/VJM5JQ" TargetMode="External"/><Relationship Id="rId1666" Type="http://schemas.openxmlformats.org/officeDocument/2006/relationships/hyperlink" Target="https://community.max.gov/download/attachments/1155203762/ATO.Letter_OracleFMCS_FHFA_OIG_5.31.16.pdf?api=v2" TargetMode="External"/><Relationship Id="rId2997" Type="http://schemas.openxmlformats.org/officeDocument/2006/relationships/hyperlink" Target="https://community.max.gov/download/attachments/1116602747/ATO.Letter_CGI_USDA_3.13.17.pdf?api=v2" TargetMode="External"/><Relationship Id="rId1667" Type="http://schemas.openxmlformats.org/officeDocument/2006/relationships/hyperlink" Target="http://www.oracle.com/us/industries/public-sector/government-cloud/index.html" TargetMode="External"/><Relationship Id="rId2998" Type="http://schemas.openxmlformats.org/officeDocument/2006/relationships/hyperlink" Target="http://www.cgi.com" TargetMode="External"/><Relationship Id="rId1668" Type="http://schemas.openxmlformats.org/officeDocument/2006/relationships/hyperlink" Target="https://marketplace.fedramp.gov/img/logos/CSP_logos/Oracle%20Logo.jpg" TargetMode="External"/><Relationship Id="rId2999" Type="http://schemas.openxmlformats.org/officeDocument/2006/relationships/hyperlink" Target="https://marketplace.fedramp.gov/img/logos/CSP_logos/CGI%20Federal.jpg" TargetMode="External"/><Relationship Id="rId1669" Type="http://schemas.openxmlformats.org/officeDocument/2006/relationships/hyperlink" Target="https://marketplace.fedramp.gov/img/logos/Agency_logos/FHFA%20Logo.jpg" TargetMode="External"/><Relationship Id="rId839" Type="http://schemas.openxmlformats.org/officeDocument/2006/relationships/hyperlink" Target="https://marketplace.fedramp.gov/img/logos/Agency_logos/US-DeptOfHUD-Seal.png" TargetMode="External"/><Relationship Id="rId838" Type="http://schemas.openxmlformats.org/officeDocument/2006/relationships/hyperlink" Target="https://marketplace.fedramp.gov/img/logos/CSP_logos/MicroPact%20Logo.jpg" TargetMode="External"/><Relationship Id="rId833" Type="http://schemas.openxmlformats.org/officeDocument/2006/relationships/hyperlink" Target="https://marketplace.fedramp.gov/img/logos/CSP_logos/Salesforce%20Logo.jpg" TargetMode="External"/><Relationship Id="rId832" Type="http://schemas.openxmlformats.org/officeDocument/2006/relationships/hyperlink" Target="http://www.salesforce.com/industries/public-sector" TargetMode="External"/><Relationship Id="rId831" Type="http://schemas.openxmlformats.org/officeDocument/2006/relationships/hyperlink" Target="https://community.max.gov/download/attachments/1130635691/ATO.Letter_Salesforce_EPA_01.30.15.pdf?api=v2" TargetMode="External"/><Relationship Id="rId830" Type="http://schemas.openxmlformats.org/officeDocument/2006/relationships/hyperlink" Target="https://community.max.gov/x/eQs3Kw" TargetMode="External"/><Relationship Id="rId837" Type="http://schemas.openxmlformats.org/officeDocument/2006/relationships/hyperlink" Target="http://www.micropact.com" TargetMode="External"/><Relationship Id="rId836" Type="http://schemas.openxmlformats.org/officeDocument/2006/relationships/hyperlink" Target="https://community.max.gov/download/attachments/777093308/ATO.Letter_Micropact_HUD_01.20.15.pdf?api=v2" TargetMode="External"/><Relationship Id="rId835" Type="http://schemas.openxmlformats.org/officeDocument/2006/relationships/hyperlink" Target="https://community.max.gov/x/GgwdJg" TargetMode="External"/><Relationship Id="rId834" Type="http://schemas.openxmlformats.org/officeDocument/2006/relationships/hyperlink" Target="https://marketplace.fedramp.gov/img/logos/Agency_logos/Environmental_Protection_Agency_logo.png" TargetMode="External"/><Relationship Id="rId2990" Type="http://schemas.openxmlformats.org/officeDocument/2006/relationships/hyperlink" Target="https://marketplace.fedramp.gov/img/logos/Agency_logos/US-DeptOfAgriculture-Seal2.png" TargetMode="External"/><Relationship Id="rId1660" Type="http://schemas.openxmlformats.org/officeDocument/2006/relationships/hyperlink" Target="https://community.max.gov/x/DgwdJg" TargetMode="External"/><Relationship Id="rId2991" Type="http://schemas.openxmlformats.org/officeDocument/2006/relationships/hyperlink" Target="https://community.max.gov/x/ApBJK" TargetMode="External"/><Relationship Id="rId1661" Type="http://schemas.openxmlformats.org/officeDocument/2006/relationships/hyperlink" Target="https://community.max.gov/download/attachments/1155203762/ATO.Letter_OracleFMCS_FHFA_9.27.16.pdf?api=v2" TargetMode="External"/><Relationship Id="rId2992" Type="http://schemas.openxmlformats.org/officeDocument/2006/relationships/hyperlink" Target="https://community.max.gov/download/attachments/1113425425/ATO.Letter_AWSGC_USDA_8.30.17.pdf?api=v2" TargetMode="External"/><Relationship Id="rId1662" Type="http://schemas.openxmlformats.org/officeDocument/2006/relationships/hyperlink" Target="http://www.oracle.com/us/industries/public-sector/government-cloud/index.html" TargetMode="External"/><Relationship Id="rId2993" Type="http://schemas.openxmlformats.org/officeDocument/2006/relationships/hyperlink" Target="http://www.aws.amazon.com" TargetMode="External"/><Relationship Id="rId1663" Type="http://schemas.openxmlformats.org/officeDocument/2006/relationships/hyperlink" Target="https://marketplace.fedramp.gov/img/logos/CSP_logos/Oracle%20Logo.jpg" TargetMode="External"/><Relationship Id="rId2994" Type="http://schemas.openxmlformats.org/officeDocument/2006/relationships/hyperlink" Target="https://marketplace.fedramp.gov/img/logos/CSP_logos/Amazon%20Logo.jpg" TargetMode="External"/><Relationship Id="rId2148" Type="http://schemas.openxmlformats.org/officeDocument/2006/relationships/hyperlink" Target="https://community.max.gov/download/attachments/1155204218/ATO.Letter_MSAG_DoT_IRS_03.06.17.pdf?api=v2" TargetMode="External"/><Relationship Id="rId2149" Type="http://schemas.openxmlformats.org/officeDocument/2006/relationships/hyperlink" Target="mailto:AzureFedRAMP@microsoft.com" TargetMode="External"/><Relationship Id="rId3479" Type="http://schemas.openxmlformats.org/officeDocument/2006/relationships/hyperlink" Target="http://www.ains.com" TargetMode="External"/><Relationship Id="rId3470" Type="http://schemas.openxmlformats.org/officeDocument/2006/relationships/hyperlink" Target="https://marketplace.fedramp.gov/img/logos/CSP_logos/IBM%20Logo.jpg" TargetMode="External"/><Relationship Id="rId2140" Type="http://schemas.openxmlformats.org/officeDocument/2006/relationships/hyperlink" Target="https://marketplace.fedramp.gov/img/logos/CSP_logos/Salesforce%20Logo.jpg" TargetMode="External"/><Relationship Id="rId3472" Type="http://schemas.openxmlformats.org/officeDocument/2006/relationships/hyperlink" Target="https://community.max.gov/x/GwCsPQ" TargetMode="External"/><Relationship Id="rId2141" Type="http://schemas.openxmlformats.org/officeDocument/2006/relationships/hyperlink" Target="https://marketplace.fedramp.gov/img/logos/Agency_logos/CFPB_Logo.png" TargetMode="External"/><Relationship Id="rId3471" Type="http://schemas.openxmlformats.org/officeDocument/2006/relationships/hyperlink" Target="https://marketplace.fedramp.gov/img/logos/Agency_logos/Peace%20Corps%20Logo.jpg" TargetMode="External"/><Relationship Id="rId2142" Type="http://schemas.openxmlformats.org/officeDocument/2006/relationships/hyperlink" Target="https://community.max.gov/x/eQs3Kw" TargetMode="External"/><Relationship Id="rId3474" Type="http://schemas.openxmlformats.org/officeDocument/2006/relationships/hyperlink" Target="http://www.cloud.gov" TargetMode="External"/><Relationship Id="rId2143" Type="http://schemas.openxmlformats.org/officeDocument/2006/relationships/hyperlink" Target="https://community.max.gov/download/attachments/1130635691/ATO.Letter_Salesforce_DoI_03.02.17.pdf?api=v2" TargetMode="External"/><Relationship Id="rId3473" Type="http://schemas.openxmlformats.org/officeDocument/2006/relationships/hyperlink" Target="https://community.max.gov/download/attachments/1197709114/ATO.Letter_18F_FEC_4.23.18.pdf?api=v2" TargetMode="External"/><Relationship Id="rId2144" Type="http://schemas.openxmlformats.org/officeDocument/2006/relationships/hyperlink" Target="http://www.salesforce.com/industries/public-sector" TargetMode="External"/><Relationship Id="rId3476" Type="http://schemas.openxmlformats.org/officeDocument/2006/relationships/hyperlink" Target="https://marketplace.fedramp.gov/img/logos/Agency_logos/FEC%20Logo.png" TargetMode="External"/><Relationship Id="rId2145" Type="http://schemas.openxmlformats.org/officeDocument/2006/relationships/hyperlink" Target="https://marketplace.fedramp.gov/img/logos/CSP_logos/Salesforce%20Logo.jpg" TargetMode="External"/><Relationship Id="rId3475" Type="http://schemas.openxmlformats.org/officeDocument/2006/relationships/hyperlink" Target="https://marketplace.fedramp.gov/img/logos/CSP_logos/Cloud.gov%20Logo.jpg" TargetMode="External"/><Relationship Id="rId2146" Type="http://schemas.openxmlformats.org/officeDocument/2006/relationships/hyperlink" Target="https://marketplace.fedramp.gov/img/logos/Agency_logos/US-DeptOfTheInterior-Seal.png" TargetMode="External"/><Relationship Id="rId3478" Type="http://schemas.openxmlformats.org/officeDocument/2006/relationships/hyperlink" Target="https://community.max.gov/download/attachments/992346622/ATO.Letter_AINS_FTC_4.25.18.pdf?api=v2" TargetMode="External"/><Relationship Id="rId2147" Type="http://schemas.openxmlformats.org/officeDocument/2006/relationships/hyperlink" Target="https://community.max.gov/x/WgZfJw" TargetMode="External"/><Relationship Id="rId3477" Type="http://schemas.openxmlformats.org/officeDocument/2006/relationships/hyperlink" Target="https://community.max.gov/x/FgnEJg" TargetMode="External"/><Relationship Id="rId2137" Type="http://schemas.openxmlformats.org/officeDocument/2006/relationships/hyperlink" Target="https://community.max.gov/x/eQs3Kw" TargetMode="External"/><Relationship Id="rId3469" Type="http://schemas.openxmlformats.org/officeDocument/2006/relationships/hyperlink" Target="https://www.ibm.com/us-en/" TargetMode="External"/><Relationship Id="rId2138" Type="http://schemas.openxmlformats.org/officeDocument/2006/relationships/hyperlink" Target="https://community.max.gov/download/attachments/992346725/ATO.Letter_Salesforce_CFPB_12.16.16.pdf?api=v2" TargetMode="External"/><Relationship Id="rId3468" Type="http://schemas.openxmlformats.org/officeDocument/2006/relationships/hyperlink" Target="https://community.max.gov/download/attachments/724337398/IBM%20Connections%20Cloud%20and%20Peace%20Corps%20ATO%2020180103.pdf?api=v2" TargetMode="External"/><Relationship Id="rId2139" Type="http://schemas.openxmlformats.org/officeDocument/2006/relationships/hyperlink" Target="http://www.salesforce.com/industries/public-sector" TargetMode="External"/><Relationship Id="rId3461" Type="http://schemas.openxmlformats.org/officeDocument/2006/relationships/hyperlink" Target="https://marketplace.fedramp.gov/img/logos/Agency_logos/US-SurfaceTransportationBoard-Seal.png" TargetMode="External"/><Relationship Id="rId2130" Type="http://schemas.openxmlformats.org/officeDocument/2006/relationships/hyperlink" Target="https://marketplace.fedramp.gov/img/logos/CSP_logos/Amazon%20Logo.jpg" TargetMode="External"/><Relationship Id="rId3460" Type="http://schemas.openxmlformats.org/officeDocument/2006/relationships/hyperlink" Target="https://marketplace.fedramp.gov/img/logos/CSP_logos/Cylance%20Logo.jpg" TargetMode="External"/><Relationship Id="rId2131" Type="http://schemas.openxmlformats.org/officeDocument/2006/relationships/hyperlink" Target="https://marketplace.fedramp.gov/img/logos/Agency_logos/US-DeptOfHHS-Seal.png" TargetMode="External"/><Relationship Id="rId3463" Type="http://schemas.openxmlformats.org/officeDocument/2006/relationships/hyperlink" Target="https://community.max.gov/download/attachments/1179582858/ATO.Letter_MSDynamics_USDA_1.26.18.pdf?api=v2" TargetMode="External"/><Relationship Id="rId2132" Type="http://schemas.openxmlformats.org/officeDocument/2006/relationships/hyperlink" Target="https://community.max.gov/x/QoWaP" TargetMode="External"/><Relationship Id="rId3462" Type="http://schemas.openxmlformats.org/officeDocument/2006/relationships/hyperlink" Target="https://community.max.gov/x/nAG9PQ" TargetMode="External"/><Relationship Id="rId2133" Type="http://schemas.openxmlformats.org/officeDocument/2006/relationships/hyperlink" Target="https://community.max.gov/download/attachments/1256458288/ATO.Letter_ServiceNow_FRTIB_02.10.17.pdf?api=v2" TargetMode="External"/><Relationship Id="rId3465" Type="http://schemas.openxmlformats.org/officeDocument/2006/relationships/hyperlink" Target="https://marketplace.fedramp.gov/img/logos/CSP_logos/Microsoft%20Logo.jpg" TargetMode="External"/><Relationship Id="rId2134" Type="http://schemas.openxmlformats.org/officeDocument/2006/relationships/hyperlink" Target="http://www.servicenow.com" TargetMode="External"/><Relationship Id="rId3464" Type="http://schemas.openxmlformats.org/officeDocument/2006/relationships/hyperlink" Target="https://www.microsoft.com/en-us/dynamics/public-sector.aspx" TargetMode="External"/><Relationship Id="rId2135" Type="http://schemas.openxmlformats.org/officeDocument/2006/relationships/hyperlink" Target="https://marketplace.fedramp.gov/img/logos/CSP_logos/ServiceNow%20Logo.jpg" TargetMode="External"/><Relationship Id="rId3467" Type="http://schemas.openxmlformats.org/officeDocument/2006/relationships/hyperlink" Target="https://community.max.gov/x/ZYWAT" TargetMode="External"/><Relationship Id="rId2136" Type="http://schemas.openxmlformats.org/officeDocument/2006/relationships/hyperlink" Target="https://marketplace.fedramp.gov/img/logos/Agency_logos/FRTIB%20Logo.jpg" TargetMode="External"/><Relationship Id="rId3466" Type="http://schemas.openxmlformats.org/officeDocument/2006/relationships/hyperlink" Target="https://marketplace.fedramp.gov/img/logos/Agency_logos/US-DeptOfAgriculture-Seal2.png" TargetMode="External"/><Relationship Id="rId3490" Type="http://schemas.openxmlformats.org/officeDocument/2006/relationships/hyperlink" Target="https://marketplace.fedramp.gov/img/logos/CSP_logos/Amazon%20Logo.jpg" TargetMode="External"/><Relationship Id="rId2160" Type="http://schemas.openxmlformats.org/officeDocument/2006/relationships/hyperlink" Target="mailto:AzureFedRAMP@microsoft.com" TargetMode="External"/><Relationship Id="rId3492" Type="http://schemas.openxmlformats.org/officeDocument/2006/relationships/hyperlink" Target="https://community.max.gov/display/FedRAMPExternal/MS+Azure+ATO+Letters" TargetMode="External"/><Relationship Id="rId2161" Type="http://schemas.openxmlformats.org/officeDocument/2006/relationships/hyperlink" Target="http://azure.microsoft.com/en-us/" TargetMode="External"/><Relationship Id="rId3491" Type="http://schemas.openxmlformats.org/officeDocument/2006/relationships/hyperlink" Target="https://marketplace.fedramp.gov/img/logos/Agency_logos/US-FederalTradeCommission-Seal.png" TargetMode="External"/><Relationship Id="rId2162" Type="http://schemas.openxmlformats.org/officeDocument/2006/relationships/hyperlink" Target="https://marketplace.fedramp.gov/img/logos/CSP_logos/Microsoft%20Logo.jpg" TargetMode="External"/><Relationship Id="rId3494" Type="http://schemas.openxmlformats.org/officeDocument/2006/relationships/hyperlink" Target="http://azure.microsoft.com/en-us/" TargetMode="External"/><Relationship Id="rId2163" Type="http://schemas.openxmlformats.org/officeDocument/2006/relationships/hyperlink" Target="https://marketplace.fedramp.gov/img/logos/Agency_logos/Seal_of_the_United_States_Department_of_Veterans_Affairs_(1989-2012).png" TargetMode="External"/><Relationship Id="rId3493" Type="http://schemas.openxmlformats.org/officeDocument/2006/relationships/hyperlink" Target="https://community.max.gov/download/attachments/1155204218/ATO.Letter_MSAzure_FTC_4.25.18.pdf?api=v2" TargetMode="External"/><Relationship Id="rId2164" Type="http://schemas.openxmlformats.org/officeDocument/2006/relationships/hyperlink" Target="https://community.max.gov/x/vgVqQQ" TargetMode="External"/><Relationship Id="rId3496" Type="http://schemas.openxmlformats.org/officeDocument/2006/relationships/hyperlink" Target="https://marketplace.fedramp.gov/img/logos/Agency_logos/US-FederalTradeCommission-Seal.png" TargetMode="External"/><Relationship Id="rId2165" Type="http://schemas.openxmlformats.org/officeDocument/2006/relationships/hyperlink" Target="https://community.max.gov/download/attachments/1097467326/ATO.Letter_AWSGC_VA_03.06.17.pdf?api=v2" TargetMode="External"/><Relationship Id="rId3495" Type="http://schemas.openxmlformats.org/officeDocument/2006/relationships/hyperlink" Target="https://marketplace.fedramp.gov/img/logos/CSP_logos/Microsoft%20Logo.jpg" TargetMode="External"/><Relationship Id="rId2166" Type="http://schemas.openxmlformats.org/officeDocument/2006/relationships/hyperlink" Target="http://www.aws.amazon.com" TargetMode="External"/><Relationship Id="rId3498" Type="http://schemas.openxmlformats.org/officeDocument/2006/relationships/hyperlink" Target="https://community.max.gov/download/attachments/1115488742/ATO.Letter_AWSEW_DHS_CBP_12.29.17.pdf?api=v2" TargetMode="External"/><Relationship Id="rId2167" Type="http://schemas.openxmlformats.org/officeDocument/2006/relationships/hyperlink" Target="https://marketplace.fedramp.gov/img/logos/CSP_logos/Amazon%20Logo.jpg" TargetMode="External"/><Relationship Id="rId3497" Type="http://schemas.openxmlformats.org/officeDocument/2006/relationships/hyperlink" Target="https://community.max.gov/x/DpBJK" TargetMode="External"/><Relationship Id="rId2168" Type="http://schemas.openxmlformats.org/officeDocument/2006/relationships/hyperlink" Target="https://marketplace.fedramp.gov/img/logos/Agency_logos/Seal_of_the_United_States_Department_of_Veterans_Affairs_(1989-2012).png" TargetMode="External"/><Relationship Id="rId2169" Type="http://schemas.openxmlformats.org/officeDocument/2006/relationships/hyperlink" Target="https://community.max.gov/x/3JC6L" TargetMode="External"/><Relationship Id="rId3499" Type="http://schemas.openxmlformats.org/officeDocument/2006/relationships/hyperlink" Target="http://www.aws.amazon.com" TargetMode="External"/><Relationship Id="rId2159" Type="http://schemas.openxmlformats.org/officeDocument/2006/relationships/hyperlink" Target="https://community.max.gov/download/attachments/1155204218/ATO.Letter_MSAG_VA_03.09.17.pdf?api=v2" TargetMode="External"/><Relationship Id="rId3481" Type="http://schemas.openxmlformats.org/officeDocument/2006/relationships/hyperlink" Target="https://marketplace.fedramp.gov/img/logos/Agency_logos/US-FederalTradeCommission-Seal.png" TargetMode="External"/><Relationship Id="rId2150" Type="http://schemas.openxmlformats.org/officeDocument/2006/relationships/hyperlink" Target="http://azure.microsoft.com/en-us/" TargetMode="External"/><Relationship Id="rId3480" Type="http://schemas.openxmlformats.org/officeDocument/2006/relationships/hyperlink" Target="https://marketplace.fedramp.gov/img/logos/CSP_logos/AINS%20Logo.jpg" TargetMode="External"/><Relationship Id="rId2151" Type="http://schemas.openxmlformats.org/officeDocument/2006/relationships/hyperlink" Target="https://marketplace.fedramp.gov/img/logos/CSP_logos/Microsoft%20Logo.jpg" TargetMode="External"/><Relationship Id="rId3483" Type="http://schemas.openxmlformats.org/officeDocument/2006/relationships/hyperlink" Target="https://community.max.gov/download/attachments/1115488742/ATO.Letter_AWSEW_FTC_4.25.18.pdf?api=v2" TargetMode="External"/><Relationship Id="rId2152" Type="http://schemas.openxmlformats.org/officeDocument/2006/relationships/hyperlink" Target="https://marketplace.fedramp.gov/img/logos/Agency_logos/US-DeptOfTheTreasury-Seal.png" TargetMode="External"/><Relationship Id="rId3482" Type="http://schemas.openxmlformats.org/officeDocument/2006/relationships/hyperlink" Target="https://community.max.gov/x/DpBJK" TargetMode="External"/><Relationship Id="rId2153" Type="http://schemas.openxmlformats.org/officeDocument/2006/relationships/hyperlink" Target="https://community.max.gov/x/CgIoNQ" TargetMode="External"/><Relationship Id="rId3485" Type="http://schemas.openxmlformats.org/officeDocument/2006/relationships/hyperlink" Target="https://marketplace.fedramp.gov/img/logos/CSP_logos/Amazon%20Logo.jpg" TargetMode="External"/><Relationship Id="rId2154" Type="http://schemas.openxmlformats.org/officeDocument/2006/relationships/hyperlink" Target="https://community.max.gov/download/attachments/992346635/AtHoc%20Services%20for%20the%20Government%20%28ACSforGov%29%20ATO%20Letter.pdf?api=v2" TargetMode="External"/><Relationship Id="rId3484" Type="http://schemas.openxmlformats.org/officeDocument/2006/relationships/hyperlink" Target="http://www.aws.amazon.com" TargetMode="External"/><Relationship Id="rId2155" Type="http://schemas.openxmlformats.org/officeDocument/2006/relationships/hyperlink" Target="http://blackberry.athoc.com" TargetMode="External"/><Relationship Id="rId3487" Type="http://schemas.openxmlformats.org/officeDocument/2006/relationships/hyperlink" Target="https://community.max.gov/x/vgVqQQ" TargetMode="External"/><Relationship Id="rId2156" Type="http://schemas.openxmlformats.org/officeDocument/2006/relationships/hyperlink" Target="https://marketplace.fedramp.gov/img/logos/CSP_logos/BlackBerry%20Logo.jpg" TargetMode="External"/><Relationship Id="rId3486" Type="http://schemas.openxmlformats.org/officeDocument/2006/relationships/hyperlink" Target="https://marketplace.fedramp.gov/img/logos/Agency_logos/US-FederalTradeCommission-Seal.png" TargetMode="External"/><Relationship Id="rId2157" Type="http://schemas.openxmlformats.org/officeDocument/2006/relationships/hyperlink" Target="https://marketplace.fedramp.gov/img/logos/Agency_logos/768px-US-DeptOfTransportation-Seal.svg.png" TargetMode="External"/><Relationship Id="rId3489" Type="http://schemas.openxmlformats.org/officeDocument/2006/relationships/hyperlink" Target="http://www.aws.amazon.com" TargetMode="External"/><Relationship Id="rId2158" Type="http://schemas.openxmlformats.org/officeDocument/2006/relationships/hyperlink" Target="https://community.max.gov/x/WgZfJw" TargetMode="External"/><Relationship Id="rId3488" Type="http://schemas.openxmlformats.org/officeDocument/2006/relationships/hyperlink" Target="https://community.max.gov/download/attachments/1097467326/ATO.Letter_AWSGC_FTC_4.25.18.pdf?api=v2" TargetMode="External"/><Relationship Id="rId2104" Type="http://schemas.openxmlformats.org/officeDocument/2006/relationships/hyperlink" Target="http://azure.microsoft.com/en-us/" TargetMode="External"/><Relationship Id="rId3436" Type="http://schemas.openxmlformats.org/officeDocument/2006/relationships/hyperlink" Target="https://marketplace.fedramp.gov/img/logos/Agency_logos/US-DeptOfHHS-Seal.png" TargetMode="External"/><Relationship Id="rId2105" Type="http://schemas.openxmlformats.org/officeDocument/2006/relationships/hyperlink" Target="https://marketplace.fedramp.gov/img/logos/CSP_logos/Microsoft%20Logo.jpg" TargetMode="External"/><Relationship Id="rId3435" Type="http://schemas.openxmlformats.org/officeDocument/2006/relationships/hyperlink" Target="https://marketplace.fedramp.gov/img/logos/CSP_logos/CoSo%20Logo.jpg" TargetMode="External"/><Relationship Id="rId2106" Type="http://schemas.openxmlformats.org/officeDocument/2006/relationships/hyperlink" Target="https://marketplace.fedramp.gov/img/logos/Agency_logos/768px-US-DeptOfTransportation-Seal.svg.png" TargetMode="External"/><Relationship Id="rId3438" Type="http://schemas.openxmlformats.org/officeDocument/2006/relationships/hyperlink" Target="https://community.max.gov/download/attachments/1181253908/ATO.Letter_Skyhigh_HHS_FDA_3.28.18.pdf?api=v2" TargetMode="External"/><Relationship Id="rId2107" Type="http://schemas.openxmlformats.org/officeDocument/2006/relationships/hyperlink" Target="https://community.max.gov/x/bI5VJQ" TargetMode="External"/><Relationship Id="rId3437" Type="http://schemas.openxmlformats.org/officeDocument/2006/relationships/hyperlink" Target="https://community.max.gov/x/YQURNQ" TargetMode="External"/><Relationship Id="rId2108" Type="http://schemas.openxmlformats.org/officeDocument/2006/relationships/hyperlink" Target="https://community.max.gov/download/attachments/1155204092/ATO.Letter_ARC-P_OPM_01.18.17.pdf?api=v2" TargetMode="External"/><Relationship Id="rId2109" Type="http://schemas.openxmlformats.org/officeDocument/2006/relationships/hyperlink" Target="http://www.autonomicresources.com" TargetMode="External"/><Relationship Id="rId3439" Type="http://schemas.openxmlformats.org/officeDocument/2006/relationships/hyperlink" Target="http://www.skyhighnetworks.com" TargetMode="External"/><Relationship Id="rId3430" Type="http://schemas.openxmlformats.org/officeDocument/2006/relationships/hyperlink" Target="https://marketplace.fedramp.gov/img/logos/CSP_logos/Cornerstone%20Logo.jpg" TargetMode="External"/><Relationship Id="rId2100" Type="http://schemas.openxmlformats.org/officeDocument/2006/relationships/hyperlink" Target="https://marketplace.fedramp.gov/img/logos/Agency_logos/768px-US-DeptOfTransportation-Seal.svg.png" TargetMode="External"/><Relationship Id="rId3432" Type="http://schemas.openxmlformats.org/officeDocument/2006/relationships/hyperlink" Target="https://community.max.gov/x/8A4GJg" TargetMode="External"/><Relationship Id="rId2101" Type="http://schemas.openxmlformats.org/officeDocument/2006/relationships/hyperlink" Target="https://community.max.gov/display/FedRAMPExternal/MS+Azure+ATO+Letters" TargetMode="External"/><Relationship Id="rId3431" Type="http://schemas.openxmlformats.org/officeDocument/2006/relationships/hyperlink" Target="https://marketplace.fedramp.gov/img/logos/Agency_logos/US-DeptOfHHS-Seal.png" TargetMode="External"/><Relationship Id="rId2102" Type="http://schemas.openxmlformats.org/officeDocument/2006/relationships/hyperlink" Target="https://community.max.gov/download/attachments/1155204218/ATO.Letter_MSAzure_DoT_10.28.16.pdf?api=v2" TargetMode="External"/><Relationship Id="rId3434" Type="http://schemas.openxmlformats.org/officeDocument/2006/relationships/hyperlink" Target="https://www.cosocloud.com" TargetMode="External"/><Relationship Id="rId2103" Type="http://schemas.openxmlformats.org/officeDocument/2006/relationships/hyperlink" Target="mailto:adamsoh@microsoft.com" TargetMode="External"/><Relationship Id="rId3433" Type="http://schemas.openxmlformats.org/officeDocument/2006/relationships/hyperlink" Target="https://community.max.gov/download/attachments/992346665/ATO.Letter_CoSo_HHS_FDA_4.4.18.pdf?api=v2" TargetMode="External"/><Relationship Id="rId3425" Type="http://schemas.openxmlformats.org/officeDocument/2006/relationships/hyperlink" Target="https://marketplace.fedramp.gov/img/logos/Agency_logos/US-FederalTradeCommission-Seal.png" TargetMode="External"/><Relationship Id="rId3424" Type="http://schemas.openxmlformats.org/officeDocument/2006/relationships/hyperlink" Target="https://marketplace.fedramp.gov/img/logos/CSP_logos/Blackmesh%20Logo.jpg" TargetMode="External"/><Relationship Id="rId3427" Type="http://schemas.openxmlformats.org/officeDocument/2006/relationships/hyperlink" Target="https://community.max.gov/download/attachments/930415021/ATO.Letter_Cornerstone_HHS_FDA_4.4.18.pdf?api=v2" TargetMode="External"/><Relationship Id="rId3426" Type="http://schemas.openxmlformats.org/officeDocument/2006/relationships/hyperlink" Target="https://community.max.gov/x/fgIhMg" TargetMode="External"/><Relationship Id="rId3429" Type="http://schemas.openxmlformats.org/officeDocument/2006/relationships/hyperlink" Target="http://www.cornerstoneondemand.com/" TargetMode="External"/><Relationship Id="rId3428" Type="http://schemas.openxmlformats.org/officeDocument/2006/relationships/hyperlink" Target="mailto:DToy@csod.com" TargetMode="External"/><Relationship Id="rId899" Type="http://schemas.openxmlformats.org/officeDocument/2006/relationships/hyperlink" Target="https://marketplace.fedramp.gov/img/logos/CSP_logos/Salesforce%20Logo.jpg" TargetMode="External"/><Relationship Id="rId898" Type="http://schemas.openxmlformats.org/officeDocument/2006/relationships/hyperlink" Target="http://www.salesforce.com/industries/public-sector" TargetMode="External"/><Relationship Id="rId897" Type="http://schemas.openxmlformats.org/officeDocument/2006/relationships/hyperlink" Target="https://community.max.gov/download/attachments/992346725/ATO.Letter_Salesforce_GSA_07.17.15.pdf?api=v2" TargetMode="External"/><Relationship Id="rId896" Type="http://schemas.openxmlformats.org/officeDocument/2006/relationships/hyperlink" Target="https://community.max.gov/x/eQs3Kw" TargetMode="External"/><Relationship Id="rId891" Type="http://schemas.openxmlformats.org/officeDocument/2006/relationships/hyperlink" Target="https://community.max.gov/x/RgLbR" TargetMode="External"/><Relationship Id="rId890" Type="http://schemas.openxmlformats.org/officeDocument/2006/relationships/hyperlink" Target="https://marketplace.fedramp.gov/img/logos/Agency_logos/GSAlogo.png" TargetMode="External"/><Relationship Id="rId895" Type="http://schemas.openxmlformats.org/officeDocument/2006/relationships/hyperlink" Target="https://marketplace.fedramp.gov/img/logos/Agency_logos/GSAlogo.png" TargetMode="External"/><Relationship Id="rId3421" Type="http://schemas.openxmlformats.org/officeDocument/2006/relationships/hyperlink" Target="https://community.max.gov/x/VgJbMg" TargetMode="External"/><Relationship Id="rId894" Type="http://schemas.openxmlformats.org/officeDocument/2006/relationships/hyperlink" Target="https://marketplace.fedramp.gov/img/logos/CSP_logos/IBM%20Logo.jpg" TargetMode="External"/><Relationship Id="rId3420" Type="http://schemas.openxmlformats.org/officeDocument/2006/relationships/hyperlink" Target="https://marketplace.fedramp.gov/img/logos/CSP_logos/Apptio%20Logo.jpg" TargetMode="External"/><Relationship Id="rId893" Type="http://schemas.openxmlformats.org/officeDocument/2006/relationships/hyperlink" Target="http://www-01.ibm.com/software/lotus/cloud/government/" TargetMode="External"/><Relationship Id="rId3423" Type="http://schemas.openxmlformats.org/officeDocument/2006/relationships/hyperlink" Target="http://www.blackmesh.com" TargetMode="External"/><Relationship Id="rId892" Type="http://schemas.openxmlformats.org/officeDocument/2006/relationships/hyperlink" Target="https://community.max.gov/download/attachments/1155203654/ATO.Letter_IBM_SCG_GSA_07.17.15.pdf?api=v2" TargetMode="External"/><Relationship Id="rId3422" Type="http://schemas.openxmlformats.org/officeDocument/2006/relationships/hyperlink" Target="https://community.max.gov/download/attachments/992346654/ATO.Letter_Blackmesh_FTC_3.26.18.pdf?api=v2" TargetMode="External"/><Relationship Id="rId2126" Type="http://schemas.openxmlformats.org/officeDocument/2006/relationships/hyperlink" Target="https://marketplace.fedramp.gov/img/logos/Agency_logos/US-OfficeOfPersonnelManagement-Seal.png" TargetMode="External"/><Relationship Id="rId3458" Type="http://schemas.openxmlformats.org/officeDocument/2006/relationships/hyperlink" Target="https://community.max.gov/download/attachments/1200588697/ATO.Letter_Cylance_STB_4.20.18.pdf?api=v2" TargetMode="External"/><Relationship Id="rId2127" Type="http://schemas.openxmlformats.org/officeDocument/2006/relationships/hyperlink" Target="https://community.max.gov/x/DpBJK" TargetMode="External"/><Relationship Id="rId3457" Type="http://schemas.openxmlformats.org/officeDocument/2006/relationships/hyperlink" Target="https://community.max.gov/x/eoePRw" TargetMode="External"/><Relationship Id="rId2128" Type="http://schemas.openxmlformats.org/officeDocument/2006/relationships/hyperlink" Target="https://community.max.gov/download/attachments/1115488812/ATO.Letter_Appian_HHS_FDA_02.09.17.pdf?api=v2" TargetMode="External"/><Relationship Id="rId2129" Type="http://schemas.openxmlformats.org/officeDocument/2006/relationships/hyperlink" Target="http://www.aws.amazon.com" TargetMode="External"/><Relationship Id="rId3459" Type="http://schemas.openxmlformats.org/officeDocument/2006/relationships/hyperlink" Target="http://www.cylance.com" TargetMode="External"/><Relationship Id="rId3450" Type="http://schemas.openxmlformats.org/officeDocument/2006/relationships/hyperlink" Target="https://marketplace.fedramp.gov/img/logos/CSP_logos/MicroPact%20Logo.jpg" TargetMode="External"/><Relationship Id="rId2120" Type="http://schemas.openxmlformats.org/officeDocument/2006/relationships/hyperlink" Target="https://marketplace.fedramp.gov/img/logos/CSP_logos/Amazon%20Logo.jpg" TargetMode="External"/><Relationship Id="rId3452" Type="http://schemas.openxmlformats.org/officeDocument/2006/relationships/hyperlink" Target="https://community.max.gov/x/IZH-Rw" TargetMode="External"/><Relationship Id="rId2121" Type="http://schemas.openxmlformats.org/officeDocument/2006/relationships/hyperlink" Target="https://marketplace.fedramp.gov/img/logos/Agency_logos/Seal_of_the_United_States_Department_of_Veterans_Affairs_(1989-2012).png" TargetMode="External"/><Relationship Id="rId3451" Type="http://schemas.openxmlformats.org/officeDocument/2006/relationships/hyperlink" Target="https://marketplace.fedramp.gov/img/logos/Agency_logos/US-DeptOfLabor-Seal-AltColors.svg.png" TargetMode="External"/><Relationship Id="rId2122" Type="http://schemas.openxmlformats.org/officeDocument/2006/relationships/hyperlink" Target="https://community.max.gov/x/j4PPPg" TargetMode="External"/><Relationship Id="rId3454" Type="http://schemas.openxmlformats.org/officeDocument/2006/relationships/hyperlink" Target="http://www.apptio.com" TargetMode="External"/><Relationship Id="rId2123" Type="http://schemas.openxmlformats.org/officeDocument/2006/relationships/hyperlink" Target="https://community.max.gov/download/attachments/1053787027/20170216_GDIT%20CXP%20ATO%20Memo.pdf?api=v2" TargetMode="External"/><Relationship Id="rId3453" Type="http://schemas.openxmlformats.org/officeDocument/2006/relationships/hyperlink" Target="https://community.max.gov/download/attachments/1459192999/ATO.Letter_Apptio_DoED_1.10.18.pdf?api=v2" TargetMode="External"/><Relationship Id="rId2124" Type="http://schemas.openxmlformats.org/officeDocument/2006/relationships/hyperlink" Target="http://www.gdit.com/cloudsolutions" TargetMode="External"/><Relationship Id="rId3456" Type="http://schemas.openxmlformats.org/officeDocument/2006/relationships/hyperlink" Target="https://marketplace.fedramp.gov/img/logos/Agency_logos/US-DeptOfEducation-Seal.png" TargetMode="External"/><Relationship Id="rId2125" Type="http://schemas.openxmlformats.org/officeDocument/2006/relationships/hyperlink" Target="https://marketplace.fedramp.gov/img/logos/CSP_logos/GDIT%20Logo.jpg" TargetMode="External"/><Relationship Id="rId3455" Type="http://schemas.openxmlformats.org/officeDocument/2006/relationships/hyperlink" Target="https://marketplace.fedramp.gov/img/logos/CSP_logos/Apptio%20Logo.jpg" TargetMode="External"/><Relationship Id="rId2115" Type="http://schemas.openxmlformats.org/officeDocument/2006/relationships/hyperlink" Target="https://marketplace.fedramp.gov/img/logos/CSP_logos/Microsoft%20Logo.jpg" TargetMode="External"/><Relationship Id="rId3447" Type="http://schemas.openxmlformats.org/officeDocument/2006/relationships/hyperlink" Target="https://community.max.gov/x/GgwdJg" TargetMode="External"/><Relationship Id="rId2116" Type="http://schemas.openxmlformats.org/officeDocument/2006/relationships/hyperlink" Target="https://marketplace.fedramp.gov/img/logos/Agency_logos/Seal_of_the_United_States_Department_of_Veterans_Affairs_(1989-2012).png" TargetMode="External"/><Relationship Id="rId3446" Type="http://schemas.openxmlformats.org/officeDocument/2006/relationships/hyperlink" Target="https://marketplace.fedramp.gov/img/logos/Agency_logos/NASA_logo.png" TargetMode="External"/><Relationship Id="rId2117" Type="http://schemas.openxmlformats.org/officeDocument/2006/relationships/hyperlink" Target="https://community.max.gov/x/DpBJK" TargetMode="External"/><Relationship Id="rId3449" Type="http://schemas.openxmlformats.org/officeDocument/2006/relationships/hyperlink" Target="http://www.micropact.com" TargetMode="External"/><Relationship Id="rId2118" Type="http://schemas.openxmlformats.org/officeDocument/2006/relationships/hyperlink" Target="https://community.max.gov/download/attachments/1115488742/ATO.Letter_AWSEW_VA_10.07.16.pdf?api=v2" TargetMode="External"/><Relationship Id="rId3448" Type="http://schemas.openxmlformats.org/officeDocument/2006/relationships/hyperlink" Target="https://community.max.gov/download/attachments/992346701/ATO.Letter_MicroPact_DoL_BRB_1.24.18.pdf?api=v2" TargetMode="External"/><Relationship Id="rId2119" Type="http://schemas.openxmlformats.org/officeDocument/2006/relationships/hyperlink" Target="http://www.aws.amazon.com" TargetMode="External"/><Relationship Id="rId3441" Type="http://schemas.openxmlformats.org/officeDocument/2006/relationships/hyperlink" Target="https://marketplace.fedramp.gov/img/logos/Agency_logos/US-DeptOfHHS-Seal.png" TargetMode="External"/><Relationship Id="rId2110" Type="http://schemas.openxmlformats.org/officeDocument/2006/relationships/hyperlink" Target="https://marketplace.fedramp.gov/img/logos/CSP_logos/ARC-P%20Logo.jpg" TargetMode="External"/><Relationship Id="rId3440" Type="http://schemas.openxmlformats.org/officeDocument/2006/relationships/hyperlink" Target="https://marketplace.fedramp.gov/img/logos/CSP_logos/Skyhigh%20Logo.jpg" TargetMode="External"/><Relationship Id="rId2111" Type="http://schemas.openxmlformats.org/officeDocument/2006/relationships/hyperlink" Target="https://marketplace.fedramp.gov/img/logos/Agency_logos/US-OfficeOfPersonnelManagement-Seal.png" TargetMode="External"/><Relationship Id="rId3443" Type="http://schemas.openxmlformats.org/officeDocument/2006/relationships/hyperlink" Target="https://community.max.gov/download/attachments/1500546130/ATO.Letter_SAPNS2_NASA_3.2.18.pdf?api=v2" TargetMode="External"/><Relationship Id="rId2112" Type="http://schemas.openxmlformats.org/officeDocument/2006/relationships/hyperlink" Target="https://community.max.gov/x/3JC6L" TargetMode="External"/><Relationship Id="rId3442" Type="http://schemas.openxmlformats.org/officeDocument/2006/relationships/hyperlink" Target="https://community.max.gov/x/XYIVPQ" TargetMode="External"/><Relationship Id="rId2113" Type="http://schemas.openxmlformats.org/officeDocument/2006/relationships/hyperlink" Target="https://community.max.gov/download/attachments/992346706/ATO.Letter_MSO365_VA_10.07.16.pdf?api=v2" TargetMode="External"/><Relationship Id="rId3445" Type="http://schemas.openxmlformats.org/officeDocument/2006/relationships/hyperlink" Target="https://marketplace.fedramp.gov/img/logos/CSP_logos/SAP%20NS2%20Logo1.jpg" TargetMode="External"/><Relationship Id="rId2114" Type="http://schemas.openxmlformats.org/officeDocument/2006/relationships/hyperlink" Target="http://www.microsoft.office.com" TargetMode="External"/><Relationship Id="rId3444" Type="http://schemas.openxmlformats.org/officeDocument/2006/relationships/hyperlink" Target="https://www.sapns2.com/cloud/"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grantthornton.com/fedramp" TargetMode="External"/><Relationship Id="rId42" Type="http://schemas.openxmlformats.org/officeDocument/2006/relationships/hyperlink" Target="http://www.itconline.com" TargetMode="External"/><Relationship Id="rId41" Type="http://schemas.openxmlformats.org/officeDocument/2006/relationships/hyperlink" Target="https://marketplace.fedramp.gov/img/logos/3PAO_logos/ITC,%20LLC%20Logo.jpg" TargetMode="External"/><Relationship Id="rId44" Type="http://schemas.openxmlformats.org/officeDocument/2006/relationships/hyperlink" Target="http://www.jdbiggs.com" TargetMode="External"/><Relationship Id="rId43" Type="http://schemas.openxmlformats.org/officeDocument/2006/relationships/hyperlink" Target="https://marketplace.fedramp.gov/img/logos/3PAO_logos/JDBiggs%20Logo.jpg" TargetMode="External"/><Relationship Id="rId46" Type="http://schemas.openxmlformats.org/officeDocument/2006/relationships/hyperlink" Target="https://home.kpmg.com/us/en/home.html" TargetMode="External"/><Relationship Id="rId45" Type="http://schemas.openxmlformats.org/officeDocument/2006/relationships/hyperlink" Target="https://marketplace.fedramp.gov/img/logos/3PAO_logos/KPMG%20Logo.jpg" TargetMode="External"/><Relationship Id="rId48" Type="http://schemas.openxmlformats.org/officeDocument/2006/relationships/hyperlink" Target="http://www.kratossecureinfo.com" TargetMode="External"/><Relationship Id="rId47" Type="http://schemas.openxmlformats.org/officeDocument/2006/relationships/hyperlink" Target="https://marketplace.fedramp.gov/img/logos/3PAO_logos/Kratos%20SecureInfo%20Logo.jpg" TargetMode="External"/><Relationship Id="rId49" Type="http://schemas.openxmlformats.org/officeDocument/2006/relationships/hyperlink" Target="https://marketplace.fedramp.gov/img/logos/3PAO_logos/Lazarus%20Logo.jpg" TargetMode="External"/><Relationship Id="rId31" Type="http://schemas.openxmlformats.org/officeDocument/2006/relationships/hyperlink" Target="https://marketplace.fedramp.gov/img/logos/3PAO_logos/EY%20Logo.jpg" TargetMode="External"/><Relationship Id="rId30" Type="http://schemas.openxmlformats.org/officeDocument/2006/relationships/hyperlink" Target="http://www.excentium.com" TargetMode="External"/><Relationship Id="rId33" Type="http://schemas.openxmlformats.org/officeDocument/2006/relationships/hyperlink" Target="https://marketplace.fedramp.gov/img/logos/3PAO_logos/FITS%20logo.jpg" TargetMode="External"/><Relationship Id="rId32" Type="http://schemas.openxmlformats.org/officeDocument/2006/relationships/hyperlink" Target="http://www.ey.com" TargetMode="External"/><Relationship Id="rId35" Type="http://schemas.openxmlformats.org/officeDocument/2006/relationships/hyperlink" Target="https://marketplace.fedramp.gov/img/logos/3PAO_logos/FYRM%20Logo.jpg" TargetMode="External"/><Relationship Id="rId34" Type="http://schemas.openxmlformats.org/officeDocument/2006/relationships/hyperlink" Target="http://www.firstinfotech.com" TargetMode="External"/><Relationship Id="rId37" Type="http://schemas.openxmlformats.org/officeDocument/2006/relationships/hyperlink" Target="https://marketplace.fedramp.gov/img/logos/3PAO_logos/GMS%20logo.jpg" TargetMode="External"/><Relationship Id="rId36" Type="http://schemas.openxmlformats.org/officeDocument/2006/relationships/hyperlink" Target="http://www.fyrmassociates.com" TargetMode="External"/><Relationship Id="rId39" Type="http://schemas.openxmlformats.org/officeDocument/2006/relationships/hyperlink" Target="https://marketplace.fedramp.gov/img/logos/3PAO_logos/Grant%20Thornton%20Logo.jpg" TargetMode="External"/><Relationship Id="rId38" Type="http://schemas.openxmlformats.org/officeDocument/2006/relationships/hyperlink" Target="http://www.gmsaudit.com" TargetMode="External"/><Relationship Id="rId20" Type="http://schemas.openxmlformats.org/officeDocument/2006/relationships/hyperlink" Target="http://www.deloitte.com" TargetMode="External"/><Relationship Id="rId22" Type="http://schemas.openxmlformats.org/officeDocument/2006/relationships/hyperlink" Target="http://www.esc.gov/iss.asp" TargetMode="External"/><Relationship Id="rId21" Type="http://schemas.openxmlformats.org/officeDocument/2006/relationships/hyperlink" Target="https://marketplace.fedramp.gov/img/logos/3PAO_logos/DOT%20ESC%20Logo.jpg" TargetMode="External"/><Relationship Id="rId24" Type="http://schemas.openxmlformats.org/officeDocument/2006/relationships/hyperlink" Target="http://www.earthlingsecurity.com" TargetMode="External"/><Relationship Id="rId23" Type="http://schemas.openxmlformats.org/officeDocument/2006/relationships/hyperlink" Target="https://marketplace.fedramp.gov/img/logos/3PAO_logos/Earthling%20Logo.jpg" TargetMode="External"/><Relationship Id="rId26" Type="http://schemas.openxmlformats.org/officeDocument/2006/relationships/hyperlink" Target="http://www.eit2.com/services/federal-assessments/" TargetMode="External"/><Relationship Id="rId25" Type="http://schemas.openxmlformats.org/officeDocument/2006/relationships/hyperlink" Target="https://marketplace.fedramp.gov/img/logos/3PAO_logos/Emagine%20Logo.jpg" TargetMode="External"/><Relationship Id="rId28" Type="http://schemas.openxmlformats.org/officeDocument/2006/relationships/hyperlink" Target="http://www.emesec.net" TargetMode="External"/><Relationship Id="rId27" Type="http://schemas.openxmlformats.org/officeDocument/2006/relationships/hyperlink" Target="https://marketplace.fedramp.gov/img/logos/3PAO_logos/Emesec%20Logo.jpg" TargetMode="External"/><Relationship Id="rId29" Type="http://schemas.openxmlformats.org/officeDocument/2006/relationships/hyperlink" Target="https://marketplace.fedramp.gov/img/logos/3PAO_logos/Excentium%20Logo.jpg" TargetMode="External"/><Relationship Id="rId11" Type="http://schemas.openxmlformats.org/officeDocument/2006/relationships/hyperlink" Target="https://marketplace.fedramp.gov/img/logos/3PAO_logos/BPM%20Logo.jpg" TargetMode="External"/><Relationship Id="rId10" Type="http://schemas.openxmlformats.org/officeDocument/2006/relationships/hyperlink" Target="http://www.bcinow.com" TargetMode="External"/><Relationship Id="rId13" Type="http://schemas.openxmlformats.org/officeDocument/2006/relationships/hyperlink" Target="https://marketplace.fedramp.gov/img/logos/3PAO_logos/COACT%20Logo.jpg" TargetMode="External"/><Relationship Id="rId12" Type="http://schemas.openxmlformats.org/officeDocument/2006/relationships/hyperlink" Target="https://www.bpmcpa.com/Services/IT-Assurance" TargetMode="External"/><Relationship Id="rId15" Type="http://schemas.openxmlformats.org/officeDocument/2006/relationships/hyperlink" Target="https://marketplace.fedramp.gov/img/logos/3PAO_logos/Coalfire%20Logo.jpg" TargetMode="External"/><Relationship Id="rId14" Type="http://schemas.openxmlformats.org/officeDocument/2006/relationships/hyperlink" Target="http://www.COACT.com/services/FedRAMP" TargetMode="External"/><Relationship Id="rId17" Type="http://schemas.openxmlformats.org/officeDocument/2006/relationships/hyperlink" Target="https://marketplace.fedramp.gov/img/logos/3PAO_logos/Dakota%20Consulting%20Inc%20Logo%202016.jpg" TargetMode="External"/><Relationship Id="rId16" Type="http://schemas.openxmlformats.org/officeDocument/2006/relationships/hyperlink" Target="http://www.coalfire.com" TargetMode="External"/><Relationship Id="rId19" Type="http://schemas.openxmlformats.org/officeDocument/2006/relationships/hyperlink" Target="https://marketplace.fedramp.gov/img/logos/CSP_logos/Deloitte%20Logo.jpg" TargetMode="External"/><Relationship Id="rId18" Type="http://schemas.openxmlformats.org/officeDocument/2006/relationships/hyperlink" Target="http://www.dakota-consulting.com" TargetMode="External"/><Relationship Id="rId84" Type="http://schemas.openxmlformats.org/officeDocument/2006/relationships/hyperlink" Target="http://www.talatek.com" TargetMode="External"/><Relationship Id="rId83" Type="http://schemas.openxmlformats.org/officeDocument/2006/relationships/hyperlink" Target="https://marketplace.fedramp.gov/img/logos/3PAO_logos/TalaTek%20Logo.jpg" TargetMode="External"/><Relationship Id="rId86" Type="http://schemas.openxmlformats.org/officeDocument/2006/relationships/hyperlink" Target="http://www.thecadencegroup.com" TargetMode="External"/><Relationship Id="rId85" Type="http://schemas.openxmlformats.org/officeDocument/2006/relationships/hyperlink" Target="https://marketplace.fedramp.gov/img/logos/3PAO_logos/Cadence%20Logo.jpg" TargetMode="External"/><Relationship Id="rId87" Type="http://schemas.openxmlformats.org/officeDocument/2006/relationships/drawing" Target="../drawings/drawing2.xml"/><Relationship Id="rId80" Type="http://schemas.openxmlformats.org/officeDocument/2006/relationships/hyperlink" Target="http://www.secureit.com" TargetMode="External"/><Relationship Id="rId82" Type="http://schemas.openxmlformats.org/officeDocument/2006/relationships/hyperlink" Target="http://www.sera-brynn.com" TargetMode="External"/><Relationship Id="rId81" Type="http://schemas.openxmlformats.org/officeDocument/2006/relationships/hyperlink" Target="https://marketplace.fedramp.gov/img/logos/3PAO_logos/Sera-Brynn%20Logo.jpg" TargetMode="External"/><Relationship Id="rId73" Type="http://schemas.openxmlformats.org/officeDocument/2006/relationships/hyperlink" Target="https://marketplace.fedramp.gov/img/logos/3PAO_logos/Quantech%20Logo.jpg" TargetMode="External"/><Relationship Id="rId72" Type="http://schemas.openxmlformats.org/officeDocument/2006/relationships/hyperlink" Target="https://perspecta.com/about-us/our-credentials" TargetMode="External"/><Relationship Id="rId75" Type="http://schemas.openxmlformats.org/officeDocument/2006/relationships/hyperlink" Target="https://marketplace.fedramp.gov/img/logos/3PAO_logos/RSM%20Logo.jpg" TargetMode="External"/><Relationship Id="rId74" Type="http://schemas.openxmlformats.org/officeDocument/2006/relationships/hyperlink" Target="http://www.quantechserv.com" TargetMode="External"/><Relationship Id="rId77" Type="http://schemas.openxmlformats.org/officeDocument/2006/relationships/hyperlink" Target="https://marketplace.fedramp.gov/img/logos/3PAO_logos/SchellmanLogo.jpg" TargetMode="External"/><Relationship Id="rId76" Type="http://schemas.openxmlformats.org/officeDocument/2006/relationships/hyperlink" Target="http://www.rsmus.com" TargetMode="External"/><Relationship Id="rId79" Type="http://schemas.openxmlformats.org/officeDocument/2006/relationships/hyperlink" Target="https://marketplace.fedramp.gov/img/logos/3PAO_logos/SecureIT%20Logo.jpg" TargetMode="External"/><Relationship Id="rId78" Type="http://schemas.openxmlformats.org/officeDocument/2006/relationships/hyperlink" Target="http://www.schellmanco.com/fedramp" TargetMode="External"/><Relationship Id="rId71" Type="http://schemas.openxmlformats.org/officeDocument/2006/relationships/hyperlink" Target="https://marketplace.fedramp.gov/img/logos/3PAO_logos/Perspecta%20Logo.jpg" TargetMode="External"/><Relationship Id="rId70" Type="http://schemas.openxmlformats.org/officeDocument/2006/relationships/hyperlink" Target="http://www.paragontech.net" TargetMode="External"/><Relationship Id="rId62" Type="http://schemas.openxmlformats.org/officeDocument/2006/relationships/hyperlink" Target="http://www.mindpointgroup.com" TargetMode="External"/><Relationship Id="rId61" Type="http://schemas.openxmlformats.org/officeDocument/2006/relationships/hyperlink" Target="https://marketplace.fedramp.gov/img/logos/3PAO_logos/MindPoint%20Logo.jpg" TargetMode="External"/><Relationship Id="rId64" Type="http://schemas.openxmlformats.org/officeDocument/2006/relationships/hyperlink" Target="http://www.nasa.gov/centers/ivv/home/index.html" TargetMode="External"/><Relationship Id="rId63" Type="http://schemas.openxmlformats.org/officeDocument/2006/relationships/hyperlink" Target="https://marketplace.fedramp.gov/img/logos/3PAO_logos/NASA%20Logo.jpg" TargetMode="External"/><Relationship Id="rId66" Type="http://schemas.openxmlformats.org/officeDocument/2006/relationships/hyperlink" Target="http://www.nccgroup.trust" TargetMode="External"/><Relationship Id="rId65" Type="http://schemas.openxmlformats.org/officeDocument/2006/relationships/hyperlink" Target="https://marketplace.fedramp.gov/img/logos/3PAO_logos/NCC%20Group%20Logo.jpg" TargetMode="External"/><Relationship Id="rId68" Type="http://schemas.openxmlformats.org/officeDocument/2006/relationships/hyperlink" Target="http://www.nsgi-hq.com" TargetMode="External"/><Relationship Id="rId67" Type="http://schemas.openxmlformats.org/officeDocument/2006/relationships/hyperlink" Target="https://marketplace.fedramp.gov/img/logos/3PAO_logos/NSG%20Logo.jpg" TargetMode="External"/><Relationship Id="rId60" Type="http://schemas.openxmlformats.org/officeDocument/2006/relationships/hyperlink" Target="http://www.mbltechnologies.com" TargetMode="External"/><Relationship Id="rId69" Type="http://schemas.openxmlformats.org/officeDocument/2006/relationships/hyperlink" Target="https://marketplace.fedramp.gov/img/logos/3PAO_logos/Paragon%20Logo.jpg" TargetMode="External"/><Relationship Id="rId51" Type="http://schemas.openxmlformats.org/officeDocument/2006/relationships/hyperlink" Target="https://marketplace.fedramp.gov/img/logos/3PAO_logos/LBMC%20Logo.jpg" TargetMode="External"/><Relationship Id="rId50" Type="http://schemas.openxmlformats.org/officeDocument/2006/relationships/hyperlink" Target="https://lazarusalliance.com" TargetMode="External"/><Relationship Id="rId53" Type="http://schemas.openxmlformats.org/officeDocument/2006/relationships/hyperlink" Target="https://marketplace.fedramp.gov/img/logos/3PAO_logos/Linford%20Logo.jpg" TargetMode="External"/><Relationship Id="rId52" Type="http://schemas.openxmlformats.org/officeDocument/2006/relationships/hyperlink" Target="http://www.lbmc.com" TargetMode="External"/><Relationship Id="rId55" Type="http://schemas.openxmlformats.org/officeDocument/2006/relationships/hyperlink" Target="https://marketplace.fedramp.gov/img/logos/3PAO_logos/Logyx%20Logo.jpg" TargetMode="External"/><Relationship Id="rId54" Type="http://schemas.openxmlformats.org/officeDocument/2006/relationships/hyperlink" Target="https://linfordco.com/services/fedramp-compliance-certification/" TargetMode="External"/><Relationship Id="rId57" Type="http://schemas.openxmlformats.org/officeDocument/2006/relationships/hyperlink" Target="https://marketplace.fedramp.gov/img/logos/3PAO_logos/Lunarline2%20Logo.jpg" TargetMode="External"/><Relationship Id="rId56" Type="http://schemas.openxmlformats.org/officeDocument/2006/relationships/hyperlink" Target="http://www.logyx.com" TargetMode="External"/><Relationship Id="rId59" Type="http://schemas.openxmlformats.org/officeDocument/2006/relationships/hyperlink" Target="https://marketplace.fedramp.gov/img/logos/3PAO_logos/MBL%20LOGO.jpg" TargetMode="External"/><Relationship Id="rId58" Type="http://schemas.openxmlformats.org/officeDocument/2006/relationships/hyperlink" Target="http://www.lunarline.com" TargetMode="External"/><Relationship Id="rId1" Type="http://schemas.openxmlformats.org/officeDocument/2006/relationships/hyperlink" Target="https://marketplace.fedramp.gov/img/logos/3PAO_logos/A-Lign%20Logo.JPG" TargetMode="External"/><Relationship Id="rId2" Type="http://schemas.openxmlformats.org/officeDocument/2006/relationships/hyperlink" Target="http://www.a-lign.com" TargetMode="External"/><Relationship Id="rId3" Type="http://schemas.openxmlformats.org/officeDocument/2006/relationships/hyperlink" Target="https://marketplace.fedramp.gov/img/logos/3PAO_logos/Aspiryon%20Logo.jpg" TargetMode="External"/><Relationship Id="rId4" Type="http://schemas.openxmlformats.org/officeDocument/2006/relationships/hyperlink" Target="http://www.aspiryon.com" TargetMode="External"/><Relationship Id="rId9" Type="http://schemas.openxmlformats.org/officeDocument/2006/relationships/hyperlink" Target="https://marketplace.fedramp.gov/img/logos/3PAO_logos/Burke%20Consortium%20Logo.jpg" TargetMode="External"/><Relationship Id="rId5" Type="http://schemas.openxmlformats.org/officeDocument/2006/relationships/hyperlink" Target="https://marketplace.fedramp.gov/img/logos/3PAO_logos/Blue%20Canopy%20Logo.JPG" TargetMode="External"/><Relationship Id="rId6" Type="http://schemas.openxmlformats.org/officeDocument/2006/relationships/hyperlink" Target="http://www.bluecanopy.com" TargetMode="External"/><Relationship Id="rId7" Type="http://schemas.openxmlformats.org/officeDocument/2006/relationships/hyperlink" Target="https://marketplace.fedramp.gov/img/logos/3PAO_logos/BAH%20Logo.jpg" TargetMode="External"/><Relationship Id="rId8" Type="http://schemas.openxmlformats.org/officeDocument/2006/relationships/hyperlink" Target="http://www.boozallen.com/consulting/technology/cloud-computing/fedramp" TargetMode="External"/></Relationships>
</file>

<file path=xl/worksheets/_rels/sheet3.xml.rels><?xml version="1.0" encoding="UTF-8" standalone="yes"?><Relationships xmlns="http://schemas.openxmlformats.org/package/2006/relationships"><Relationship Id="rId40" Type="http://schemas.openxmlformats.org/officeDocument/2006/relationships/vmlDrawing" Target="../drawings/vmlDrawing2.vml"/><Relationship Id="rId31" Type="http://schemas.openxmlformats.org/officeDocument/2006/relationships/hyperlink" Target="http://www.oracle.com" TargetMode="External"/><Relationship Id="rId30" Type="http://schemas.openxmlformats.org/officeDocument/2006/relationships/hyperlink" Target="https://s3.amazonaws.com/sitesusa/wp-content/uploads/sites/482/2015/03/onwire-logo-150x150.png" TargetMode="External"/><Relationship Id="rId33" Type="http://schemas.openxmlformats.org/officeDocument/2006/relationships/hyperlink" Target="http://office.microsoft.com" TargetMode="External"/><Relationship Id="rId32" Type="http://schemas.openxmlformats.org/officeDocument/2006/relationships/hyperlink" Target="https://marketplace.fedramp.gov/img/logos/CSP_logos/Oracle%20Logo.jpg" TargetMode="External"/><Relationship Id="rId35" Type="http://schemas.openxmlformats.org/officeDocument/2006/relationships/hyperlink" Target="https://s3.amazonaws.com/sitesusa/wp-content/uploads/sites/482/2016/08/768px-US-DeptOfTransportation-Seal.svg_.png" TargetMode="External"/><Relationship Id="rId34" Type="http://schemas.openxmlformats.org/officeDocument/2006/relationships/hyperlink" Target="https://s3.amazonaws.com/sitesusa/wp-content/uploads/sites/482/2016/08/Microsoft-Logo.png" TargetMode="External"/><Relationship Id="rId37" Type="http://schemas.openxmlformats.org/officeDocument/2006/relationships/hyperlink" Target="https://marketplace.fedramp.gov/img/logos/CSP_logos/BMC%20Remedyforce%20Logo.jpg" TargetMode="External"/><Relationship Id="rId36" Type="http://schemas.openxmlformats.org/officeDocument/2006/relationships/hyperlink" Target="http://www.bmc.com/it-solutions/remedyforce.html?vu=remedyforce" TargetMode="External"/><Relationship Id="rId39" Type="http://schemas.openxmlformats.org/officeDocument/2006/relationships/drawing" Target="../drawings/drawing3.xml"/><Relationship Id="rId38" Type="http://schemas.openxmlformats.org/officeDocument/2006/relationships/hyperlink" Target="https://marketplace.fedramp.gov/img/logos/Agency_logos/US-DeptOfEducation-Seal.png" TargetMode="External"/><Relationship Id="rId20" Type="http://schemas.openxmlformats.org/officeDocument/2006/relationships/hyperlink" Target="https://marketplace.fedramp.gov/img/logos/Agency_logos/International_Boundary_and_Water_Commission_logo.jpg" TargetMode="External"/><Relationship Id="rId22" Type="http://schemas.openxmlformats.org/officeDocument/2006/relationships/hyperlink" Target="https://s3.amazonaws.com/sitesusa/wp-content/uploads/sites/482/2017/03/HealthStream-Logo.jpg" TargetMode="External"/><Relationship Id="rId21" Type="http://schemas.openxmlformats.org/officeDocument/2006/relationships/hyperlink" Target="http://www.healthstream.com" TargetMode="External"/><Relationship Id="rId24" Type="http://schemas.openxmlformats.org/officeDocument/2006/relationships/hyperlink" Target="http://www.medallia.com" TargetMode="External"/><Relationship Id="rId23" Type="http://schemas.openxmlformats.org/officeDocument/2006/relationships/hyperlink" Target="https://s3.amazonaws.com/sitesusa/wp-content/uploads/sites/482/2016/08/Seal_of_the_United_States_Department_of_Veterans_Affairs_1989-2012.png" TargetMode="External"/><Relationship Id="rId26" Type="http://schemas.openxmlformats.org/officeDocument/2006/relationships/hyperlink" Target="https://s3.amazonaws.com/sitesusa/wp-content/uploads/sites/482/2016/08/Seal_of_the_United_States_Department_of_Veterans_Affairs_1989-2012.png" TargetMode="External"/><Relationship Id="rId25" Type="http://schemas.openxmlformats.org/officeDocument/2006/relationships/hyperlink" Target="https://s3.amazonaws.com/sitesusa/wp-content/uploads/sites/482/2017/02/Medallia-Logo.jpg" TargetMode="External"/><Relationship Id="rId28" Type="http://schemas.openxmlformats.org/officeDocument/2006/relationships/hyperlink" Target="https://marketplace.fedramp.gov/img/logos/CSP_logos/MIS%20Sciences%20Logo.jpg" TargetMode="External"/><Relationship Id="rId27" Type="http://schemas.openxmlformats.org/officeDocument/2006/relationships/hyperlink" Target="http://govpoint.cloud/" TargetMode="External"/><Relationship Id="rId29" Type="http://schemas.openxmlformats.org/officeDocument/2006/relationships/hyperlink" Target="http://www.onwireco.com" TargetMode="External"/><Relationship Id="rId11" Type="http://schemas.openxmlformats.org/officeDocument/2006/relationships/hyperlink" Target="https://s3.amazonaws.com/sitesusa/wp-content/uploads/sites/482/2017/05/Cirrus-Insight-Logo.jpg" TargetMode="External"/><Relationship Id="rId10" Type="http://schemas.openxmlformats.org/officeDocument/2006/relationships/hyperlink" Target="http://www.cirrusinsight.com" TargetMode="External"/><Relationship Id="rId13" Type="http://schemas.openxmlformats.org/officeDocument/2006/relationships/hyperlink" Target="http://www.coupa.com" TargetMode="External"/><Relationship Id="rId12" Type="http://schemas.openxmlformats.org/officeDocument/2006/relationships/hyperlink" Target="https://s3.amazonaws.com/sitesusa/wp-content/uploads/sites/482/2016/08/GSAlogo.png" TargetMode="External"/><Relationship Id="rId15" Type="http://schemas.openxmlformats.org/officeDocument/2006/relationships/hyperlink" Target="http://www.fema.gov" TargetMode="External"/><Relationship Id="rId14" Type="http://schemas.openxmlformats.org/officeDocument/2006/relationships/hyperlink" Target="https://s3.amazonaws.com/sitesusa/wp-content/uploads/sites/482/2017/04/Coupa-Logo.jpg" TargetMode="External"/><Relationship Id="rId17" Type="http://schemas.openxmlformats.org/officeDocument/2006/relationships/hyperlink" Target="https://s3.amazonaws.com/sitesusa/wp-content/uploads/sites/482/2016/08/US-DeptOfHHS-Seal.png" TargetMode="External"/><Relationship Id="rId16" Type="http://schemas.openxmlformats.org/officeDocument/2006/relationships/hyperlink" Target="https://s3.amazonaws.com/sitesusa/wp-content/uploads/sites/482/2015/05/csc_rgb_pos-300x197.jpg" TargetMode="External"/><Relationship Id="rId19" Type="http://schemas.openxmlformats.org/officeDocument/2006/relationships/hyperlink" Target="https://marketplace.fedramp.gov/img/logos/CSP_logos/GWAVA%20Logo.jpg" TargetMode="External"/><Relationship Id="rId18" Type="http://schemas.openxmlformats.org/officeDocument/2006/relationships/hyperlink" Target="http://www.gwava.com" TargetMode="External"/><Relationship Id="rId1" Type="http://schemas.openxmlformats.org/officeDocument/2006/relationships/comments" Target="../comments2.xml"/><Relationship Id="rId2" Type="http://schemas.openxmlformats.org/officeDocument/2006/relationships/hyperlink" Target="http://www.air.org" TargetMode="External"/><Relationship Id="rId3" Type="http://schemas.openxmlformats.org/officeDocument/2006/relationships/hyperlink" Target="https://marketplace.fedramp.gov/img/logos/CSP_logos/AIR%20Logo.jpg" TargetMode="External"/><Relationship Id="rId4" Type="http://schemas.openxmlformats.org/officeDocument/2006/relationships/hyperlink" Target="http://www.autodesk.com" TargetMode="External"/><Relationship Id="rId9" Type="http://schemas.openxmlformats.org/officeDocument/2006/relationships/hyperlink" Target="https://s3.amazonaws.com/sitesusa/wp-content/uploads/sites/482/2016/08/United_States_Department_of_Defense_Seal.png" TargetMode="External"/><Relationship Id="rId5" Type="http://schemas.openxmlformats.org/officeDocument/2006/relationships/hyperlink" Target="https://s3.amazonaws.com/sitesusa/wp-content/uploads/sites/482/2015/03/Autodesk-logo-150x150.jpg" TargetMode="External"/><Relationship Id="rId6" Type="http://schemas.openxmlformats.org/officeDocument/2006/relationships/hyperlink" Target="https://s3.amazonaws.com/sitesusa/wp-content/uploads/sites/482/2016/08/United_States_Department_of_Defense_Seal.png" TargetMode="External"/><Relationship Id="rId7" Type="http://schemas.openxmlformats.org/officeDocument/2006/relationships/hyperlink" Target="http://www.autodesk.com" TargetMode="External"/><Relationship Id="rId8" Type="http://schemas.openxmlformats.org/officeDocument/2006/relationships/hyperlink" Target="https://s3.amazonaws.com/sitesusa/wp-content/uploads/sites/482/2015/03/Autodesk-logo-150x150.jpg"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http://ID.me"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9.33"/>
    <col customWidth="1" min="2" max="2" width="20.22"/>
    <col customWidth="1" min="3" max="3" width="41.33"/>
    <col customWidth="1" min="4" max="4" width="9.78"/>
    <col customWidth="1" min="5" max="5" width="23.0"/>
    <col customWidth="1" min="6" max="6" width="7.56"/>
    <col customWidth="1" min="7" max="7" width="12.44"/>
    <col customWidth="1" min="8" max="8" width="10.56"/>
    <col customWidth="1" min="9" max="9" width="11.44"/>
    <col customWidth="1" min="10" max="10" width="15.67"/>
    <col customWidth="1" min="11" max="11" width="12.0"/>
    <col customWidth="1" min="12" max="12" width="11.56"/>
    <col customWidth="1" min="13" max="13" width="16.44"/>
    <col customWidth="1" min="14" max="14" width="8.33"/>
    <col customWidth="1" min="15" max="15" width="31.89"/>
    <col customWidth="1" min="16" max="16" width="24.0"/>
    <col customWidth="1" min="17" max="17" width="15.11"/>
    <col customWidth="1" min="18" max="18" width="11.22"/>
    <col customWidth="1" min="19" max="19" width="31.44"/>
    <col customWidth="1" min="20" max="20" width="19.33"/>
    <col customWidth="1" min="21" max="21" width="17.33"/>
    <col customWidth="1" min="22" max="22" width="8.44"/>
    <col customWidth="1" min="24" max="24" width="19.11"/>
    <col customWidth="1" min="25" max="25" width="19.67"/>
    <col customWidth="1" min="26" max="26" width="11.44"/>
    <col customWidth="1" hidden="1" min="27" max="27" width="22.78"/>
    <col customWidth="1" min="28" max="28" width="30.56"/>
    <col customWidth="1" min="29" max="29" width="33.44"/>
    <col customWidth="1" min="30" max="30" width="13.67"/>
    <col customWidth="1" min="31" max="31" width="62.44"/>
    <col customWidth="1" min="32" max="32" width="11.78"/>
    <col customWidth="1" min="33" max="33" width="12.44"/>
    <col customWidth="1" min="34" max="34" width="16.89"/>
    <col customWidth="1" min="35" max="35" width="11.78"/>
    <col customWidth="1" min="36" max="36" width="10.44"/>
    <col customWidth="1" min="37" max="37" width="10.78"/>
    <col customWidth="1" min="38" max="38" width="12.0"/>
  </cols>
  <sheetData>
    <row r="1" ht="22.5" customHeight="1">
      <c r="A1" s="1" t="s">
        <v>0</v>
      </c>
      <c r="B1" s="2" t="s">
        <v>2</v>
      </c>
      <c r="C1" s="1" t="s">
        <v>3</v>
      </c>
      <c r="D1" s="1" t="s">
        <v>4</v>
      </c>
      <c r="E1" s="1" t="s">
        <v>5</v>
      </c>
      <c r="F1" s="1" t="s">
        <v>6</v>
      </c>
      <c r="G1" s="1" t="s">
        <v>7</v>
      </c>
      <c r="H1" s="4" t="s">
        <v>8</v>
      </c>
      <c r="I1" s="4" t="s">
        <v>10</v>
      </c>
      <c r="J1" s="4" t="s">
        <v>11</v>
      </c>
      <c r="K1" s="1" t="s">
        <v>12</v>
      </c>
      <c r="L1" s="1" t="s">
        <v>13</v>
      </c>
      <c r="M1" s="8" t="s">
        <v>14</v>
      </c>
      <c r="N1" s="1" t="s">
        <v>20</v>
      </c>
      <c r="O1" s="1" t="s">
        <v>21</v>
      </c>
      <c r="P1" s="1" t="s">
        <v>22</v>
      </c>
      <c r="Q1" s="1" t="s">
        <v>23</v>
      </c>
      <c r="R1" s="10" t="s">
        <v>24</v>
      </c>
      <c r="S1" s="1" t="s">
        <v>27</v>
      </c>
      <c r="T1" s="13" t="s">
        <v>28</v>
      </c>
      <c r="U1" s="1" t="s">
        <v>37</v>
      </c>
      <c r="V1" s="1" t="s">
        <v>38</v>
      </c>
      <c r="W1" s="1" t="s">
        <v>39</v>
      </c>
      <c r="X1" s="1" t="s">
        <v>40</v>
      </c>
      <c r="Y1" s="1" t="s">
        <v>41</v>
      </c>
      <c r="Z1" s="1" t="s">
        <v>42</v>
      </c>
      <c r="AA1" s="1" t="s">
        <v>43</v>
      </c>
      <c r="AB1" s="1" t="s">
        <v>45</v>
      </c>
      <c r="AC1" s="1" t="s">
        <v>47</v>
      </c>
      <c r="AD1" s="17" t="s">
        <v>51</v>
      </c>
      <c r="AE1" s="1" t="s">
        <v>56</v>
      </c>
      <c r="AF1" s="1" t="s">
        <v>57</v>
      </c>
      <c r="AG1" s="13" t="s">
        <v>58</v>
      </c>
      <c r="AH1" s="1" t="s">
        <v>59</v>
      </c>
      <c r="AI1" s="1" t="s">
        <v>60</v>
      </c>
      <c r="AJ1" s="1" t="s">
        <v>61</v>
      </c>
      <c r="AK1" s="1" t="s">
        <v>62</v>
      </c>
      <c r="AL1" s="13" t="s">
        <v>63</v>
      </c>
    </row>
    <row r="2" ht="22.5" customHeight="1">
      <c r="A2" s="27" t="s">
        <v>64</v>
      </c>
      <c r="B2" s="37" t="s">
        <v>69</v>
      </c>
      <c r="C2" s="32" t="s">
        <v>90</v>
      </c>
      <c r="D2" s="39" t="s">
        <v>91</v>
      </c>
      <c r="E2" s="38" t="s">
        <v>92</v>
      </c>
      <c r="F2" s="41" t="s">
        <v>93</v>
      </c>
      <c r="G2" s="34" t="s">
        <v>85</v>
      </c>
      <c r="H2" s="48">
        <v>41509.0</v>
      </c>
      <c r="I2" s="36">
        <v>41508.0</v>
      </c>
      <c r="J2" s="48">
        <v>41509.0</v>
      </c>
      <c r="K2" s="32" t="s">
        <v>70</v>
      </c>
      <c r="L2" s="34" t="s">
        <v>115</v>
      </c>
      <c r="M2" s="49" t="s">
        <v>88</v>
      </c>
      <c r="N2" s="32" t="s">
        <v>89</v>
      </c>
      <c r="O2" s="32" t="s">
        <v>116</v>
      </c>
      <c r="P2" s="38"/>
      <c r="Q2" s="32" t="s">
        <v>117</v>
      </c>
      <c r="R2" s="48"/>
      <c r="S2" s="32" t="s">
        <v>116</v>
      </c>
      <c r="T2" s="45" t="s">
        <v>118</v>
      </c>
      <c r="U2" s="55" t="s">
        <v>119</v>
      </c>
      <c r="V2" s="34" t="s">
        <v>74</v>
      </c>
      <c r="W2" s="60" t="s">
        <v>122</v>
      </c>
      <c r="X2" s="60" t="s">
        <v>130</v>
      </c>
      <c r="Y2" s="45" t="s">
        <v>131</v>
      </c>
      <c r="Z2" s="32" t="s">
        <v>112</v>
      </c>
      <c r="AA2" s="38"/>
      <c r="AB2" s="60" t="s">
        <v>113</v>
      </c>
      <c r="AC2" s="60" t="s">
        <v>132</v>
      </c>
      <c r="AD2" s="66">
        <v>41509.0</v>
      </c>
      <c r="AE2" s="30" t="s">
        <v>158</v>
      </c>
      <c r="AF2" s="34" t="s">
        <v>80</v>
      </c>
      <c r="AG2" s="56" t="s">
        <v>159</v>
      </c>
      <c r="AH2" s="41"/>
      <c r="AI2" s="41"/>
      <c r="AJ2" s="41"/>
      <c r="AK2" s="58">
        <v>41109.0</v>
      </c>
      <c r="AL2" s="63"/>
    </row>
    <row r="3" ht="22.5" customHeight="1">
      <c r="A3" s="27" t="s">
        <v>164</v>
      </c>
      <c r="B3" s="37" t="s">
        <v>69</v>
      </c>
      <c r="C3" s="32" t="s">
        <v>90</v>
      </c>
      <c r="D3" s="39" t="s">
        <v>91</v>
      </c>
      <c r="E3" s="38" t="s">
        <v>92</v>
      </c>
      <c r="F3" s="41" t="s">
        <v>93</v>
      </c>
      <c r="G3" s="34" t="s">
        <v>168</v>
      </c>
      <c r="H3" s="36">
        <v>41541.0</v>
      </c>
      <c r="I3" s="36">
        <v>41541.0</v>
      </c>
      <c r="J3" s="36"/>
      <c r="K3" s="32" t="s">
        <v>70</v>
      </c>
      <c r="L3" s="34" t="s">
        <v>115</v>
      </c>
      <c r="M3" s="38" t="s">
        <v>88</v>
      </c>
      <c r="N3" s="32" t="s">
        <v>89</v>
      </c>
      <c r="O3" s="38" t="s">
        <v>175</v>
      </c>
      <c r="P3" s="32"/>
      <c r="Q3" s="38" t="s">
        <v>176</v>
      </c>
      <c r="R3" s="48"/>
      <c r="S3" s="32" t="s">
        <v>116</v>
      </c>
      <c r="T3" s="45" t="s">
        <v>118</v>
      </c>
      <c r="U3" s="71" t="s">
        <v>177</v>
      </c>
      <c r="V3" s="34" t="s">
        <v>80</v>
      </c>
      <c r="W3" s="60" t="s">
        <v>122</v>
      </c>
      <c r="X3" s="60" t="s">
        <v>130</v>
      </c>
      <c r="Y3" s="45" t="s">
        <v>131</v>
      </c>
      <c r="Z3" s="32" t="s">
        <v>112</v>
      </c>
      <c r="AA3" s="38"/>
      <c r="AB3" s="60" t="s">
        <v>113</v>
      </c>
      <c r="AC3" s="60"/>
      <c r="AD3" s="74"/>
      <c r="AE3" s="30" t="s">
        <v>187</v>
      </c>
      <c r="AF3" s="34" t="s">
        <v>80</v>
      </c>
      <c r="AG3" s="56" t="s">
        <v>159</v>
      </c>
      <c r="AH3" s="41"/>
      <c r="AI3" s="41"/>
      <c r="AJ3" s="41"/>
      <c r="AK3" s="58">
        <v>41100.0</v>
      </c>
      <c r="AL3" s="56" t="s">
        <v>188</v>
      </c>
    </row>
    <row r="4" ht="22.5" customHeight="1">
      <c r="A4" s="27" t="s">
        <v>189</v>
      </c>
      <c r="B4" s="63" t="s">
        <v>190</v>
      </c>
      <c r="C4" s="32" t="s">
        <v>191</v>
      </c>
      <c r="D4" s="34" t="s">
        <v>192</v>
      </c>
      <c r="E4" s="38" t="s">
        <v>193</v>
      </c>
      <c r="F4" s="54" t="s">
        <v>93</v>
      </c>
      <c r="G4" s="34" t="s">
        <v>85</v>
      </c>
      <c r="H4" s="48">
        <v>41395.0</v>
      </c>
      <c r="I4" s="48">
        <v>41395.0</v>
      </c>
      <c r="J4" s="36"/>
      <c r="K4" s="32" t="s">
        <v>86</v>
      </c>
      <c r="L4" s="34" t="s">
        <v>115</v>
      </c>
      <c r="M4" s="63" t="s">
        <v>88</v>
      </c>
      <c r="N4" s="32" t="s">
        <v>89</v>
      </c>
      <c r="O4" s="38" t="s">
        <v>196</v>
      </c>
      <c r="P4" s="38"/>
      <c r="Q4" s="38" t="s">
        <v>197</v>
      </c>
      <c r="R4" s="48"/>
      <c r="S4" s="57" t="s">
        <v>116</v>
      </c>
      <c r="T4" s="56" t="s">
        <v>198</v>
      </c>
      <c r="U4" s="71" t="s">
        <v>200</v>
      </c>
      <c r="V4" s="34" t="s">
        <v>80</v>
      </c>
      <c r="W4" s="32" t="s">
        <v>201</v>
      </c>
      <c r="X4" s="32" t="s">
        <v>202</v>
      </c>
      <c r="Y4" s="45" t="s">
        <v>203</v>
      </c>
      <c r="Z4" s="32" t="s">
        <v>112</v>
      </c>
      <c r="AA4" s="32"/>
      <c r="AB4" s="32" t="s">
        <v>113</v>
      </c>
      <c r="AC4" s="60" t="s">
        <v>204</v>
      </c>
      <c r="AD4" s="66">
        <v>41395.0</v>
      </c>
      <c r="AE4" s="30" t="s">
        <v>205</v>
      </c>
      <c r="AF4" s="34" t="s">
        <v>74</v>
      </c>
      <c r="AG4" s="56" t="s">
        <v>206</v>
      </c>
      <c r="AH4" s="41"/>
      <c r="AI4" s="41"/>
      <c r="AJ4" s="41"/>
      <c r="AK4" s="58">
        <v>41215.0</v>
      </c>
      <c r="AL4" s="56" t="s">
        <v>208</v>
      </c>
    </row>
    <row r="5" ht="22.5" customHeight="1">
      <c r="A5" s="27" t="s">
        <v>210</v>
      </c>
      <c r="B5" s="63" t="s">
        <v>190</v>
      </c>
      <c r="C5" s="32" t="s">
        <v>211</v>
      </c>
      <c r="D5" s="39" t="s">
        <v>91</v>
      </c>
      <c r="E5" s="38" t="s">
        <v>214</v>
      </c>
      <c r="F5" s="41" t="s">
        <v>140</v>
      </c>
      <c r="G5" s="34" t="s">
        <v>168</v>
      </c>
      <c r="H5" s="36">
        <v>41474.0</v>
      </c>
      <c r="I5" s="36">
        <v>41474.0</v>
      </c>
      <c r="J5" s="36">
        <v>41474.0</v>
      </c>
      <c r="K5" s="32" t="s">
        <v>86</v>
      </c>
      <c r="L5" s="34" t="s">
        <v>115</v>
      </c>
      <c r="M5" s="63" t="s">
        <v>218</v>
      </c>
      <c r="N5" s="32" t="s">
        <v>89</v>
      </c>
      <c r="O5" s="38" t="s">
        <v>220</v>
      </c>
      <c r="P5" s="38"/>
      <c r="Q5" s="38" t="s">
        <v>221</v>
      </c>
      <c r="R5" s="48">
        <v>42570.0</v>
      </c>
      <c r="S5" s="32" t="s">
        <v>196</v>
      </c>
      <c r="T5" s="56" t="s">
        <v>198</v>
      </c>
      <c r="U5" s="71" t="s">
        <v>223</v>
      </c>
      <c r="V5" s="34" t="s">
        <v>80</v>
      </c>
      <c r="W5" s="32" t="s">
        <v>201</v>
      </c>
      <c r="X5" s="32" t="s">
        <v>202</v>
      </c>
      <c r="Y5" s="45" t="s">
        <v>203</v>
      </c>
      <c r="Z5" s="32" t="s">
        <v>112</v>
      </c>
      <c r="AA5" s="38"/>
      <c r="AB5" s="32" t="s">
        <v>113</v>
      </c>
      <c r="AC5" s="60"/>
      <c r="AD5" s="74"/>
      <c r="AE5" s="30" t="s">
        <v>228</v>
      </c>
      <c r="AF5" s="34" t="s">
        <v>74</v>
      </c>
      <c r="AG5" s="56" t="s">
        <v>206</v>
      </c>
      <c r="AH5" s="41"/>
      <c r="AI5" s="41"/>
      <c r="AJ5" s="41"/>
      <c r="AK5" s="58">
        <v>41224.0</v>
      </c>
      <c r="AL5" s="56" t="s">
        <v>232</v>
      </c>
    </row>
    <row r="6" ht="22.5" customHeight="1">
      <c r="A6" s="27" t="s">
        <v>235</v>
      </c>
      <c r="B6" s="63" t="s">
        <v>190</v>
      </c>
      <c r="C6" s="32" t="s">
        <v>211</v>
      </c>
      <c r="D6" s="39" t="s">
        <v>91</v>
      </c>
      <c r="E6" s="38" t="s">
        <v>214</v>
      </c>
      <c r="F6" s="41" t="s">
        <v>140</v>
      </c>
      <c r="G6" s="34" t="s">
        <v>168</v>
      </c>
      <c r="H6" s="36">
        <v>41502.0</v>
      </c>
      <c r="I6" s="36">
        <v>41502.0</v>
      </c>
      <c r="J6" s="36"/>
      <c r="K6" s="32" t="s">
        <v>86</v>
      </c>
      <c r="L6" s="34" t="s">
        <v>115</v>
      </c>
      <c r="M6" s="63" t="s">
        <v>218</v>
      </c>
      <c r="N6" s="32" t="s">
        <v>89</v>
      </c>
      <c r="O6" s="38" t="s">
        <v>142</v>
      </c>
      <c r="P6" s="32" t="s">
        <v>243</v>
      </c>
      <c r="Q6" s="38" t="s">
        <v>246</v>
      </c>
      <c r="R6" s="36">
        <v>42598.0</v>
      </c>
      <c r="S6" s="32" t="s">
        <v>196</v>
      </c>
      <c r="T6" s="56" t="s">
        <v>248</v>
      </c>
      <c r="U6" s="71" t="s">
        <v>255</v>
      </c>
      <c r="V6" s="34" t="s">
        <v>80</v>
      </c>
      <c r="W6" s="32" t="s">
        <v>201</v>
      </c>
      <c r="X6" s="32" t="s">
        <v>202</v>
      </c>
      <c r="Y6" s="45" t="s">
        <v>203</v>
      </c>
      <c r="Z6" s="32" t="s">
        <v>112</v>
      </c>
      <c r="AA6" s="38"/>
      <c r="AB6" s="32" t="s">
        <v>113</v>
      </c>
      <c r="AC6" s="60"/>
      <c r="AD6" s="74"/>
      <c r="AE6" s="30" t="s">
        <v>260</v>
      </c>
      <c r="AF6" s="34" t="s">
        <v>74</v>
      </c>
      <c r="AG6" s="56" t="s">
        <v>206</v>
      </c>
      <c r="AH6" s="41"/>
      <c r="AI6" s="41"/>
      <c r="AJ6" s="41"/>
      <c r="AK6" s="58">
        <v>41224.0</v>
      </c>
      <c r="AL6" s="56" t="s">
        <v>262</v>
      </c>
    </row>
    <row r="7" ht="22.5" customHeight="1">
      <c r="A7" s="27" t="s">
        <v>264</v>
      </c>
      <c r="B7" s="63" t="s">
        <v>190</v>
      </c>
      <c r="C7" s="32" t="s">
        <v>211</v>
      </c>
      <c r="D7" s="39" t="s">
        <v>91</v>
      </c>
      <c r="E7" s="38" t="s">
        <v>214</v>
      </c>
      <c r="F7" s="41" t="s">
        <v>140</v>
      </c>
      <c r="G7" s="34" t="s">
        <v>168</v>
      </c>
      <c r="H7" s="48">
        <v>41487.0</v>
      </c>
      <c r="I7" s="36"/>
      <c r="J7" s="48">
        <v>41487.0</v>
      </c>
      <c r="K7" s="32" t="s">
        <v>86</v>
      </c>
      <c r="L7" s="34" t="s">
        <v>115</v>
      </c>
      <c r="M7" s="63" t="s">
        <v>218</v>
      </c>
      <c r="N7" s="32" t="s">
        <v>89</v>
      </c>
      <c r="O7" s="32" t="s">
        <v>274</v>
      </c>
      <c r="P7" s="32"/>
      <c r="Q7" s="38" t="s">
        <v>275</v>
      </c>
      <c r="R7" s="48">
        <v>42583.0</v>
      </c>
      <c r="S7" s="32" t="s">
        <v>196</v>
      </c>
      <c r="T7" s="56" t="s">
        <v>248</v>
      </c>
      <c r="U7" s="71" t="s">
        <v>276</v>
      </c>
      <c r="V7" s="34" t="s">
        <v>74</v>
      </c>
      <c r="W7" s="32" t="s">
        <v>201</v>
      </c>
      <c r="X7" s="32" t="s">
        <v>202</v>
      </c>
      <c r="Y7" s="45" t="s">
        <v>203</v>
      </c>
      <c r="Z7" s="32" t="s">
        <v>112</v>
      </c>
      <c r="AA7" s="38"/>
      <c r="AB7" s="32" t="s">
        <v>113</v>
      </c>
      <c r="AC7" s="68"/>
      <c r="AD7" s="66"/>
      <c r="AE7" s="30" t="s">
        <v>277</v>
      </c>
      <c r="AF7" s="34" t="s">
        <v>74</v>
      </c>
      <c r="AG7" s="56" t="s">
        <v>206</v>
      </c>
      <c r="AH7" s="41"/>
      <c r="AI7" s="41"/>
      <c r="AJ7" s="41"/>
      <c r="AK7" s="58">
        <v>41224.0</v>
      </c>
      <c r="AL7" s="56" t="s">
        <v>280</v>
      </c>
    </row>
    <row r="8" ht="22.5" customHeight="1">
      <c r="A8" s="27" t="s">
        <v>283</v>
      </c>
      <c r="B8" s="63" t="s">
        <v>284</v>
      </c>
      <c r="C8" s="32" t="s">
        <v>285</v>
      </c>
      <c r="D8" s="41" t="s">
        <v>91</v>
      </c>
      <c r="E8" s="103" t="s">
        <v>286</v>
      </c>
      <c r="F8" s="41" t="s">
        <v>93</v>
      </c>
      <c r="G8" s="34" t="s">
        <v>85</v>
      </c>
      <c r="H8" s="36">
        <v>41473.0</v>
      </c>
      <c r="I8" s="36">
        <v>41473.0</v>
      </c>
      <c r="J8" s="106"/>
      <c r="K8" s="32" t="s">
        <v>86</v>
      </c>
      <c r="L8" s="34" t="s">
        <v>115</v>
      </c>
      <c r="M8" s="63" t="s">
        <v>218</v>
      </c>
      <c r="N8" s="32" t="s">
        <v>89</v>
      </c>
      <c r="O8" s="32" t="s">
        <v>116</v>
      </c>
      <c r="P8" s="38"/>
      <c r="Q8" s="32" t="s">
        <v>117</v>
      </c>
      <c r="R8" s="48"/>
      <c r="S8" s="32" t="s">
        <v>116</v>
      </c>
      <c r="T8" s="45" t="s">
        <v>323</v>
      </c>
      <c r="U8" s="109" t="s">
        <v>330</v>
      </c>
      <c r="V8" s="34" t="s">
        <v>80</v>
      </c>
      <c r="W8" s="60" t="s">
        <v>344</v>
      </c>
      <c r="X8" s="111" t="s">
        <v>345</v>
      </c>
      <c r="Y8" s="109" t="s">
        <v>358</v>
      </c>
      <c r="Z8" s="32" t="s">
        <v>112</v>
      </c>
      <c r="AA8" s="38"/>
      <c r="AB8" s="32" t="s">
        <v>113</v>
      </c>
      <c r="AC8" s="60" t="s">
        <v>365</v>
      </c>
      <c r="AD8" s="74">
        <v>41473.0</v>
      </c>
      <c r="AE8" s="57"/>
      <c r="AF8" s="34" t="s">
        <v>80</v>
      </c>
      <c r="AG8" s="63"/>
      <c r="AH8" s="41"/>
      <c r="AI8" s="41"/>
      <c r="AJ8" s="41"/>
      <c r="AK8" s="58">
        <v>41089.0</v>
      </c>
      <c r="AL8" s="63"/>
    </row>
    <row r="9" ht="22.5" customHeight="1">
      <c r="A9" s="27" t="s">
        <v>369</v>
      </c>
      <c r="B9" s="63" t="s">
        <v>284</v>
      </c>
      <c r="C9" s="63" t="s">
        <v>371</v>
      </c>
      <c r="D9" s="41" t="s">
        <v>91</v>
      </c>
      <c r="E9" s="103" t="s">
        <v>286</v>
      </c>
      <c r="F9" s="41" t="s">
        <v>93</v>
      </c>
      <c r="G9" s="34" t="s">
        <v>168</v>
      </c>
      <c r="H9" s="36">
        <v>41474.0</v>
      </c>
      <c r="I9" s="36">
        <v>41474.0</v>
      </c>
      <c r="J9" s="36">
        <v>41474.0</v>
      </c>
      <c r="K9" s="32" t="s">
        <v>86</v>
      </c>
      <c r="L9" s="34" t="s">
        <v>115</v>
      </c>
      <c r="M9" s="42" t="s">
        <v>88</v>
      </c>
      <c r="N9" s="32" t="s">
        <v>89</v>
      </c>
      <c r="O9" s="38" t="s">
        <v>220</v>
      </c>
      <c r="P9" s="38"/>
      <c r="Q9" s="38" t="s">
        <v>221</v>
      </c>
      <c r="R9" s="36">
        <v>42570.0</v>
      </c>
      <c r="S9" s="32" t="s">
        <v>116</v>
      </c>
      <c r="T9" s="45" t="s">
        <v>323</v>
      </c>
      <c r="U9" s="45" t="s">
        <v>386</v>
      </c>
      <c r="V9" s="34" t="s">
        <v>80</v>
      </c>
      <c r="W9" s="60" t="s">
        <v>344</v>
      </c>
      <c r="X9" s="111" t="s">
        <v>345</v>
      </c>
      <c r="Y9" s="109" t="s">
        <v>358</v>
      </c>
      <c r="Z9" s="32" t="s">
        <v>112</v>
      </c>
      <c r="AA9" s="38"/>
      <c r="AB9" s="32" t="s">
        <v>113</v>
      </c>
      <c r="AC9" s="60"/>
      <c r="AD9" s="74"/>
      <c r="AE9" s="53"/>
      <c r="AF9" s="34" t="s">
        <v>74</v>
      </c>
      <c r="AG9" s="63"/>
      <c r="AH9" s="41"/>
      <c r="AI9" s="41"/>
      <c r="AJ9" s="41"/>
      <c r="AK9" s="58">
        <v>41080.0</v>
      </c>
      <c r="AL9" s="56" t="s">
        <v>232</v>
      </c>
    </row>
    <row r="10" ht="22.5" customHeight="1">
      <c r="A10" s="27" t="s">
        <v>409</v>
      </c>
      <c r="B10" s="63" t="s">
        <v>411</v>
      </c>
      <c r="C10" s="32" t="s">
        <v>413</v>
      </c>
      <c r="D10" s="34" t="s">
        <v>192</v>
      </c>
      <c r="E10" s="38" t="s">
        <v>416</v>
      </c>
      <c r="F10" s="41" t="s">
        <v>93</v>
      </c>
      <c r="G10" s="34" t="s">
        <v>85</v>
      </c>
      <c r="H10" s="48">
        <v>42542.0</v>
      </c>
      <c r="I10" s="36">
        <v>41269.0</v>
      </c>
      <c r="J10" s="116"/>
      <c r="K10" s="32" t="s">
        <v>70</v>
      </c>
      <c r="L10" s="34" t="s">
        <v>115</v>
      </c>
      <c r="M10" s="117" t="s">
        <v>313</v>
      </c>
      <c r="N10" s="32" t="s">
        <v>434</v>
      </c>
      <c r="O10" s="32" t="s">
        <v>116</v>
      </c>
      <c r="P10" s="38"/>
      <c r="Q10" s="32" t="s">
        <v>117</v>
      </c>
      <c r="R10" s="48"/>
      <c r="S10" s="32" t="s">
        <v>116</v>
      </c>
      <c r="T10" s="45" t="s">
        <v>436</v>
      </c>
      <c r="U10" s="109" t="s">
        <v>440</v>
      </c>
      <c r="V10" s="34" t="s">
        <v>80</v>
      </c>
      <c r="W10" s="60" t="s">
        <v>444</v>
      </c>
      <c r="X10" s="32" t="s">
        <v>445</v>
      </c>
      <c r="Y10" s="109" t="s">
        <v>446</v>
      </c>
      <c r="Z10" s="32" t="s">
        <v>112</v>
      </c>
      <c r="AA10" s="32"/>
      <c r="AB10" s="32" t="s">
        <v>113</v>
      </c>
      <c r="AC10" s="60" t="s">
        <v>452</v>
      </c>
      <c r="AD10" s="74">
        <v>41269.0</v>
      </c>
      <c r="AE10" s="30"/>
      <c r="AF10" s="34" t="s">
        <v>80</v>
      </c>
      <c r="AG10" s="56" t="s">
        <v>454</v>
      </c>
      <c r="AH10" s="41"/>
      <c r="AI10" s="41"/>
      <c r="AJ10" s="41"/>
      <c r="AK10" s="58">
        <v>41086.0</v>
      </c>
      <c r="AL10" s="63"/>
    </row>
    <row r="11" ht="22.5" customHeight="1">
      <c r="A11" s="27" t="s">
        <v>457</v>
      </c>
      <c r="B11" s="63" t="s">
        <v>411</v>
      </c>
      <c r="C11" s="32" t="s">
        <v>413</v>
      </c>
      <c r="D11" s="39" t="s">
        <v>91</v>
      </c>
      <c r="E11" s="38" t="s">
        <v>416</v>
      </c>
      <c r="F11" s="41" t="s">
        <v>93</v>
      </c>
      <c r="G11" s="34" t="s">
        <v>168</v>
      </c>
      <c r="H11" s="36">
        <v>41474.0</v>
      </c>
      <c r="I11" s="36">
        <v>41474.0</v>
      </c>
      <c r="J11" s="36">
        <v>41474.0</v>
      </c>
      <c r="K11" s="32" t="s">
        <v>86</v>
      </c>
      <c r="L11" s="34" t="s">
        <v>115</v>
      </c>
      <c r="M11" s="42" t="s">
        <v>313</v>
      </c>
      <c r="N11" s="32" t="s">
        <v>89</v>
      </c>
      <c r="O11" s="38" t="s">
        <v>220</v>
      </c>
      <c r="P11" s="38"/>
      <c r="Q11" s="38" t="s">
        <v>221</v>
      </c>
      <c r="R11" s="36">
        <v>42570.0</v>
      </c>
      <c r="S11" s="32" t="s">
        <v>116</v>
      </c>
      <c r="T11" s="45" t="s">
        <v>436</v>
      </c>
      <c r="U11" s="71" t="s">
        <v>470</v>
      </c>
      <c r="V11" s="34" t="s">
        <v>80</v>
      </c>
      <c r="W11" s="60" t="s">
        <v>444</v>
      </c>
      <c r="X11" s="32" t="s">
        <v>445</v>
      </c>
      <c r="Y11" s="109" t="s">
        <v>446</v>
      </c>
      <c r="Z11" s="32" t="s">
        <v>112</v>
      </c>
      <c r="AA11" s="38"/>
      <c r="AB11" s="32" t="s">
        <v>113</v>
      </c>
      <c r="AC11" s="60"/>
      <c r="AD11" s="74"/>
      <c r="AE11" s="53"/>
      <c r="AF11" s="34" t="s">
        <v>74</v>
      </c>
      <c r="AG11" s="56" t="s">
        <v>454</v>
      </c>
      <c r="AH11" s="41"/>
      <c r="AI11" s="41"/>
      <c r="AJ11" s="41"/>
      <c r="AK11" s="58">
        <v>42212.0</v>
      </c>
      <c r="AL11" s="56" t="s">
        <v>232</v>
      </c>
    </row>
    <row r="12" ht="22.5" customHeight="1">
      <c r="A12" s="27" t="s">
        <v>489</v>
      </c>
      <c r="B12" s="60" t="s">
        <v>490</v>
      </c>
      <c r="C12" s="60" t="s">
        <v>494</v>
      </c>
      <c r="D12" s="39" t="s">
        <v>91</v>
      </c>
      <c r="E12" s="124" t="s">
        <v>496</v>
      </c>
      <c r="F12" s="41" t="s">
        <v>93</v>
      </c>
      <c r="G12" s="34" t="s">
        <v>85</v>
      </c>
      <c r="H12" s="36">
        <v>41305.0</v>
      </c>
      <c r="I12" s="36">
        <v>41305.0</v>
      </c>
      <c r="J12" s="116"/>
      <c r="K12" s="32" t="s">
        <v>70</v>
      </c>
      <c r="L12" s="34" t="s">
        <v>115</v>
      </c>
      <c r="M12" s="63" t="s">
        <v>218</v>
      </c>
      <c r="N12" s="32" t="s">
        <v>89</v>
      </c>
      <c r="O12" s="32" t="s">
        <v>116</v>
      </c>
      <c r="P12" s="38"/>
      <c r="Q12" s="32" t="s">
        <v>117</v>
      </c>
      <c r="R12" s="48"/>
      <c r="S12" s="32" t="s">
        <v>116</v>
      </c>
      <c r="T12" s="45" t="s">
        <v>505</v>
      </c>
      <c r="U12" s="109" t="s">
        <v>506</v>
      </c>
      <c r="V12" s="34" t="s">
        <v>80</v>
      </c>
      <c r="W12" s="60" t="s">
        <v>508</v>
      </c>
      <c r="X12" s="32" t="s">
        <v>511</v>
      </c>
      <c r="Y12" s="45" t="s">
        <v>512</v>
      </c>
      <c r="Z12" s="32" t="s">
        <v>112</v>
      </c>
      <c r="AA12" s="38"/>
      <c r="AB12" s="60" t="s">
        <v>481</v>
      </c>
      <c r="AC12" s="68" t="s">
        <v>513</v>
      </c>
      <c r="AD12" s="74">
        <v>41305.0</v>
      </c>
      <c r="AE12" s="53"/>
      <c r="AF12" s="34" t="s">
        <v>80</v>
      </c>
      <c r="AG12" s="56" t="s">
        <v>515</v>
      </c>
      <c r="AH12" s="41"/>
      <c r="AI12" s="41"/>
      <c r="AJ12" s="41"/>
      <c r="AK12" s="132">
        <v>41074.0</v>
      </c>
      <c r="AL12" s="63"/>
    </row>
    <row r="13" ht="22.5" customHeight="1">
      <c r="A13" s="27" t="s">
        <v>522</v>
      </c>
      <c r="B13" s="60" t="s">
        <v>490</v>
      </c>
      <c r="C13" s="60" t="s">
        <v>494</v>
      </c>
      <c r="D13" s="39" t="s">
        <v>91</v>
      </c>
      <c r="E13" s="38" t="s">
        <v>496</v>
      </c>
      <c r="F13" s="41" t="s">
        <v>93</v>
      </c>
      <c r="G13" s="34" t="s">
        <v>168</v>
      </c>
      <c r="H13" s="36">
        <v>41474.0</v>
      </c>
      <c r="I13" s="36">
        <v>41474.0</v>
      </c>
      <c r="J13" s="36"/>
      <c r="K13" s="32" t="s">
        <v>86</v>
      </c>
      <c r="L13" s="34" t="s">
        <v>115</v>
      </c>
      <c r="M13" s="63" t="s">
        <v>218</v>
      </c>
      <c r="N13" s="32" t="s">
        <v>89</v>
      </c>
      <c r="O13" s="38" t="s">
        <v>523</v>
      </c>
      <c r="P13" s="38"/>
      <c r="Q13" s="38" t="s">
        <v>524</v>
      </c>
      <c r="R13" s="36">
        <v>42570.0</v>
      </c>
      <c r="S13" s="32" t="s">
        <v>116</v>
      </c>
      <c r="T13" s="45" t="s">
        <v>505</v>
      </c>
      <c r="U13" s="45" t="s">
        <v>525</v>
      </c>
      <c r="V13" s="34" t="s">
        <v>74</v>
      </c>
      <c r="W13" s="60" t="s">
        <v>508</v>
      </c>
      <c r="X13" s="32" t="s">
        <v>511</v>
      </c>
      <c r="Y13" s="45" t="s">
        <v>512</v>
      </c>
      <c r="Z13" s="32" t="s">
        <v>112</v>
      </c>
      <c r="AA13" s="38"/>
      <c r="AB13" s="60" t="s">
        <v>481</v>
      </c>
      <c r="AC13" s="68"/>
      <c r="AD13" s="136"/>
      <c r="AE13" s="137"/>
      <c r="AF13" s="34" t="s">
        <v>74</v>
      </c>
      <c r="AG13" s="56" t="s">
        <v>515</v>
      </c>
      <c r="AH13" s="41"/>
      <c r="AI13" s="41"/>
      <c r="AJ13" s="41"/>
      <c r="AK13" s="132">
        <v>41074.0</v>
      </c>
      <c r="AL13" s="109" t="s">
        <v>544</v>
      </c>
    </row>
    <row r="14" ht="22.5" customHeight="1">
      <c r="A14" s="27" t="s">
        <v>548</v>
      </c>
      <c r="B14" s="60" t="s">
        <v>490</v>
      </c>
      <c r="C14" s="60" t="s">
        <v>494</v>
      </c>
      <c r="D14" s="39" t="s">
        <v>91</v>
      </c>
      <c r="E14" s="38" t="s">
        <v>496</v>
      </c>
      <c r="F14" s="41" t="s">
        <v>93</v>
      </c>
      <c r="G14" s="34" t="s">
        <v>168</v>
      </c>
      <c r="H14" s="36">
        <v>41506.0</v>
      </c>
      <c r="I14" s="36">
        <v>41506.0</v>
      </c>
      <c r="J14" s="36"/>
      <c r="K14" s="32" t="s">
        <v>70</v>
      </c>
      <c r="L14" s="34" t="s">
        <v>115</v>
      </c>
      <c r="M14" s="63" t="s">
        <v>218</v>
      </c>
      <c r="N14" s="32" t="s">
        <v>89</v>
      </c>
      <c r="O14" s="38" t="s">
        <v>175</v>
      </c>
      <c r="P14" s="32"/>
      <c r="Q14" s="38" t="s">
        <v>176</v>
      </c>
      <c r="R14" s="48"/>
      <c r="S14" s="32" t="s">
        <v>116</v>
      </c>
      <c r="T14" s="45" t="s">
        <v>505</v>
      </c>
      <c r="U14" s="45" t="s">
        <v>563</v>
      </c>
      <c r="V14" s="34" t="s">
        <v>80</v>
      </c>
      <c r="W14" s="60" t="s">
        <v>508</v>
      </c>
      <c r="X14" s="32" t="s">
        <v>511</v>
      </c>
      <c r="Y14" s="45" t="s">
        <v>512</v>
      </c>
      <c r="Z14" s="32" t="s">
        <v>112</v>
      </c>
      <c r="AA14" s="38"/>
      <c r="AB14" s="60" t="s">
        <v>481</v>
      </c>
      <c r="AC14" s="68"/>
      <c r="AD14" s="136"/>
      <c r="AE14" s="137"/>
      <c r="AF14" s="34" t="s">
        <v>80</v>
      </c>
      <c r="AG14" s="56" t="s">
        <v>515</v>
      </c>
      <c r="AH14" s="41"/>
      <c r="AI14" s="41"/>
      <c r="AJ14" s="41"/>
      <c r="AK14" s="132">
        <v>41074.0</v>
      </c>
      <c r="AL14" s="56" t="s">
        <v>188</v>
      </c>
    </row>
    <row r="15" ht="22.5" customHeight="1">
      <c r="A15" s="27" t="s">
        <v>579</v>
      </c>
      <c r="B15" s="60" t="s">
        <v>490</v>
      </c>
      <c r="C15" s="60" t="s">
        <v>494</v>
      </c>
      <c r="D15" s="39" t="s">
        <v>91</v>
      </c>
      <c r="E15" s="38" t="s">
        <v>496</v>
      </c>
      <c r="F15" s="41" t="s">
        <v>93</v>
      </c>
      <c r="G15" s="34" t="s">
        <v>168</v>
      </c>
      <c r="H15" s="36">
        <v>41474.0</v>
      </c>
      <c r="I15" s="36">
        <v>41474.0</v>
      </c>
      <c r="J15" s="36">
        <v>41474.0</v>
      </c>
      <c r="K15" s="32" t="s">
        <v>86</v>
      </c>
      <c r="L15" s="34" t="s">
        <v>115</v>
      </c>
      <c r="M15" s="63" t="s">
        <v>218</v>
      </c>
      <c r="N15" s="32" t="s">
        <v>89</v>
      </c>
      <c r="O15" s="38" t="s">
        <v>220</v>
      </c>
      <c r="P15" s="38"/>
      <c r="Q15" s="38" t="s">
        <v>221</v>
      </c>
      <c r="R15" s="36">
        <v>42570.0</v>
      </c>
      <c r="S15" s="32" t="s">
        <v>116</v>
      </c>
      <c r="T15" s="45" t="s">
        <v>505</v>
      </c>
      <c r="U15" s="45" t="s">
        <v>596</v>
      </c>
      <c r="V15" s="34" t="s">
        <v>80</v>
      </c>
      <c r="W15" s="60" t="s">
        <v>508</v>
      </c>
      <c r="X15" s="32" t="s">
        <v>511</v>
      </c>
      <c r="Y15" s="45" t="s">
        <v>512</v>
      </c>
      <c r="Z15" s="32" t="s">
        <v>112</v>
      </c>
      <c r="AA15" s="38"/>
      <c r="AB15" s="60" t="s">
        <v>481</v>
      </c>
      <c r="AC15" s="68"/>
      <c r="AD15" s="74"/>
      <c r="AE15" s="53"/>
      <c r="AF15" s="34" t="s">
        <v>74</v>
      </c>
      <c r="AG15" s="56" t="s">
        <v>515</v>
      </c>
      <c r="AH15" s="41"/>
      <c r="AI15" s="41"/>
      <c r="AJ15" s="41"/>
      <c r="AK15" s="132">
        <v>41074.0</v>
      </c>
      <c r="AL15" s="56" t="s">
        <v>232</v>
      </c>
    </row>
    <row r="16" ht="22.5" customHeight="1">
      <c r="A16" s="27" t="s">
        <v>602</v>
      </c>
      <c r="B16" s="60" t="s">
        <v>490</v>
      </c>
      <c r="C16" s="60" t="s">
        <v>494</v>
      </c>
      <c r="D16" s="39" t="s">
        <v>91</v>
      </c>
      <c r="E16" s="38" t="s">
        <v>496</v>
      </c>
      <c r="F16" s="41" t="s">
        <v>93</v>
      </c>
      <c r="G16" s="34" t="s">
        <v>168</v>
      </c>
      <c r="H16" s="48">
        <v>41527.0</v>
      </c>
      <c r="I16" s="36">
        <v>41528.0</v>
      </c>
      <c r="J16" s="48">
        <v>41527.0</v>
      </c>
      <c r="K16" s="32" t="s">
        <v>70</v>
      </c>
      <c r="L16" s="34" t="s">
        <v>115</v>
      </c>
      <c r="M16" s="63" t="s">
        <v>218</v>
      </c>
      <c r="N16" s="32" t="s">
        <v>89</v>
      </c>
      <c r="O16" s="38" t="s">
        <v>605</v>
      </c>
      <c r="P16" s="38"/>
      <c r="Q16" s="38" t="s">
        <v>607</v>
      </c>
      <c r="R16" s="48"/>
      <c r="S16" s="32" t="s">
        <v>116</v>
      </c>
      <c r="T16" s="45" t="s">
        <v>505</v>
      </c>
      <c r="U16" s="45" t="s">
        <v>614</v>
      </c>
      <c r="V16" s="34" t="s">
        <v>74</v>
      </c>
      <c r="W16" s="60" t="s">
        <v>508</v>
      </c>
      <c r="X16" s="32" t="s">
        <v>511</v>
      </c>
      <c r="Y16" s="45" t="s">
        <v>512</v>
      </c>
      <c r="Z16" s="32" t="s">
        <v>112</v>
      </c>
      <c r="AA16" s="38"/>
      <c r="AB16" s="60" t="s">
        <v>481</v>
      </c>
      <c r="AC16" s="68"/>
      <c r="AD16" s="66"/>
      <c r="AE16" s="30" t="s">
        <v>620</v>
      </c>
      <c r="AF16" s="34" t="s">
        <v>80</v>
      </c>
      <c r="AG16" s="56" t="s">
        <v>515</v>
      </c>
      <c r="AH16" s="41"/>
      <c r="AI16" s="41"/>
      <c r="AJ16" s="41"/>
      <c r="AK16" s="132">
        <v>41074.0</v>
      </c>
      <c r="AL16" s="56" t="s">
        <v>631</v>
      </c>
    </row>
    <row r="17" ht="22.5" customHeight="1">
      <c r="A17" s="27" t="s">
        <v>636</v>
      </c>
      <c r="B17" s="60" t="s">
        <v>490</v>
      </c>
      <c r="C17" s="60" t="s">
        <v>494</v>
      </c>
      <c r="D17" s="39" t="s">
        <v>91</v>
      </c>
      <c r="E17" s="38" t="s">
        <v>496</v>
      </c>
      <c r="F17" s="41" t="s">
        <v>93</v>
      </c>
      <c r="G17" s="34" t="s">
        <v>168</v>
      </c>
      <c r="H17" s="36">
        <v>41547.0</v>
      </c>
      <c r="I17" s="36">
        <v>41547.0</v>
      </c>
      <c r="J17" s="48">
        <v>41547.0</v>
      </c>
      <c r="K17" s="32" t="s">
        <v>70</v>
      </c>
      <c r="L17" s="34" t="s">
        <v>115</v>
      </c>
      <c r="M17" s="63" t="s">
        <v>218</v>
      </c>
      <c r="N17" s="32" t="s">
        <v>89</v>
      </c>
      <c r="O17" s="38" t="s">
        <v>643</v>
      </c>
      <c r="P17" s="38"/>
      <c r="Q17" s="38" t="s">
        <v>644</v>
      </c>
      <c r="R17" s="48"/>
      <c r="S17" s="32" t="s">
        <v>116</v>
      </c>
      <c r="T17" s="45" t="s">
        <v>505</v>
      </c>
      <c r="U17" s="45" t="s">
        <v>645</v>
      </c>
      <c r="V17" s="34" t="s">
        <v>74</v>
      </c>
      <c r="W17" s="60" t="s">
        <v>508</v>
      </c>
      <c r="X17" s="32" t="s">
        <v>511</v>
      </c>
      <c r="Y17" s="45" t="s">
        <v>512</v>
      </c>
      <c r="Z17" s="32" t="s">
        <v>112</v>
      </c>
      <c r="AA17" s="38"/>
      <c r="AB17" s="60" t="s">
        <v>481</v>
      </c>
      <c r="AC17" s="68"/>
      <c r="AD17" s="74"/>
      <c r="AE17" s="30" t="s">
        <v>653</v>
      </c>
      <c r="AF17" s="34" t="s">
        <v>80</v>
      </c>
      <c r="AG17" s="56" t="s">
        <v>515</v>
      </c>
      <c r="AH17" s="41"/>
      <c r="AI17" s="41"/>
      <c r="AJ17" s="41"/>
      <c r="AK17" s="132">
        <v>41074.0</v>
      </c>
      <c r="AL17" s="56" t="s">
        <v>658</v>
      </c>
    </row>
    <row r="18" ht="22.5" customHeight="1">
      <c r="A18" s="27" t="s">
        <v>670</v>
      </c>
      <c r="B18" s="60" t="s">
        <v>490</v>
      </c>
      <c r="C18" s="60" t="s">
        <v>494</v>
      </c>
      <c r="D18" s="39" t="s">
        <v>91</v>
      </c>
      <c r="E18" s="38" t="s">
        <v>496</v>
      </c>
      <c r="F18" s="41" t="s">
        <v>93</v>
      </c>
      <c r="G18" s="34" t="s">
        <v>168</v>
      </c>
      <c r="H18" s="36">
        <v>41477.0</v>
      </c>
      <c r="I18" s="36"/>
      <c r="J18" s="36">
        <v>41477.0</v>
      </c>
      <c r="K18" s="32" t="s">
        <v>86</v>
      </c>
      <c r="L18" s="34" t="s">
        <v>115</v>
      </c>
      <c r="M18" s="63" t="s">
        <v>218</v>
      </c>
      <c r="N18" s="32" t="s">
        <v>89</v>
      </c>
      <c r="O18" s="38" t="s">
        <v>175</v>
      </c>
      <c r="P18" s="38" t="s">
        <v>686</v>
      </c>
      <c r="Q18" s="38" t="s">
        <v>687</v>
      </c>
      <c r="R18" s="36">
        <v>42573.0</v>
      </c>
      <c r="S18" s="32" t="s">
        <v>116</v>
      </c>
      <c r="T18" s="45" t="s">
        <v>505</v>
      </c>
      <c r="U18" s="56" t="s">
        <v>695</v>
      </c>
      <c r="V18" s="34" t="s">
        <v>80</v>
      </c>
      <c r="W18" s="60" t="s">
        <v>508</v>
      </c>
      <c r="X18" s="32" t="s">
        <v>511</v>
      </c>
      <c r="Y18" s="45" t="s">
        <v>512</v>
      </c>
      <c r="Z18" s="32" t="s">
        <v>112</v>
      </c>
      <c r="AA18" s="38"/>
      <c r="AB18" s="60" t="s">
        <v>481</v>
      </c>
      <c r="AC18" s="68"/>
      <c r="AD18" s="74"/>
      <c r="AE18" s="147" t="s">
        <v>708</v>
      </c>
      <c r="AF18" s="34" t="s">
        <v>74</v>
      </c>
      <c r="AG18" s="56" t="s">
        <v>515</v>
      </c>
      <c r="AH18" s="41"/>
      <c r="AI18" s="41"/>
      <c r="AJ18" s="41"/>
      <c r="AK18" s="132">
        <v>41074.0</v>
      </c>
      <c r="AL18" s="56" t="s">
        <v>188</v>
      </c>
    </row>
    <row r="19" ht="22.5" customHeight="1">
      <c r="A19" s="27" t="s">
        <v>723</v>
      </c>
      <c r="B19" s="60" t="s">
        <v>724</v>
      </c>
      <c r="C19" s="60" t="s">
        <v>725</v>
      </c>
      <c r="D19" s="34" t="s">
        <v>192</v>
      </c>
      <c r="E19" s="38" t="s">
        <v>727</v>
      </c>
      <c r="F19" s="41" t="s">
        <v>93</v>
      </c>
      <c r="G19" s="34" t="s">
        <v>85</v>
      </c>
      <c r="H19" s="48">
        <v>41431.0</v>
      </c>
      <c r="I19" s="36">
        <v>41430.0</v>
      </c>
      <c r="J19" s="48">
        <v>41431.0</v>
      </c>
      <c r="K19" s="32" t="s">
        <v>70</v>
      </c>
      <c r="L19" s="34" t="s">
        <v>115</v>
      </c>
      <c r="M19" s="63" t="s">
        <v>218</v>
      </c>
      <c r="N19" s="32" t="s">
        <v>89</v>
      </c>
      <c r="O19" s="32" t="s">
        <v>116</v>
      </c>
      <c r="P19" s="38"/>
      <c r="Q19" s="32" t="s">
        <v>117</v>
      </c>
      <c r="R19" s="48"/>
      <c r="S19" s="32" t="s">
        <v>116</v>
      </c>
      <c r="T19" s="45" t="s">
        <v>732</v>
      </c>
      <c r="U19" s="109" t="s">
        <v>735</v>
      </c>
      <c r="V19" s="34" t="s">
        <v>80</v>
      </c>
      <c r="W19" s="32" t="s">
        <v>698</v>
      </c>
      <c r="X19" s="32" t="s">
        <v>740</v>
      </c>
      <c r="Y19" s="32" t="s">
        <v>741</v>
      </c>
      <c r="Z19" s="32" t="s">
        <v>112</v>
      </c>
      <c r="AA19" s="38"/>
      <c r="AB19" s="123" t="s">
        <v>113</v>
      </c>
      <c r="AC19" s="68" t="s">
        <v>744</v>
      </c>
      <c r="AD19" s="66">
        <v>41431.0</v>
      </c>
      <c r="AE19" s="53"/>
      <c r="AF19" s="34" t="s">
        <v>80</v>
      </c>
      <c r="AG19" s="56" t="s">
        <v>745</v>
      </c>
      <c r="AH19" s="41"/>
      <c r="AI19" s="41"/>
      <c r="AJ19" s="41"/>
      <c r="AK19" s="58">
        <v>41284.0</v>
      </c>
      <c r="AL19" s="63"/>
    </row>
    <row r="20" ht="22.5" customHeight="1">
      <c r="A20" s="27" t="s">
        <v>751</v>
      </c>
      <c r="B20" s="60" t="s">
        <v>724</v>
      </c>
      <c r="C20" s="60" t="s">
        <v>725</v>
      </c>
      <c r="D20" s="34" t="s">
        <v>752</v>
      </c>
      <c r="E20" s="38" t="s">
        <v>727</v>
      </c>
      <c r="F20" s="41" t="s">
        <v>93</v>
      </c>
      <c r="G20" s="34" t="s">
        <v>168</v>
      </c>
      <c r="H20" s="36">
        <v>41474.0</v>
      </c>
      <c r="I20" s="36">
        <v>41474.0</v>
      </c>
      <c r="J20" s="36">
        <v>41474.0</v>
      </c>
      <c r="K20" s="32" t="s">
        <v>86</v>
      </c>
      <c r="L20" s="34" t="s">
        <v>115</v>
      </c>
      <c r="M20" s="63" t="s">
        <v>218</v>
      </c>
      <c r="N20" s="32" t="s">
        <v>89</v>
      </c>
      <c r="O20" s="38" t="s">
        <v>220</v>
      </c>
      <c r="P20" s="38"/>
      <c r="Q20" s="38" t="s">
        <v>221</v>
      </c>
      <c r="R20" s="36">
        <v>42570.0</v>
      </c>
      <c r="S20" s="32" t="s">
        <v>116</v>
      </c>
      <c r="T20" s="45" t="s">
        <v>732</v>
      </c>
      <c r="U20" s="45" t="s">
        <v>758</v>
      </c>
      <c r="V20" s="34" t="s">
        <v>80</v>
      </c>
      <c r="W20" s="32" t="s">
        <v>698</v>
      </c>
      <c r="X20" s="32" t="s">
        <v>740</v>
      </c>
      <c r="Y20" s="32" t="s">
        <v>741</v>
      </c>
      <c r="Z20" s="32" t="s">
        <v>112</v>
      </c>
      <c r="AA20" s="38"/>
      <c r="AB20" s="123" t="s">
        <v>113</v>
      </c>
      <c r="AC20" s="68"/>
      <c r="AD20" s="74"/>
      <c r="AE20" s="53"/>
      <c r="AF20" s="34" t="s">
        <v>74</v>
      </c>
      <c r="AG20" s="56" t="s">
        <v>745</v>
      </c>
      <c r="AH20" s="41"/>
      <c r="AI20" s="41"/>
      <c r="AJ20" s="41"/>
      <c r="AK20" s="58">
        <v>41284.0</v>
      </c>
      <c r="AL20" s="56" t="s">
        <v>232</v>
      </c>
    </row>
    <row r="21" ht="22.5" customHeight="1">
      <c r="A21" s="27" t="s">
        <v>766</v>
      </c>
      <c r="B21" s="63" t="s">
        <v>768</v>
      </c>
      <c r="C21" s="32" t="s">
        <v>769</v>
      </c>
      <c r="D21" s="41" t="s">
        <v>91</v>
      </c>
      <c r="E21" s="38" t="s">
        <v>773</v>
      </c>
      <c r="F21" s="34" t="s">
        <v>140</v>
      </c>
      <c r="G21" s="34" t="s">
        <v>85</v>
      </c>
      <c r="H21" s="48">
        <v>41431.0</v>
      </c>
      <c r="I21" s="36">
        <v>41430.0</v>
      </c>
      <c r="J21" s="154">
        <v>41431.0</v>
      </c>
      <c r="K21" s="32" t="s">
        <v>86</v>
      </c>
      <c r="L21" s="34" t="s">
        <v>115</v>
      </c>
      <c r="M21" s="63" t="s">
        <v>218</v>
      </c>
      <c r="N21" s="32" t="s">
        <v>89</v>
      </c>
      <c r="O21" s="32" t="s">
        <v>116</v>
      </c>
      <c r="P21" s="38"/>
      <c r="Q21" s="32" t="s">
        <v>117</v>
      </c>
      <c r="R21" s="48"/>
      <c r="S21" s="32" t="s">
        <v>116</v>
      </c>
      <c r="T21" s="45" t="s">
        <v>784</v>
      </c>
      <c r="U21" s="109" t="s">
        <v>787</v>
      </c>
      <c r="V21" s="34" t="s">
        <v>80</v>
      </c>
      <c r="W21" s="60" t="s">
        <v>790</v>
      </c>
      <c r="X21" s="60" t="s">
        <v>791</v>
      </c>
      <c r="Y21" s="109" t="s">
        <v>792</v>
      </c>
      <c r="Z21" s="32" t="s">
        <v>112</v>
      </c>
      <c r="AA21" s="38"/>
      <c r="AB21" s="123" t="s">
        <v>113</v>
      </c>
      <c r="AC21" s="60" t="s">
        <v>793</v>
      </c>
      <c r="AD21" s="66">
        <v>41431.0</v>
      </c>
      <c r="AE21" s="30" t="s">
        <v>794</v>
      </c>
      <c r="AF21" s="34" t="s">
        <v>74</v>
      </c>
      <c r="AG21" s="63"/>
      <c r="AH21" s="41"/>
      <c r="AI21" s="41"/>
      <c r="AJ21" s="41"/>
      <c r="AK21" s="58">
        <v>41172.0</v>
      </c>
      <c r="AL21" s="63"/>
    </row>
    <row r="22" ht="22.5" customHeight="1">
      <c r="A22" s="27" t="s">
        <v>795</v>
      </c>
      <c r="B22" s="63" t="s">
        <v>768</v>
      </c>
      <c r="C22" s="32" t="s">
        <v>769</v>
      </c>
      <c r="D22" s="41" t="str">
        <f>D21</f>
        <v>IaaS</v>
      </c>
      <c r="E22" s="38" t="s">
        <v>773</v>
      </c>
      <c r="F22" s="34" t="s">
        <v>140</v>
      </c>
      <c r="G22" s="34" t="s">
        <v>168</v>
      </c>
      <c r="H22" s="36">
        <v>41474.0</v>
      </c>
      <c r="I22" s="36">
        <v>41474.0</v>
      </c>
      <c r="J22" s="36">
        <v>41474.0</v>
      </c>
      <c r="K22" s="32" t="s">
        <v>86</v>
      </c>
      <c r="L22" s="34" t="s">
        <v>115</v>
      </c>
      <c r="M22" s="63" t="s">
        <v>218</v>
      </c>
      <c r="N22" s="32" t="s">
        <v>89</v>
      </c>
      <c r="O22" s="38" t="s">
        <v>220</v>
      </c>
      <c r="P22" s="38"/>
      <c r="Q22" s="38" t="s">
        <v>221</v>
      </c>
      <c r="R22" s="36">
        <v>42570.0</v>
      </c>
      <c r="S22" s="32" t="s">
        <v>116</v>
      </c>
      <c r="T22" s="45" t="s">
        <v>784</v>
      </c>
      <c r="U22" s="45" t="s">
        <v>802</v>
      </c>
      <c r="V22" s="34" t="s">
        <v>80</v>
      </c>
      <c r="W22" s="60" t="s">
        <v>790</v>
      </c>
      <c r="X22" s="60" t="s">
        <v>791</v>
      </c>
      <c r="Y22" s="109" t="s">
        <v>792</v>
      </c>
      <c r="Z22" s="32" t="s">
        <v>112</v>
      </c>
      <c r="AA22" s="38"/>
      <c r="AB22" s="123" t="s">
        <v>113</v>
      </c>
      <c r="AC22" s="60"/>
      <c r="AD22" s="74"/>
      <c r="AE22" s="53"/>
      <c r="AF22" s="34" t="s">
        <v>74</v>
      </c>
      <c r="AG22" s="63"/>
      <c r="AH22" s="41"/>
      <c r="AI22" s="41"/>
      <c r="AJ22" s="41"/>
      <c r="AK22" s="58">
        <v>41172.0</v>
      </c>
      <c r="AL22" s="56" t="s">
        <v>232</v>
      </c>
    </row>
    <row r="23" ht="22.5" customHeight="1">
      <c r="A23" s="27" t="s">
        <v>815</v>
      </c>
      <c r="B23" s="63" t="s">
        <v>768</v>
      </c>
      <c r="C23" s="32" t="s">
        <v>769</v>
      </c>
      <c r="D23" s="41" t="s">
        <v>91</v>
      </c>
      <c r="E23" s="38" t="s">
        <v>773</v>
      </c>
      <c r="F23" s="34" t="s">
        <v>140</v>
      </c>
      <c r="G23" s="34" t="s">
        <v>85</v>
      </c>
      <c r="H23" s="48">
        <v>41431.0</v>
      </c>
      <c r="I23" s="36">
        <v>41529.0</v>
      </c>
      <c r="J23" s="36">
        <v>41529.0</v>
      </c>
      <c r="K23" s="32" t="s">
        <v>86</v>
      </c>
      <c r="L23" s="34" t="s">
        <v>115</v>
      </c>
      <c r="M23" s="63" t="s">
        <v>218</v>
      </c>
      <c r="N23" s="32" t="s">
        <v>89</v>
      </c>
      <c r="O23" s="38" t="s">
        <v>605</v>
      </c>
      <c r="P23" s="38"/>
      <c r="Q23" s="32" t="s">
        <v>821</v>
      </c>
      <c r="R23" s="48"/>
      <c r="S23" s="32" t="s">
        <v>116</v>
      </c>
      <c r="T23" s="45" t="s">
        <v>784</v>
      </c>
      <c r="U23" s="45" t="s">
        <v>825</v>
      </c>
      <c r="V23" s="34" t="s">
        <v>74</v>
      </c>
      <c r="W23" s="60" t="s">
        <v>790</v>
      </c>
      <c r="X23" s="60" t="s">
        <v>791</v>
      </c>
      <c r="Y23" s="109" t="s">
        <v>792</v>
      </c>
      <c r="Z23" s="32" t="s">
        <v>112</v>
      </c>
      <c r="AA23" s="38"/>
      <c r="AB23" s="123" t="s">
        <v>113</v>
      </c>
      <c r="AC23" s="60" t="s">
        <v>793</v>
      </c>
      <c r="AD23" s="66">
        <v>41431.0</v>
      </c>
      <c r="AE23" s="30" t="s">
        <v>835</v>
      </c>
      <c r="AF23" s="34" t="s">
        <v>80</v>
      </c>
      <c r="AG23" s="63"/>
      <c r="AH23" s="41"/>
      <c r="AI23" s="41"/>
      <c r="AJ23" s="41"/>
      <c r="AK23" s="58">
        <v>41172.0</v>
      </c>
      <c r="AL23" s="56" t="s">
        <v>631</v>
      </c>
    </row>
    <row r="24" ht="22.5" customHeight="1">
      <c r="A24" s="27" t="s">
        <v>841</v>
      </c>
      <c r="B24" s="63" t="s">
        <v>843</v>
      </c>
      <c r="C24" s="32" t="s">
        <v>844</v>
      </c>
      <c r="D24" s="34" t="s">
        <v>845</v>
      </c>
      <c r="E24" s="38" t="s">
        <v>846</v>
      </c>
      <c r="F24" s="41" t="s">
        <v>140</v>
      </c>
      <c r="G24" s="34" t="s">
        <v>168</v>
      </c>
      <c r="H24" s="36">
        <v>41361.0</v>
      </c>
      <c r="I24" s="36">
        <v>41361.0</v>
      </c>
      <c r="J24" s="36"/>
      <c r="K24" s="32" t="s">
        <v>86</v>
      </c>
      <c r="L24" s="34" t="s">
        <v>115</v>
      </c>
      <c r="M24" s="42" t="s">
        <v>88</v>
      </c>
      <c r="N24" s="32" t="s">
        <v>89</v>
      </c>
      <c r="O24" s="38" t="s">
        <v>850</v>
      </c>
      <c r="P24" s="32" t="s">
        <v>852</v>
      </c>
      <c r="Q24" s="38" t="s">
        <v>853</v>
      </c>
      <c r="R24" s="36">
        <v>42366.0</v>
      </c>
      <c r="S24" s="32" t="s">
        <v>220</v>
      </c>
      <c r="T24" s="45" t="s">
        <v>855</v>
      </c>
      <c r="U24" s="45" t="s">
        <v>858</v>
      </c>
      <c r="V24" s="34" t="s">
        <v>80</v>
      </c>
      <c r="W24" s="32" t="s">
        <v>561</v>
      </c>
      <c r="X24" s="32" t="s">
        <v>561</v>
      </c>
      <c r="Y24" s="45" t="s">
        <v>859</v>
      </c>
      <c r="Z24" s="32" t="s">
        <v>112</v>
      </c>
      <c r="AA24" s="38"/>
      <c r="AB24" s="60" t="s">
        <v>860</v>
      </c>
      <c r="AC24" s="68"/>
      <c r="AD24" s="66"/>
      <c r="AE24" s="30" t="s">
        <v>861</v>
      </c>
      <c r="AF24" s="34" t="s">
        <v>74</v>
      </c>
      <c r="AG24" s="56" t="s">
        <v>865</v>
      </c>
      <c r="AH24" s="41"/>
      <c r="AI24" s="41"/>
      <c r="AJ24" s="58">
        <v>41779.0</v>
      </c>
      <c r="AK24" s="58">
        <v>41612.0</v>
      </c>
      <c r="AL24" s="56" t="s">
        <v>870</v>
      </c>
    </row>
    <row r="25" ht="22.5" customHeight="1">
      <c r="A25" s="27" t="s">
        <v>872</v>
      </c>
      <c r="B25" s="63" t="s">
        <v>843</v>
      </c>
      <c r="C25" s="32" t="s">
        <v>844</v>
      </c>
      <c r="D25" s="34" t="s">
        <v>845</v>
      </c>
      <c r="E25" s="38" t="s">
        <v>846</v>
      </c>
      <c r="F25" s="41" t="s">
        <v>140</v>
      </c>
      <c r="G25" s="34" t="s">
        <v>168</v>
      </c>
      <c r="H25" s="48">
        <v>40956.0</v>
      </c>
      <c r="I25" s="36"/>
      <c r="J25" s="48">
        <v>40956.0</v>
      </c>
      <c r="K25" s="32" t="s">
        <v>86</v>
      </c>
      <c r="L25" s="34" t="s">
        <v>115</v>
      </c>
      <c r="M25" s="42" t="s">
        <v>88</v>
      </c>
      <c r="N25" s="32" t="s">
        <v>89</v>
      </c>
      <c r="O25" s="38" t="s">
        <v>175</v>
      </c>
      <c r="P25" s="32" t="s">
        <v>876</v>
      </c>
      <c r="Q25" s="38" t="s">
        <v>877</v>
      </c>
      <c r="R25" s="48">
        <v>42052.0</v>
      </c>
      <c r="S25" s="32" t="s">
        <v>220</v>
      </c>
      <c r="T25" s="45" t="s">
        <v>855</v>
      </c>
      <c r="U25" s="45" t="s">
        <v>879</v>
      </c>
      <c r="V25" s="34" t="s">
        <v>80</v>
      </c>
      <c r="W25" s="32" t="s">
        <v>561</v>
      </c>
      <c r="X25" s="32" t="s">
        <v>561</v>
      </c>
      <c r="Y25" s="45" t="s">
        <v>859</v>
      </c>
      <c r="Z25" s="32" t="s">
        <v>112</v>
      </c>
      <c r="AA25" s="38"/>
      <c r="AB25" s="60" t="s">
        <v>860</v>
      </c>
      <c r="AC25" s="68"/>
      <c r="AD25" s="66"/>
      <c r="AE25" s="30" t="s">
        <v>885</v>
      </c>
      <c r="AF25" s="34" t="s">
        <v>74</v>
      </c>
      <c r="AG25" s="56" t="s">
        <v>865</v>
      </c>
      <c r="AH25" s="41"/>
      <c r="AI25" s="41"/>
      <c r="AJ25" s="58">
        <v>41779.0</v>
      </c>
      <c r="AK25" s="58">
        <v>41612.0</v>
      </c>
      <c r="AL25" s="56" t="s">
        <v>188</v>
      </c>
    </row>
    <row r="26" ht="22.5" customHeight="1">
      <c r="A26" s="27" t="s">
        <v>887</v>
      </c>
      <c r="B26" s="63" t="s">
        <v>888</v>
      </c>
      <c r="C26" s="32" t="s">
        <v>889</v>
      </c>
      <c r="D26" s="34" t="s">
        <v>192</v>
      </c>
      <c r="E26" s="38" t="s">
        <v>892</v>
      </c>
      <c r="F26" s="41" t="s">
        <v>93</v>
      </c>
      <c r="G26" s="34" t="s">
        <v>85</v>
      </c>
      <c r="H26" s="36">
        <v>41544.0</v>
      </c>
      <c r="I26" s="36">
        <v>41544.0</v>
      </c>
      <c r="J26" s="116"/>
      <c r="K26" s="32" t="s">
        <v>86</v>
      </c>
      <c r="L26" s="34" t="s">
        <v>115</v>
      </c>
      <c r="M26" s="42" t="s">
        <v>88</v>
      </c>
      <c r="N26" s="32" t="s">
        <v>89</v>
      </c>
      <c r="O26" s="32" t="s">
        <v>116</v>
      </c>
      <c r="P26" s="38"/>
      <c r="Q26" s="32" t="s">
        <v>117</v>
      </c>
      <c r="R26" s="34"/>
      <c r="S26" s="32" t="s">
        <v>116</v>
      </c>
      <c r="T26" s="56" t="s">
        <v>894</v>
      </c>
      <c r="U26" s="109" t="s">
        <v>896</v>
      </c>
      <c r="V26" s="34" t="s">
        <v>80</v>
      </c>
      <c r="W26" s="172" t="s">
        <v>897</v>
      </c>
      <c r="X26" s="111" t="s">
        <v>898</v>
      </c>
      <c r="Y26" s="109" t="s">
        <v>899</v>
      </c>
      <c r="Z26" s="32" t="s">
        <v>112</v>
      </c>
      <c r="AA26" s="38"/>
      <c r="AB26" s="60" t="s">
        <v>481</v>
      </c>
      <c r="AC26" s="68"/>
      <c r="AD26" s="74">
        <v>41544.0</v>
      </c>
      <c r="AE26" s="147"/>
      <c r="AF26" s="34" t="s">
        <v>74</v>
      </c>
      <c r="AG26" s="56" t="s">
        <v>900</v>
      </c>
      <c r="AH26" s="177"/>
      <c r="AI26" s="41"/>
      <c r="AJ26" s="41"/>
      <c r="AK26" s="155">
        <v>41352.0</v>
      </c>
      <c r="AL26" s="63"/>
    </row>
    <row r="27" ht="22.5" customHeight="1">
      <c r="A27" s="27" t="s">
        <v>907</v>
      </c>
      <c r="B27" s="63" t="s">
        <v>888</v>
      </c>
      <c r="C27" s="32" t="s">
        <v>889</v>
      </c>
      <c r="D27" s="34" t="s">
        <v>752</v>
      </c>
      <c r="E27" s="38" t="s">
        <v>892</v>
      </c>
      <c r="F27" s="41" t="s">
        <v>93</v>
      </c>
      <c r="G27" s="34" t="s">
        <v>168</v>
      </c>
      <c r="H27" s="36">
        <v>41527.0</v>
      </c>
      <c r="I27" s="36">
        <v>41527.0</v>
      </c>
      <c r="J27" s="36">
        <v>41527.0</v>
      </c>
      <c r="K27" s="32" t="s">
        <v>86</v>
      </c>
      <c r="L27" s="34" t="s">
        <v>115</v>
      </c>
      <c r="M27" s="42" t="s">
        <v>88</v>
      </c>
      <c r="N27" s="32" t="s">
        <v>89</v>
      </c>
      <c r="O27" s="38" t="s">
        <v>220</v>
      </c>
      <c r="P27" s="38"/>
      <c r="Q27" s="38" t="s">
        <v>221</v>
      </c>
      <c r="R27" s="36">
        <v>42623.0</v>
      </c>
      <c r="S27" s="32" t="s">
        <v>116</v>
      </c>
      <c r="T27" s="56" t="s">
        <v>909</v>
      </c>
      <c r="U27" s="45" t="s">
        <v>910</v>
      </c>
      <c r="V27" s="34" t="s">
        <v>80</v>
      </c>
      <c r="W27" s="172" t="s">
        <v>897</v>
      </c>
      <c r="X27" s="111" t="s">
        <v>898</v>
      </c>
      <c r="Y27" s="109" t="s">
        <v>899</v>
      </c>
      <c r="Z27" s="32" t="s">
        <v>112</v>
      </c>
      <c r="AA27" s="38"/>
      <c r="AB27" s="60" t="s">
        <v>481</v>
      </c>
      <c r="AC27" s="68"/>
      <c r="AD27" s="74"/>
      <c r="AE27" s="53"/>
      <c r="AF27" s="34" t="s">
        <v>80</v>
      </c>
      <c r="AG27" s="56" t="s">
        <v>900</v>
      </c>
      <c r="AH27" s="41"/>
      <c r="AI27" s="41"/>
      <c r="AJ27" s="41"/>
      <c r="AK27" s="41"/>
      <c r="AL27" s="56" t="s">
        <v>232</v>
      </c>
    </row>
    <row r="28" ht="22.5" customHeight="1">
      <c r="A28" s="27" t="s">
        <v>917</v>
      </c>
      <c r="B28" s="63" t="s">
        <v>888</v>
      </c>
      <c r="C28" s="60" t="s">
        <v>918</v>
      </c>
      <c r="D28" s="34" t="s">
        <v>91</v>
      </c>
      <c r="E28" s="103" t="s">
        <v>919</v>
      </c>
      <c r="F28" s="41" t="s">
        <v>93</v>
      </c>
      <c r="G28" s="34" t="s">
        <v>85</v>
      </c>
      <c r="H28" s="36">
        <v>41544.0</v>
      </c>
      <c r="I28" s="36">
        <v>41544.0</v>
      </c>
      <c r="J28" s="116"/>
      <c r="K28" s="32" t="s">
        <v>86</v>
      </c>
      <c r="L28" s="34" t="s">
        <v>115</v>
      </c>
      <c r="M28" s="103" t="s">
        <v>88</v>
      </c>
      <c r="N28" s="32" t="s">
        <v>89</v>
      </c>
      <c r="O28" s="32" t="s">
        <v>116</v>
      </c>
      <c r="P28" s="38"/>
      <c r="Q28" s="32" t="s">
        <v>117</v>
      </c>
      <c r="R28" s="34"/>
      <c r="S28" s="32" t="s">
        <v>116</v>
      </c>
      <c r="T28" s="45" t="s">
        <v>926</v>
      </c>
      <c r="U28" s="109" t="s">
        <v>927</v>
      </c>
      <c r="V28" s="34" t="s">
        <v>80</v>
      </c>
      <c r="W28" s="172" t="s">
        <v>897</v>
      </c>
      <c r="X28" s="111" t="s">
        <v>898</v>
      </c>
      <c r="Y28" s="45" t="s">
        <v>929</v>
      </c>
      <c r="Z28" s="32" t="s">
        <v>112</v>
      </c>
      <c r="AA28" s="38"/>
      <c r="AB28" s="60" t="s">
        <v>481</v>
      </c>
      <c r="AC28" s="68" t="s">
        <v>930</v>
      </c>
      <c r="AD28" s="74">
        <v>41544.0</v>
      </c>
      <c r="AE28" s="30"/>
      <c r="AF28" s="34" t="s">
        <v>74</v>
      </c>
      <c r="AG28" s="56" t="s">
        <v>900</v>
      </c>
      <c r="AH28" s="41"/>
      <c r="AI28" s="41"/>
      <c r="AJ28" s="41"/>
      <c r="AK28" s="155">
        <v>41185.0</v>
      </c>
      <c r="AL28" s="63"/>
    </row>
    <row r="29" ht="22.5" customHeight="1">
      <c r="A29" s="27" t="s">
        <v>931</v>
      </c>
      <c r="B29" s="63" t="s">
        <v>932</v>
      </c>
      <c r="C29" s="32" t="s">
        <v>933</v>
      </c>
      <c r="D29" s="34" t="s">
        <v>192</v>
      </c>
      <c r="E29" s="38" t="s">
        <v>935</v>
      </c>
      <c r="F29" s="41" t="s">
        <v>140</v>
      </c>
      <c r="G29" s="34" t="s">
        <v>85</v>
      </c>
      <c r="H29" s="36">
        <v>41533.0</v>
      </c>
      <c r="I29" s="36"/>
      <c r="J29" s="36">
        <v>41533.0</v>
      </c>
      <c r="K29" s="32" t="s">
        <v>70</v>
      </c>
      <c r="L29" s="34" t="s">
        <v>115</v>
      </c>
      <c r="M29" s="42" t="s">
        <v>383</v>
      </c>
      <c r="N29" s="32" t="s">
        <v>89</v>
      </c>
      <c r="O29" s="38" t="s">
        <v>850</v>
      </c>
      <c r="P29" s="38"/>
      <c r="Q29" s="38" t="s">
        <v>936</v>
      </c>
      <c r="R29" s="48"/>
      <c r="S29" s="32" t="s">
        <v>850</v>
      </c>
      <c r="T29" s="45" t="s">
        <v>938</v>
      </c>
      <c r="U29" s="45" t="s">
        <v>939</v>
      </c>
      <c r="V29" s="34" t="s">
        <v>80</v>
      </c>
      <c r="W29" s="32" t="s">
        <v>561</v>
      </c>
      <c r="X29" s="32" t="s">
        <v>941</v>
      </c>
      <c r="Y29" s="45" t="s">
        <v>942</v>
      </c>
      <c r="Z29" s="32" t="s">
        <v>112</v>
      </c>
      <c r="AA29" s="38"/>
      <c r="AB29" s="60" t="s">
        <v>240</v>
      </c>
      <c r="AC29" s="68" t="s">
        <v>943</v>
      </c>
      <c r="AD29" s="74">
        <v>41533.0</v>
      </c>
      <c r="AE29" s="30" t="s">
        <v>944</v>
      </c>
      <c r="AF29" s="34" t="s">
        <v>80</v>
      </c>
      <c r="AG29" s="56" t="s">
        <v>945</v>
      </c>
      <c r="AH29" s="41"/>
      <c r="AI29" s="41"/>
      <c r="AJ29" s="41"/>
      <c r="AK29" s="58">
        <v>41255.0</v>
      </c>
      <c r="AL29" s="56" t="s">
        <v>870</v>
      </c>
    </row>
    <row r="30" ht="22.5" customHeight="1">
      <c r="A30" s="27" t="s">
        <v>946</v>
      </c>
      <c r="B30" s="63" t="s">
        <v>190</v>
      </c>
      <c r="C30" s="149" t="s">
        <v>211</v>
      </c>
      <c r="D30" s="34" t="s">
        <v>752</v>
      </c>
      <c r="E30" s="32" t="s">
        <v>947</v>
      </c>
      <c r="F30" s="34" t="s">
        <v>93</v>
      </c>
      <c r="G30" s="34" t="s">
        <v>168</v>
      </c>
      <c r="H30" s="48">
        <v>41407.0</v>
      </c>
      <c r="I30" s="48">
        <v>41407.0</v>
      </c>
      <c r="J30" s="36"/>
      <c r="K30" s="32" t="s">
        <v>70</v>
      </c>
      <c r="L30" s="34" t="s">
        <v>115</v>
      </c>
      <c r="M30" s="63" t="s">
        <v>218</v>
      </c>
      <c r="N30" s="32" t="s">
        <v>434</v>
      </c>
      <c r="O30" s="32" t="s">
        <v>196</v>
      </c>
      <c r="P30" s="38"/>
      <c r="Q30" s="32" t="s">
        <v>948</v>
      </c>
      <c r="R30" s="48"/>
      <c r="S30" s="32" t="s">
        <v>116</v>
      </c>
      <c r="T30" s="56" t="s">
        <v>248</v>
      </c>
      <c r="U30" s="71" t="s">
        <v>949</v>
      </c>
      <c r="V30" s="34" t="s">
        <v>80</v>
      </c>
      <c r="W30" s="32" t="s">
        <v>201</v>
      </c>
      <c r="X30" s="32" t="s">
        <v>202</v>
      </c>
      <c r="Y30" s="45" t="s">
        <v>203</v>
      </c>
      <c r="Z30" s="32" t="s">
        <v>112</v>
      </c>
      <c r="AA30" s="32"/>
      <c r="AB30" s="32" t="s">
        <v>113</v>
      </c>
      <c r="AC30" s="60"/>
      <c r="AD30" s="192"/>
      <c r="AE30" s="193"/>
      <c r="AF30" s="34" t="s">
        <v>80</v>
      </c>
      <c r="AG30" s="56" t="s">
        <v>206</v>
      </c>
      <c r="AH30" s="41"/>
      <c r="AI30" s="41"/>
      <c r="AJ30" s="41"/>
      <c r="AK30" s="58">
        <v>42212.0</v>
      </c>
      <c r="AL30" s="56" t="s">
        <v>208</v>
      </c>
    </row>
    <row r="31" ht="22.5" customHeight="1">
      <c r="A31" s="27" t="s">
        <v>950</v>
      </c>
      <c r="B31" s="63" t="s">
        <v>951</v>
      </c>
      <c r="C31" s="149" t="s">
        <v>952</v>
      </c>
      <c r="D31" s="41" t="s">
        <v>75</v>
      </c>
      <c r="E31" s="149" t="s">
        <v>953</v>
      </c>
      <c r="F31" s="41" t="s">
        <v>140</v>
      </c>
      <c r="G31" s="34" t="s">
        <v>168</v>
      </c>
      <c r="H31" s="48">
        <v>41305.0</v>
      </c>
      <c r="I31" s="48">
        <v>41305.0</v>
      </c>
      <c r="J31" s="36"/>
      <c r="K31" s="32" t="s">
        <v>70</v>
      </c>
      <c r="L31" s="34" t="s">
        <v>115</v>
      </c>
      <c r="M31" s="63" t="s">
        <v>88</v>
      </c>
      <c r="N31" s="32" t="s">
        <v>89</v>
      </c>
      <c r="O31" s="32" t="s">
        <v>954</v>
      </c>
      <c r="P31" s="32" t="s">
        <v>955</v>
      </c>
      <c r="Q31" s="32" t="s">
        <v>956</v>
      </c>
      <c r="R31" s="34"/>
      <c r="S31" s="38" t="s">
        <v>196</v>
      </c>
      <c r="T31" s="45" t="s">
        <v>957</v>
      </c>
      <c r="U31" s="71" t="s">
        <v>958</v>
      </c>
      <c r="V31" s="34" t="s">
        <v>80</v>
      </c>
      <c r="W31" s="149" t="s">
        <v>959</v>
      </c>
      <c r="X31" s="149" t="s">
        <v>960</v>
      </c>
      <c r="Y31" s="198" t="s">
        <v>961</v>
      </c>
      <c r="Z31" s="32" t="s">
        <v>112</v>
      </c>
      <c r="AA31" s="149"/>
      <c r="AB31" s="149" t="s">
        <v>481</v>
      </c>
      <c r="AC31" s="68"/>
      <c r="AD31" s="66"/>
      <c r="AE31" s="193"/>
      <c r="AF31" s="200" t="s">
        <v>80</v>
      </c>
      <c r="AG31" s="56" t="s">
        <v>964</v>
      </c>
      <c r="AH31" s="41"/>
      <c r="AI31" s="41"/>
      <c r="AJ31" s="41"/>
      <c r="AK31" s="132">
        <v>42117.0</v>
      </c>
      <c r="AL31" s="56" t="s">
        <v>965</v>
      </c>
    </row>
    <row r="32" ht="22.5" customHeight="1">
      <c r="A32" s="27" t="s">
        <v>966</v>
      </c>
      <c r="B32" s="63" t="s">
        <v>901</v>
      </c>
      <c r="C32" s="149" t="s">
        <v>967</v>
      </c>
      <c r="D32" s="34" t="s">
        <v>584</v>
      </c>
      <c r="E32" s="103" t="s">
        <v>968</v>
      </c>
      <c r="F32" s="34" t="s">
        <v>93</v>
      </c>
      <c r="G32" s="34" t="s">
        <v>168</v>
      </c>
      <c r="H32" s="48">
        <v>40126.0</v>
      </c>
      <c r="I32" s="48">
        <v>40126.0</v>
      </c>
      <c r="J32" s="36"/>
      <c r="K32" s="32" t="s">
        <v>70</v>
      </c>
      <c r="L32" s="34" t="s">
        <v>115</v>
      </c>
      <c r="M32" s="42" t="s">
        <v>313</v>
      </c>
      <c r="N32" s="32" t="s">
        <v>89</v>
      </c>
      <c r="O32" s="32" t="s">
        <v>972</v>
      </c>
      <c r="P32" s="32"/>
      <c r="Q32" s="32" t="s">
        <v>973</v>
      </c>
      <c r="R32" s="34"/>
      <c r="S32" s="32" t="s">
        <v>116</v>
      </c>
      <c r="T32" s="45" t="s">
        <v>974</v>
      </c>
      <c r="U32" s="71" t="s">
        <v>975</v>
      </c>
      <c r="V32" s="34" t="s">
        <v>74</v>
      </c>
      <c r="W32" s="60" t="s">
        <v>976</v>
      </c>
      <c r="X32" s="60" t="s">
        <v>977</v>
      </c>
      <c r="Y32" s="109" t="s">
        <v>906</v>
      </c>
      <c r="Z32" s="32" t="s">
        <v>112</v>
      </c>
      <c r="AA32" s="38"/>
      <c r="AB32" s="123" t="s">
        <v>113</v>
      </c>
      <c r="AC32" s="68"/>
      <c r="AD32" s="66"/>
      <c r="AE32" s="193" t="s">
        <v>980</v>
      </c>
      <c r="AF32" s="34" t="s">
        <v>80</v>
      </c>
      <c r="AG32" s="56" t="s">
        <v>911</v>
      </c>
      <c r="AH32" s="41"/>
      <c r="AI32" s="41"/>
      <c r="AJ32" s="41"/>
      <c r="AK32" s="58">
        <v>41368.0</v>
      </c>
      <c r="AL32" s="56" t="s">
        <v>982</v>
      </c>
    </row>
    <row r="33" ht="22.5" customHeight="1">
      <c r="A33" s="27" t="s">
        <v>986</v>
      </c>
      <c r="B33" s="63" t="s">
        <v>987</v>
      </c>
      <c r="C33" s="149" t="s">
        <v>988</v>
      </c>
      <c r="D33" s="41" t="s">
        <v>75</v>
      </c>
      <c r="E33" s="60" t="s">
        <v>990</v>
      </c>
      <c r="F33" s="34" t="s">
        <v>93</v>
      </c>
      <c r="G33" s="34" t="s">
        <v>168</v>
      </c>
      <c r="H33" s="48">
        <v>41466.0</v>
      </c>
      <c r="I33" s="48">
        <v>41437.0</v>
      </c>
      <c r="J33" s="48">
        <v>41466.0</v>
      </c>
      <c r="K33" s="32" t="s">
        <v>70</v>
      </c>
      <c r="L33" s="41" t="s">
        <v>115</v>
      </c>
      <c r="M33" s="63" t="s">
        <v>218</v>
      </c>
      <c r="N33" s="38" t="s">
        <v>89</v>
      </c>
      <c r="O33" s="32" t="s">
        <v>994</v>
      </c>
      <c r="P33" s="32" t="s">
        <v>995</v>
      </c>
      <c r="Q33" s="32" t="s">
        <v>996</v>
      </c>
      <c r="R33" s="34"/>
      <c r="S33" s="32" t="s">
        <v>116</v>
      </c>
      <c r="T33" s="203" t="s">
        <v>997</v>
      </c>
      <c r="U33" s="71" t="s">
        <v>1000</v>
      </c>
      <c r="V33" s="34" t="s">
        <v>80</v>
      </c>
      <c r="W33" s="60" t="s">
        <v>1001</v>
      </c>
      <c r="X33" s="60" t="s">
        <v>1002</v>
      </c>
      <c r="Y33" s="109" t="s">
        <v>1003</v>
      </c>
      <c r="Z33" s="32" t="s">
        <v>112</v>
      </c>
      <c r="AA33" s="32"/>
      <c r="AB33" s="32" t="s">
        <v>113</v>
      </c>
      <c r="AC33" s="60"/>
      <c r="AD33" s="66"/>
      <c r="AE33" s="193"/>
      <c r="AF33" s="34" t="s">
        <v>80</v>
      </c>
      <c r="AG33" s="56" t="s">
        <v>1005</v>
      </c>
      <c r="AH33" s="41"/>
      <c r="AI33" s="41"/>
      <c r="AJ33" s="41"/>
      <c r="AK33" s="83">
        <v>41736.0</v>
      </c>
      <c r="AL33" s="56" t="s">
        <v>1006</v>
      </c>
    </row>
    <row r="34" ht="22.5" customHeight="1">
      <c r="A34" s="27" t="s">
        <v>1007</v>
      </c>
      <c r="B34" s="37" t="s">
        <v>1008</v>
      </c>
      <c r="C34" s="32" t="s">
        <v>1009</v>
      </c>
      <c r="D34" s="34" t="s">
        <v>1010</v>
      </c>
      <c r="E34" s="38" t="s">
        <v>1011</v>
      </c>
      <c r="F34" s="41" t="s">
        <v>140</v>
      </c>
      <c r="G34" s="34" t="s">
        <v>85</v>
      </c>
      <c r="H34" s="48">
        <v>41691.0</v>
      </c>
      <c r="I34" s="48">
        <v>41689.0</v>
      </c>
      <c r="J34" s="48">
        <v>41691.0</v>
      </c>
      <c r="K34" s="32" t="s">
        <v>86</v>
      </c>
      <c r="L34" s="34" t="s">
        <v>115</v>
      </c>
      <c r="M34" s="42" t="s">
        <v>383</v>
      </c>
      <c r="N34" s="32" t="s">
        <v>89</v>
      </c>
      <c r="O34" s="38" t="s">
        <v>1012</v>
      </c>
      <c r="P34" s="38"/>
      <c r="Q34" s="38" t="s">
        <v>1013</v>
      </c>
      <c r="R34" s="48"/>
      <c r="S34" s="38" t="s">
        <v>1012</v>
      </c>
      <c r="T34" s="45" t="s">
        <v>1014</v>
      </c>
      <c r="U34" s="45" t="s">
        <v>1015</v>
      </c>
      <c r="V34" s="34" t="s">
        <v>80</v>
      </c>
      <c r="W34" s="60" t="s">
        <v>1016</v>
      </c>
      <c r="X34" s="32" t="s">
        <v>1017</v>
      </c>
      <c r="Y34" s="109" t="s">
        <v>1018</v>
      </c>
      <c r="Z34" s="32" t="s">
        <v>112</v>
      </c>
      <c r="AA34" s="38"/>
      <c r="AB34" s="32" t="s">
        <v>113</v>
      </c>
      <c r="AC34" s="68" t="s">
        <v>1019</v>
      </c>
      <c r="AD34" s="66">
        <v>41691.0</v>
      </c>
      <c r="AE34" s="147"/>
      <c r="AF34" s="34" t="s">
        <v>74</v>
      </c>
      <c r="AG34" s="56" t="s">
        <v>1020</v>
      </c>
      <c r="AH34" s="41"/>
      <c r="AI34" s="41"/>
      <c r="AJ34" s="41"/>
      <c r="AK34" s="58">
        <v>41261.0</v>
      </c>
      <c r="AL34" s="56" t="s">
        <v>1021</v>
      </c>
    </row>
    <row r="35" ht="22.5" customHeight="1">
      <c r="A35" s="27" t="s">
        <v>1022</v>
      </c>
      <c r="B35" s="37" t="s">
        <v>69</v>
      </c>
      <c r="C35" s="32" t="s">
        <v>90</v>
      </c>
      <c r="D35" s="39" t="s">
        <v>91</v>
      </c>
      <c r="E35" s="38" t="s">
        <v>92</v>
      </c>
      <c r="F35" s="41" t="s">
        <v>93</v>
      </c>
      <c r="G35" s="34" t="s">
        <v>168</v>
      </c>
      <c r="H35" s="36">
        <v>41704.0</v>
      </c>
      <c r="I35" s="36"/>
      <c r="J35" s="36">
        <v>41704.0</v>
      </c>
      <c r="K35" s="32" t="s">
        <v>86</v>
      </c>
      <c r="L35" s="34" t="s">
        <v>115</v>
      </c>
      <c r="M35" s="38" t="s">
        <v>88</v>
      </c>
      <c r="N35" s="32" t="s">
        <v>89</v>
      </c>
      <c r="O35" s="38" t="s">
        <v>1023</v>
      </c>
      <c r="P35" s="32" t="s">
        <v>1024</v>
      </c>
      <c r="Q35" s="38" t="s">
        <v>1025</v>
      </c>
      <c r="R35" s="48">
        <v>42327.0</v>
      </c>
      <c r="S35" s="32" t="s">
        <v>116</v>
      </c>
      <c r="T35" s="45" t="s">
        <v>118</v>
      </c>
      <c r="U35" s="45" t="s">
        <v>1026</v>
      </c>
      <c r="V35" s="34" t="s">
        <v>80</v>
      </c>
      <c r="W35" s="60" t="s">
        <v>122</v>
      </c>
      <c r="X35" s="60" t="s">
        <v>130</v>
      </c>
      <c r="Y35" s="45" t="s">
        <v>131</v>
      </c>
      <c r="Z35" s="32" t="s">
        <v>112</v>
      </c>
      <c r="AA35" s="38"/>
      <c r="AB35" s="60" t="s">
        <v>113</v>
      </c>
      <c r="AC35" s="60"/>
      <c r="AD35" s="74"/>
      <c r="AE35" s="30" t="s">
        <v>1027</v>
      </c>
      <c r="AF35" s="34" t="s">
        <v>74</v>
      </c>
      <c r="AG35" s="56" t="s">
        <v>159</v>
      </c>
      <c r="AH35" s="41"/>
      <c r="AI35" s="41"/>
      <c r="AJ35" s="41"/>
      <c r="AK35" s="58">
        <v>41100.0</v>
      </c>
      <c r="AL35" s="56" t="s">
        <v>1028</v>
      </c>
    </row>
    <row r="36" ht="22.5" customHeight="1">
      <c r="A36" s="27" t="s">
        <v>1029</v>
      </c>
      <c r="B36" s="37" t="s">
        <v>69</v>
      </c>
      <c r="C36" s="32" t="s">
        <v>90</v>
      </c>
      <c r="D36" s="39" t="s">
        <v>91</v>
      </c>
      <c r="E36" s="38" t="s">
        <v>92</v>
      </c>
      <c r="F36" s="41" t="s">
        <v>93</v>
      </c>
      <c r="G36" s="34" t="s">
        <v>168</v>
      </c>
      <c r="H36" s="36">
        <v>41697.0</v>
      </c>
      <c r="I36" s="36">
        <v>41697.0</v>
      </c>
      <c r="J36" s="36"/>
      <c r="K36" s="32" t="s">
        <v>86</v>
      </c>
      <c r="L36" s="34" t="s">
        <v>115</v>
      </c>
      <c r="M36" s="38" t="s">
        <v>88</v>
      </c>
      <c r="N36" s="32" t="s">
        <v>89</v>
      </c>
      <c r="O36" s="38" t="s">
        <v>402</v>
      </c>
      <c r="P36" s="32" t="s">
        <v>1030</v>
      </c>
      <c r="Q36" s="38" t="s">
        <v>1031</v>
      </c>
      <c r="R36" s="48">
        <v>42793.0</v>
      </c>
      <c r="S36" s="32" t="s">
        <v>116</v>
      </c>
      <c r="T36" s="45" t="s">
        <v>118</v>
      </c>
      <c r="U36" s="45" t="s">
        <v>1032</v>
      </c>
      <c r="V36" s="34" t="s">
        <v>80</v>
      </c>
      <c r="W36" s="60" t="s">
        <v>122</v>
      </c>
      <c r="X36" s="60" t="s">
        <v>130</v>
      </c>
      <c r="Y36" s="45" t="s">
        <v>131</v>
      </c>
      <c r="Z36" s="32" t="s">
        <v>112</v>
      </c>
      <c r="AA36" s="38"/>
      <c r="AB36" s="60" t="s">
        <v>113</v>
      </c>
      <c r="AC36" s="60"/>
      <c r="AD36" s="74"/>
      <c r="AE36" s="53"/>
      <c r="AF36" s="34" t="s">
        <v>74</v>
      </c>
      <c r="AG36" s="56" t="s">
        <v>159</v>
      </c>
      <c r="AH36" s="41"/>
      <c r="AI36" s="41"/>
      <c r="AJ36" s="41"/>
      <c r="AK36" s="58">
        <v>41100.0</v>
      </c>
      <c r="AL36" s="56" t="s">
        <v>1033</v>
      </c>
    </row>
    <row r="37" ht="22.5" customHeight="1">
      <c r="A37" s="27" t="s">
        <v>1034</v>
      </c>
      <c r="B37" s="63" t="s">
        <v>190</v>
      </c>
      <c r="C37" s="32" t="s">
        <v>191</v>
      </c>
      <c r="D37" s="34" t="s">
        <v>752</v>
      </c>
      <c r="E37" s="38" t="s">
        <v>193</v>
      </c>
      <c r="F37" s="54" t="s">
        <v>93</v>
      </c>
      <c r="G37" s="34" t="s">
        <v>168</v>
      </c>
      <c r="H37" s="48">
        <v>41740.0</v>
      </c>
      <c r="I37" s="36">
        <v>41694.0</v>
      </c>
      <c r="J37" s="48">
        <v>41740.0</v>
      </c>
      <c r="K37" s="32" t="s">
        <v>70</v>
      </c>
      <c r="L37" s="34" t="s">
        <v>115</v>
      </c>
      <c r="M37" s="63" t="s">
        <v>88</v>
      </c>
      <c r="N37" s="32" t="s">
        <v>89</v>
      </c>
      <c r="O37" s="38" t="s">
        <v>196</v>
      </c>
      <c r="P37" s="32" t="s">
        <v>1035</v>
      </c>
      <c r="Q37" s="38" t="s">
        <v>1036</v>
      </c>
      <c r="R37" s="48"/>
      <c r="S37" s="57" t="s">
        <v>116</v>
      </c>
      <c r="T37" s="56" t="s">
        <v>198</v>
      </c>
      <c r="U37" s="45" t="s">
        <v>1037</v>
      </c>
      <c r="V37" s="34" t="s">
        <v>80</v>
      </c>
      <c r="W37" s="32" t="s">
        <v>201</v>
      </c>
      <c r="X37" s="32" t="s">
        <v>202</v>
      </c>
      <c r="Y37" s="45" t="s">
        <v>203</v>
      </c>
      <c r="Z37" s="32" t="s">
        <v>112</v>
      </c>
      <c r="AA37" s="32"/>
      <c r="AB37" s="32" t="s">
        <v>113</v>
      </c>
      <c r="AC37" s="60"/>
      <c r="AD37" s="66"/>
      <c r="AE37" s="53"/>
      <c r="AF37" s="34" t="s">
        <v>80</v>
      </c>
      <c r="AG37" s="56" t="s">
        <v>206</v>
      </c>
      <c r="AH37" s="41"/>
      <c r="AI37" s="41"/>
      <c r="AJ37" s="41"/>
      <c r="AK37" s="58">
        <v>41215.0</v>
      </c>
      <c r="AL37" s="56" t="s">
        <v>208</v>
      </c>
    </row>
    <row r="38" ht="22.5" customHeight="1">
      <c r="A38" s="27" t="s">
        <v>1038</v>
      </c>
      <c r="B38" s="63" t="s">
        <v>190</v>
      </c>
      <c r="C38" s="32" t="s">
        <v>191</v>
      </c>
      <c r="D38" s="34" t="s">
        <v>752</v>
      </c>
      <c r="E38" s="38" t="s">
        <v>193</v>
      </c>
      <c r="F38" s="54" t="s">
        <v>93</v>
      </c>
      <c r="G38" s="34" t="s">
        <v>168</v>
      </c>
      <c r="H38" s="48">
        <v>41820.0</v>
      </c>
      <c r="I38" s="48">
        <v>41820.0</v>
      </c>
      <c r="J38" s="36"/>
      <c r="K38" s="32" t="s">
        <v>86</v>
      </c>
      <c r="L38" s="34" t="s">
        <v>115</v>
      </c>
      <c r="M38" s="63" t="s">
        <v>88</v>
      </c>
      <c r="N38" s="32" t="s">
        <v>89</v>
      </c>
      <c r="O38" s="38" t="s">
        <v>969</v>
      </c>
      <c r="P38" s="32" t="s">
        <v>1039</v>
      </c>
      <c r="Q38" s="38" t="s">
        <v>1040</v>
      </c>
      <c r="R38" s="48">
        <v>42097.0</v>
      </c>
      <c r="S38" s="57" t="s">
        <v>116</v>
      </c>
      <c r="T38" s="56" t="s">
        <v>198</v>
      </c>
      <c r="U38" s="45" t="s">
        <v>1041</v>
      </c>
      <c r="V38" s="34" t="s">
        <v>80</v>
      </c>
      <c r="W38" s="32" t="s">
        <v>201</v>
      </c>
      <c r="X38" s="32" t="s">
        <v>202</v>
      </c>
      <c r="Y38" s="45" t="s">
        <v>203</v>
      </c>
      <c r="Z38" s="32" t="s">
        <v>112</v>
      </c>
      <c r="AA38" s="38"/>
      <c r="AB38" s="32" t="s">
        <v>113</v>
      </c>
      <c r="AC38" s="60"/>
      <c r="AD38" s="66"/>
      <c r="AE38" s="30" t="s">
        <v>1042</v>
      </c>
      <c r="AF38" s="34" t="s">
        <v>74</v>
      </c>
      <c r="AG38" s="56" t="s">
        <v>206</v>
      </c>
      <c r="AH38" s="41"/>
      <c r="AI38" s="41"/>
      <c r="AJ38" s="41"/>
      <c r="AK38" s="58">
        <v>41215.0</v>
      </c>
      <c r="AL38" s="56" t="s">
        <v>1043</v>
      </c>
    </row>
    <row r="39" ht="22.5" customHeight="1">
      <c r="A39" s="27" t="s">
        <v>1044</v>
      </c>
      <c r="B39" s="63" t="s">
        <v>190</v>
      </c>
      <c r="C39" s="32" t="s">
        <v>191</v>
      </c>
      <c r="D39" s="34" t="s">
        <v>752</v>
      </c>
      <c r="E39" s="38" t="s">
        <v>193</v>
      </c>
      <c r="F39" s="54" t="s">
        <v>93</v>
      </c>
      <c r="G39" s="34" t="s">
        <v>168</v>
      </c>
      <c r="H39" s="36">
        <v>41830.0</v>
      </c>
      <c r="I39" s="36">
        <v>41830.0</v>
      </c>
      <c r="J39" s="36"/>
      <c r="K39" s="32" t="s">
        <v>86</v>
      </c>
      <c r="L39" s="34" t="s">
        <v>115</v>
      </c>
      <c r="M39" s="63" t="s">
        <v>88</v>
      </c>
      <c r="N39" s="32" t="s">
        <v>89</v>
      </c>
      <c r="O39" s="38" t="s">
        <v>1045</v>
      </c>
      <c r="P39" s="38"/>
      <c r="Q39" s="38" t="s">
        <v>1046</v>
      </c>
      <c r="R39" s="48">
        <v>42926.0</v>
      </c>
      <c r="S39" s="57" t="s">
        <v>116</v>
      </c>
      <c r="T39" s="56" t="s">
        <v>198</v>
      </c>
      <c r="U39" s="109" t="s">
        <v>1047</v>
      </c>
      <c r="V39" s="34" t="s">
        <v>80</v>
      </c>
      <c r="W39" s="32" t="s">
        <v>201</v>
      </c>
      <c r="X39" s="32" t="s">
        <v>202</v>
      </c>
      <c r="Y39" s="45" t="s">
        <v>203</v>
      </c>
      <c r="Z39" s="32" t="s">
        <v>112</v>
      </c>
      <c r="AA39" s="38"/>
      <c r="AB39" s="32" t="s">
        <v>113</v>
      </c>
      <c r="AC39" s="60"/>
      <c r="AD39" s="74"/>
      <c r="AE39" s="53"/>
      <c r="AF39" s="34" t="s">
        <v>80</v>
      </c>
      <c r="AG39" s="56" t="s">
        <v>206</v>
      </c>
      <c r="AH39" s="41"/>
      <c r="AI39" s="41"/>
      <c r="AJ39" s="41"/>
      <c r="AK39" s="58">
        <v>41215.0</v>
      </c>
      <c r="AL39" s="56" t="s">
        <v>1048</v>
      </c>
    </row>
    <row r="40" ht="22.5" customHeight="1">
      <c r="A40" s="27" t="s">
        <v>1049</v>
      </c>
      <c r="B40" s="63" t="s">
        <v>190</v>
      </c>
      <c r="C40" s="32" t="s">
        <v>211</v>
      </c>
      <c r="D40" s="39" t="s">
        <v>91</v>
      </c>
      <c r="E40" s="38" t="s">
        <v>214</v>
      </c>
      <c r="F40" s="41" t="s">
        <v>140</v>
      </c>
      <c r="G40" s="34" t="s">
        <v>168</v>
      </c>
      <c r="H40" s="36">
        <v>41674.0</v>
      </c>
      <c r="I40" s="36">
        <v>41674.0</v>
      </c>
      <c r="J40" s="36">
        <v>41674.0</v>
      </c>
      <c r="K40" s="32" t="s">
        <v>86</v>
      </c>
      <c r="L40" s="34" t="s">
        <v>115</v>
      </c>
      <c r="M40" s="63" t="s">
        <v>218</v>
      </c>
      <c r="N40" s="32" t="s">
        <v>89</v>
      </c>
      <c r="O40" s="38" t="s">
        <v>142</v>
      </c>
      <c r="P40" s="38" t="s">
        <v>1050</v>
      </c>
      <c r="Q40" s="38" t="s">
        <v>1051</v>
      </c>
      <c r="R40" s="36">
        <v>42502.0</v>
      </c>
      <c r="S40" s="32" t="s">
        <v>196</v>
      </c>
      <c r="T40" s="56" t="s">
        <v>248</v>
      </c>
      <c r="U40" s="45" t="s">
        <v>1052</v>
      </c>
      <c r="V40" s="34" t="s">
        <v>80</v>
      </c>
      <c r="W40" s="32" t="s">
        <v>201</v>
      </c>
      <c r="X40" s="32" t="s">
        <v>202</v>
      </c>
      <c r="Y40" s="45" t="s">
        <v>203</v>
      </c>
      <c r="Z40" s="32" t="s">
        <v>112</v>
      </c>
      <c r="AA40" s="32"/>
      <c r="AB40" s="32" t="s">
        <v>113</v>
      </c>
      <c r="AC40" s="60"/>
      <c r="AD40" s="74"/>
      <c r="AE40" s="30" t="s">
        <v>1053</v>
      </c>
      <c r="AF40" s="34" t="s">
        <v>74</v>
      </c>
      <c r="AG40" s="56" t="s">
        <v>206</v>
      </c>
      <c r="AH40" s="41"/>
      <c r="AI40" s="41"/>
      <c r="AJ40" s="41"/>
      <c r="AK40" s="58">
        <v>41224.0</v>
      </c>
      <c r="AL40" s="56" t="s">
        <v>262</v>
      </c>
    </row>
    <row r="41" ht="22.5" customHeight="1">
      <c r="A41" s="27" t="s">
        <v>1054</v>
      </c>
      <c r="B41" s="63" t="s">
        <v>190</v>
      </c>
      <c r="C41" s="32" t="s">
        <v>191</v>
      </c>
      <c r="D41" s="34" t="s">
        <v>752</v>
      </c>
      <c r="E41" s="32" t="s">
        <v>193</v>
      </c>
      <c r="F41" s="54" t="s">
        <v>93</v>
      </c>
      <c r="G41" s="34" t="s">
        <v>168</v>
      </c>
      <c r="H41" s="48">
        <v>41792.0</v>
      </c>
      <c r="I41" s="36">
        <v>41789.0</v>
      </c>
      <c r="J41" s="48">
        <v>41792.0</v>
      </c>
      <c r="K41" s="32" t="s">
        <v>86</v>
      </c>
      <c r="L41" s="34" t="s">
        <v>115</v>
      </c>
      <c r="M41" s="63" t="s">
        <v>88</v>
      </c>
      <c r="N41" s="32" t="s">
        <v>89</v>
      </c>
      <c r="O41" s="38" t="s">
        <v>969</v>
      </c>
      <c r="P41" s="32" t="s">
        <v>1055</v>
      </c>
      <c r="Q41" s="38" t="s">
        <v>1056</v>
      </c>
      <c r="R41" s="48">
        <v>42888.0</v>
      </c>
      <c r="S41" s="57" t="s">
        <v>116</v>
      </c>
      <c r="T41" s="56" t="s">
        <v>198</v>
      </c>
      <c r="U41" s="45" t="s">
        <v>1041</v>
      </c>
      <c r="V41" s="34" t="s">
        <v>80</v>
      </c>
      <c r="W41" s="32" t="s">
        <v>201</v>
      </c>
      <c r="X41" s="32" t="s">
        <v>202</v>
      </c>
      <c r="Y41" s="45" t="s">
        <v>203</v>
      </c>
      <c r="Z41" s="32" t="s">
        <v>112</v>
      </c>
      <c r="AA41" s="38"/>
      <c r="AB41" s="32" t="s">
        <v>113</v>
      </c>
      <c r="AC41" s="60"/>
      <c r="AD41" s="66"/>
      <c r="AE41" s="216"/>
      <c r="AF41" s="34" t="s">
        <v>74</v>
      </c>
      <c r="AG41" s="56" t="s">
        <v>206</v>
      </c>
      <c r="AH41" s="41"/>
      <c r="AI41" s="41"/>
      <c r="AJ41" s="41"/>
      <c r="AK41" s="58">
        <v>41224.0</v>
      </c>
      <c r="AL41" s="56" t="s">
        <v>1043</v>
      </c>
    </row>
    <row r="42" ht="22.5" customHeight="1">
      <c r="A42" s="27" t="s">
        <v>1077</v>
      </c>
      <c r="B42" s="63" t="s">
        <v>190</v>
      </c>
      <c r="C42" s="32" t="s">
        <v>211</v>
      </c>
      <c r="D42" s="39" t="s">
        <v>91</v>
      </c>
      <c r="E42" s="38" t="s">
        <v>214</v>
      </c>
      <c r="F42" s="41" t="s">
        <v>140</v>
      </c>
      <c r="G42" s="34" t="s">
        <v>168</v>
      </c>
      <c r="H42" s="36">
        <v>41708.0</v>
      </c>
      <c r="I42" s="36">
        <v>41708.0</v>
      </c>
      <c r="J42" s="36">
        <v>41708.0</v>
      </c>
      <c r="K42" s="32" t="s">
        <v>86</v>
      </c>
      <c r="L42" s="34" t="s">
        <v>115</v>
      </c>
      <c r="M42" s="63" t="s">
        <v>218</v>
      </c>
      <c r="N42" s="32" t="s">
        <v>89</v>
      </c>
      <c r="O42" s="38" t="s">
        <v>1023</v>
      </c>
      <c r="P42" s="172" t="s">
        <v>1085</v>
      </c>
      <c r="Q42" s="38" t="s">
        <v>1086</v>
      </c>
      <c r="R42" s="48">
        <v>42804.0</v>
      </c>
      <c r="S42" s="32" t="s">
        <v>196</v>
      </c>
      <c r="T42" s="56" t="s">
        <v>248</v>
      </c>
      <c r="U42" s="45" t="s">
        <v>1088</v>
      </c>
      <c r="V42" s="34" t="s">
        <v>80</v>
      </c>
      <c r="W42" s="32" t="s">
        <v>201</v>
      </c>
      <c r="X42" s="32" t="s">
        <v>202</v>
      </c>
      <c r="Y42" s="45" t="s">
        <v>203</v>
      </c>
      <c r="Z42" s="32" t="s">
        <v>112</v>
      </c>
      <c r="AA42" s="38"/>
      <c r="AB42" s="32" t="s">
        <v>113</v>
      </c>
      <c r="AC42" s="60"/>
      <c r="AD42" s="74"/>
      <c r="AE42" s="193" t="s">
        <v>1096</v>
      </c>
      <c r="AF42" s="34" t="s">
        <v>74</v>
      </c>
      <c r="AG42" s="56" t="s">
        <v>206</v>
      </c>
      <c r="AH42" s="41"/>
      <c r="AI42" s="41"/>
      <c r="AJ42" s="41"/>
      <c r="AK42" s="58">
        <v>41224.0</v>
      </c>
      <c r="AL42" s="56" t="s">
        <v>1028</v>
      </c>
    </row>
    <row r="43" ht="22.5" customHeight="1">
      <c r="A43" s="27" t="s">
        <v>1102</v>
      </c>
      <c r="B43" s="63" t="s">
        <v>190</v>
      </c>
      <c r="C43" s="32" t="s">
        <v>211</v>
      </c>
      <c r="D43" s="39" t="s">
        <v>91</v>
      </c>
      <c r="E43" s="38" t="s">
        <v>214</v>
      </c>
      <c r="F43" s="41" t="s">
        <v>140</v>
      </c>
      <c r="G43" s="34" t="s">
        <v>168</v>
      </c>
      <c r="H43" s="36">
        <v>41739.0</v>
      </c>
      <c r="I43" s="36">
        <v>41739.0</v>
      </c>
      <c r="J43" s="36"/>
      <c r="K43" s="32" t="s">
        <v>86</v>
      </c>
      <c r="L43" s="34" t="s">
        <v>115</v>
      </c>
      <c r="M43" s="63" t="s">
        <v>218</v>
      </c>
      <c r="N43" s="32" t="s">
        <v>89</v>
      </c>
      <c r="O43" s="38" t="s">
        <v>1045</v>
      </c>
      <c r="P43" s="32"/>
      <c r="Q43" s="32" t="s">
        <v>1046</v>
      </c>
      <c r="R43" s="48">
        <v>42835.0</v>
      </c>
      <c r="S43" s="32" t="s">
        <v>196</v>
      </c>
      <c r="T43" s="56" t="s">
        <v>248</v>
      </c>
      <c r="U43" s="109" t="s">
        <v>1107</v>
      </c>
      <c r="V43" s="34" t="s">
        <v>80</v>
      </c>
      <c r="W43" s="32" t="s">
        <v>201</v>
      </c>
      <c r="X43" s="32" t="s">
        <v>202</v>
      </c>
      <c r="Y43" s="45" t="s">
        <v>203</v>
      </c>
      <c r="Z43" s="32" t="s">
        <v>112</v>
      </c>
      <c r="AA43" s="38"/>
      <c r="AB43" s="32" t="s">
        <v>113</v>
      </c>
      <c r="AC43" s="60"/>
      <c r="AD43" s="74"/>
      <c r="AE43" s="137"/>
      <c r="AF43" s="34" t="s">
        <v>80</v>
      </c>
      <c r="AG43" s="56" t="s">
        <v>206</v>
      </c>
      <c r="AH43" s="41"/>
      <c r="AI43" s="41"/>
      <c r="AJ43" s="41"/>
      <c r="AK43" s="58">
        <v>41224.0</v>
      </c>
      <c r="AL43" s="56" t="s">
        <v>1048</v>
      </c>
    </row>
    <row r="44" ht="22.5" customHeight="1">
      <c r="A44" s="27" t="s">
        <v>1113</v>
      </c>
      <c r="B44" s="60" t="s">
        <v>490</v>
      </c>
      <c r="C44" s="123" t="s">
        <v>494</v>
      </c>
      <c r="D44" s="39" t="s">
        <v>91</v>
      </c>
      <c r="E44" s="38" t="s">
        <v>496</v>
      </c>
      <c r="F44" s="41" t="s">
        <v>93</v>
      </c>
      <c r="G44" s="39" t="s">
        <v>168</v>
      </c>
      <c r="H44" s="36">
        <v>41577.0</v>
      </c>
      <c r="I44" s="150"/>
      <c r="J44" s="36">
        <v>41577.0</v>
      </c>
      <c r="K44" s="32" t="s">
        <v>86</v>
      </c>
      <c r="L44" s="39" t="s">
        <v>115</v>
      </c>
      <c r="M44" s="63" t="s">
        <v>218</v>
      </c>
      <c r="N44" s="121" t="s">
        <v>89</v>
      </c>
      <c r="O44" s="225" t="s">
        <v>175</v>
      </c>
      <c r="P44" s="150"/>
      <c r="Q44" s="225" t="s">
        <v>176</v>
      </c>
      <c r="R44" s="48">
        <v>42673.0</v>
      </c>
      <c r="S44" s="121" t="s">
        <v>116</v>
      </c>
      <c r="T44" s="226" t="s">
        <v>505</v>
      </c>
      <c r="U44" s="45" t="s">
        <v>1125</v>
      </c>
      <c r="V44" s="39" t="s">
        <v>80</v>
      </c>
      <c r="W44" s="123" t="s">
        <v>508</v>
      </c>
      <c r="X44" s="32" t="s">
        <v>511</v>
      </c>
      <c r="Y44" s="226" t="s">
        <v>512</v>
      </c>
      <c r="Z44" s="32" t="s">
        <v>112</v>
      </c>
      <c r="AA44" s="150"/>
      <c r="AB44" s="123" t="s">
        <v>481</v>
      </c>
      <c r="AC44" s="68"/>
      <c r="AD44" s="74"/>
      <c r="AE44" s="30" t="s">
        <v>1129</v>
      </c>
      <c r="AF44" s="34" t="s">
        <v>80</v>
      </c>
      <c r="AG44" s="56" t="s">
        <v>515</v>
      </c>
      <c r="AH44" s="41"/>
      <c r="AI44" s="41"/>
      <c r="AJ44" s="41"/>
      <c r="AK44" s="132">
        <v>41074.0</v>
      </c>
      <c r="AL44" s="56" t="s">
        <v>188</v>
      </c>
    </row>
    <row r="45" ht="22.5" customHeight="1">
      <c r="A45" s="27" t="s">
        <v>1131</v>
      </c>
      <c r="B45" s="60" t="s">
        <v>490</v>
      </c>
      <c r="C45" s="123" t="s">
        <v>494</v>
      </c>
      <c r="D45" s="39" t="s">
        <v>91</v>
      </c>
      <c r="E45" s="38" t="s">
        <v>496</v>
      </c>
      <c r="F45" s="41" t="s">
        <v>93</v>
      </c>
      <c r="G45" s="39" t="s">
        <v>168</v>
      </c>
      <c r="H45" s="36">
        <v>41754.0</v>
      </c>
      <c r="I45" s="36">
        <v>41754.0</v>
      </c>
      <c r="J45" s="150"/>
      <c r="K45" s="121" t="s">
        <v>70</v>
      </c>
      <c r="L45" s="39" t="s">
        <v>115</v>
      </c>
      <c r="M45" s="63" t="s">
        <v>218</v>
      </c>
      <c r="N45" s="121" t="s">
        <v>89</v>
      </c>
      <c r="O45" s="225" t="s">
        <v>1133</v>
      </c>
      <c r="P45" s="227" t="s">
        <v>1134</v>
      </c>
      <c r="Q45" s="225" t="s">
        <v>1137</v>
      </c>
      <c r="R45" s="36"/>
      <c r="S45" s="121" t="s">
        <v>116</v>
      </c>
      <c r="T45" s="226" t="s">
        <v>505</v>
      </c>
      <c r="U45" s="45" t="s">
        <v>1140</v>
      </c>
      <c r="V45" s="39" t="s">
        <v>80</v>
      </c>
      <c r="W45" s="123" t="s">
        <v>508</v>
      </c>
      <c r="X45" s="32" t="s">
        <v>511</v>
      </c>
      <c r="Y45" s="226" t="s">
        <v>512</v>
      </c>
      <c r="Z45" s="32" t="s">
        <v>112</v>
      </c>
      <c r="AA45" s="150"/>
      <c r="AB45" s="123" t="s">
        <v>481</v>
      </c>
      <c r="AC45" s="68"/>
      <c r="AD45" s="74"/>
      <c r="AE45" s="137"/>
      <c r="AF45" s="34" t="s">
        <v>80</v>
      </c>
      <c r="AG45" s="56" t="s">
        <v>515</v>
      </c>
      <c r="AH45" s="41"/>
      <c r="AI45" s="41"/>
      <c r="AJ45" s="41"/>
      <c r="AK45" s="132">
        <v>41074.0</v>
      </c>
      <c r="AL45" s="109" t="s">
        <v>1145</v>
      </c>
    </row>
    <row r="46" ht="22.5" customHeight="1">
      <c r="A46" s="27" t="s">
        <v>1146</v>
      </c>
      <c r="B46" s="63" t="s">
        <v>1148</v>
      </c>
      <c r="C46" s="32" t="s">
        <v>1149</v>
      </c>
      <c r="D46" s="39" t="s">
        <v>75</v>
      </c>
      <c r="E46" s="124" t="s">
        <v>1150</v>
      </c>
      <c r="F46" s="41" t="s">
        <v>93</v>
      </c>
      <c r="G46" s="34" t="s">
        <v>85</v>
      </c>
      <c r="H46" s="36">
        <v>41628.0</v>
      </c>
      <c r="I46" s="36">
        <v>41628.0</v>
      </c>
      <c r="J46" s="48">
        <v>41628.0</v>
      </c>
      <c r="K46" s="32" t="s">
        <v>86</v>
      </c>
      <c r="L46" s="34" t="s">
        <v>115</v>
      </c>
      <c r="M46" s="63" t="s">
        <v>218</v>
      </c>
      <c r="N46" s="32" t="s">
        <v>89</v>
      </c>
      <c r="O46" s="32" t="s">
        <v>116</v>
      </c>
      <c r="P46" s="38"/>
      <c r="Q46" s="32" t="s">
        <v>117</v>
      </c>
      <c r="R46" s="48"/>
      <c r="S46" s="32" t="s">
        <v>116</v>
      </c>
      <c r="T46" s="45" t="s">
        <v>1152</v>
      </c>
      <c r="U46" s="109" t="s">
        <v>1153</v>
      </c>
      <c r="V46" s="34" t="s">
        <v>80</v>
      </c>
      <c r="W46" s="60" t="s">
        <v>1155</v>
      </c>
      <c r="X46" s="109" t="s">
        <v>1156</v>
      </c>
      <c r="Y46" s="109" t="s">
        <v>1159</v>
      </c>
      <c r="Z46" s="32" t="s">
        <v>112</v>
      </c>
      <c r="AA46" s="38"/>
      <c r="AB46" s="60" t="s">
        <v>1161</v>
      </c>
      <c r="AC46" s="68" t="s">
        <v>1162</v>
      </c>
      <c r="AD46" s="74">
        <v>41628.0</v>
      </c>
      <c r="AE46" s="53"/>
      <c r="AF46" s="34" t="s">
        <v>74</v>
      </c>
      <c r="AG46" s="63"/>
      <c r="AH46" s="34" t="s">
        <v>416</v>
      </c>
      <c r="AI46" s="41"/>
      <c r="AJ46" s="41"/>
      <c r="AK46" s="41"/>
      <c r="AL46" s="63"/>
    </row>
    <row r="47" ht="22.5" customHeight="1">
      <c r="A47" s="27" t="s">
        <v>1165</v>
      </c>
      <c r="B47" s="63" t="s">
        <v>1166</v>
      </c>
      <c r="C47" s="32" t="s">
        <v>1167</v>
      </c>
      <c r="D47" s="41" t="s">
        <v>75</v>
      </c>
      <c r="E47" s="103" t="s">
        <v>1169</v>
      </c>
      <c r="F47" s="41" t="s">
        <v>93</v>
      </c>
      <c r="G47" s="34" t="s">
        <v>85</v>
      </c>
      <c r="H47" s="48">
        <v>41760.0</v>
      </c>
      <c r="I47" s="36">
        <v>41754.0</v>
      </c>
      <c r="J47" s="48">
        <v>41760.0</v>
      </c>
      <c r="K47" s="32" t="s">
        <v>70</v>
      </c>
      <c r="L47" s="34" t="s">
        <v>115</v>
      </c>
      <c r="M47" s="63" t="s">
        <v>218</v>
      </c>
      <c r="N47" s="32" t="s">
        <v>89</v>
      </c>
      <c r="O47" s="32" t="s">
        <v>116</v>
      </c>
      <c r="P47" s="38"/>
      <c r="Q47" s="32" t="s">
        <v>117</v>
      </c>
      <c r="R47" s="48"/>
      <c r="S47" s="32" t="s">
        <v>116</v>
      </c>
      <c r="T47" s="45" t="s">
        <v>1174</v>
      </c>
      <c r="U47" s="109" t="s">
        <v>1176</v>
      </c>
      <c r="V47" s="34" t="s">
        <v>80</v>
      </c>
      <c r="W47" s="60" t="s">
        <v>1180</v>
      </c>
      <c r="X47" s="60" t="s">
        <v>1181</v>
      </c>
      <c r="Y47" s="109" t="s">
        <v>1182</v>
      </c>
      <c r="Z47" s="32" t="s">
        <v>112</v>
      </c>
      <c r="AA47" s="38"/>
      <c r="AB47" s="60" t="s">
        <v>1183</v>
      </c>
      <c r="AC47" s="60" t="s">
        <v>1185</v>
      </c>
      <c r="AD47" s="66">
        <v>41760.0</v>
      </c>
      <c r="AE47" s="53"/>
      <c r="AF47" s="34" t="s">
        <v>80</v>
      </c>
      <c r="AG47" s="56" t="s">
        <v>1187</v>
      </c>
      <c r="AH47" s="63" t="s">
        <v>416</v>
      </c>
      <c r="AI47" s="41"/>
      <c r="AJ47" s="41"/>
      <c r="AK47" s="58">
        <v>41451.0</v>
      </c>
      <c r="AL47" s="63"/>
    </row>
    <row r="48" ht="22.5" customHeight="1">
      <c r="A48" s="27" t="s">
        <v>1189</v>
      </c>
      <c r="B48" s="57" t="s">
        <v>1190</v>
      </c>
      <c r="C48" s="32" t="s">
        <v>1191</v>
      </c>
      <c r="D48" s="34" t="s">
        <v>192</v>
      </c>
      <c r="E48" s="38" t="s">
        <v>1193</v>
      </c>
      <c r="F48" s="41" t="s">
        <v>140</v>
      </c>
      <c r="G48" s="34" t="s">
        <v>85</v>
      </c>
      <c r="H48" s="36">
        <v>41859.0</v>
      </c>
      <c r="I48" s="36">
        <v>41859.0</v>
      </c>
      <c r="J48" s="48"/>
      <c r="K48" s="32" t="s">
        <v>86</v>
      </c>
      <c r="L48" s="34" t="s">
        <v>141</v>
      </c>
      <c r="M48" s="42" t="s">
        <v>313</v>
      </c>
      <c r="N48" s="32" t="s">
        <v>89</v>
      </c>
      <c r="O48" s="38" t="s">
        <v>1195</v>
      </c>
      <c r="P48" s="32" t="s">
        <v>1196</v>
      </c>
      <c r="Q48" s="38" t="s">
        <v>1197</v>
      </c>
      <c r="R48" s="36">
        <v>42954.0</v>
      </c>
      <c r="S48" s="38" t="s">
        <v>1195</v>
      </c>
      <c r="T48" s="45" t="s">
        <v>1198</v>
      </c>
      <c r="U48" s="45" t="s">
        <v>1202</v>
      </c>
      <c r="V48" s="34" t="s">
        <v>80</v>
      </c>
      <c r="W48" s="60" t="s">
        <v>1204</v>
      </c>
      <c r="X48" s="60" t="s">
        <v>1205</v>
      </c>
      <c r="Y48" s="109" t="s">
        <v>1206</v>
      </c>
      <c r="Z48" s="32" t="s">
        <v>112</v>
      </c>
      <c r="AA48" s="38"/>
      <c r="AB48" s="60" t="s">
        <v>1209</v>
      </c>
      <c r="AC48" s="60"/>
      <c r="AD48" s="136">
        <v>41859.0</v>
      </c>
      <c r="AE48" s="53"/>
      <c r="AF48" s="34" t="s">
        <v>74</v>
      </c>
      <c r="AG48" s="56" t="s">
        <v>1212</v>
      </c>
      <c r="AH48" s="41"/>
      <c r="AI48" s="41"/>
      <c r="AJ48" s="41"/>
      <c r="AK48" s="155">
        <v>41674.0</v>
      </c>
      <c r="AL48" s="56" t="s">
        <v>1215</v>
      </c>
    </row>
    <row r="49" ht="22.5" customHeight="1">
      <c r="A49" s="27" t="s">
        <v>1217</v>
      </c>
      <c r="B49" s="60" t="s">
        <v>724</v>
      </c>
      <c r="C49" s="60" t="s">
        <v>725</v>
      </c>
      <c r="D49" s="34" t="s">
        <v>752</v>
      </c>
      <c r="E49" s="38" t="s">
        <v>727</v>
      </c>
      <c r="F49" s="41" t="s">
        <v>93</v>
      </c>
      <c r="G49" s="34" t="s">
        <v>168</v>
      </c>
      <c r="H49" s="36">
        <v>41797.0</v>
      </c>
      <c r="I49" s="36">
        <v>41797.0</v>
      </c>
      <c r="J49" s="36"/>
      <c r="K49" s="32" t="s">
        <v>70</v>
      </c>
      <c r="L49" s="34" t="s">
        <v>115</v>
      </c>
      <c r="M49" s="63" t="s">
        <v>218</v>
      </c>
      <c r="N49" s="32" t="s">
        <v>89</v>
      </c>
      <c r="O49" s="38" t="s">
        <v>175</v>
      </c>
      <c r="P49" s="38"/>
      <c r="Q49" s="38" t="s">
        <v>1218</v>
      </c>
      <c r="R49" s="48"/>
      <c r="S49" s="32" t="s">
        <v>116</v>
      </c>
      <c r="T49" s="45" t="s">
        <v>732</v>
      </c>
      <c r="U49" s="45" t="s">
        <v>1220</v>
      </c>
      <c r="V49" s="34" t="s">
        <v>80</v>
      </c>
      <c r="W49" s="32" t="s">
        <v>698</v>
      </c>
      <c r="X49" s="32" t="s">
        <v>740</v>
      </c>
      <c r="Y49" s="32" t="s">
        <v>741</v>
      </c>
      <c r="Z49" s="32" t="s">
        <v>112</v>
      </c>
      <c r="AA49" s="38"/>
      <c r="AB49" s="123" t="s">
        <v>113</v>
      </c>
      <c r="AC49" s="68"/>
      <c r="AD49" s="74"/>
      <c r="AE49" s="30"/>
      <c r="AF49" s="34" t="s">
        <v>80</v>
      </c>
      <c r="AG49" s="56" t="s">
        <v>745</v>
      </c>
      <c r="AH49" s="41"/>
      <c r="AI49" s="41"/>
      <c r="AJ49" s="41"/>
      <c r="AK49" s="58">
        <v>41284.0</v>
      </c>
      <c r="AL49" s="56" t="s">
        <v>188</v>
      </c>
    </row>
    <row r="50" ht="22.5" customHeight="1">
      <c r="A50" s="27" t="s">
        <v>1227</v>
      </c>
      <c r="B50" s="63" t="s">
        <v>1228</v>
      </c>
      <c r="C50" s="32" t="s">
        <v>1229</v>
      </c>
      <c r="D50" s="34" t="s">
        <v>75</v>
      </c>
      <c r="E50" s="32" t="s">
        <v>1230</v>
      </c>
      <c r="F50" s="41" t="s">
        <v>93</v>
      </c>
      <c r="G50" s="34" t="s">
        <v>168</v>
      </c>
      <c r="H50" s="48">
        <v>41797.0</v>
      </c>
      <c r="I50" s="48">
        <v>41797.0</v>
      </c>
      <c r="J50" s="36"/>
      <c r="K50" s="32" t="s">
        <v>70</v>
      </c>
      <c r="L50" s="34" t="s">
        <v>115</v>
      </c>
      <c r="M50" s="63" t="s">
        <v>218</v>
      </c>
      <c r="N50" s="32" t="s">
        <v>89</v>
      </c>
      <c r="O50" s="38" t="s">
        <v>175</v>
      </c>
      <c r="P50" s="38"/>
      <c r="Q50" s="38" t="s">
        <v>1218</v>
      </c>
      <c r="R50" s="48"/>
      <c r="S50" s="32" t="s">
        <v>116</v>
      </c>
      <c r="T50" s="45" t="s">
        <v>732</v>
      </c>
      <c r="U50" s="45" t="s">
        <v>1235</v>
      </c>
      <c r="V50" s="34" t="s">
        <v>80</v>
      </c>
      <c r="W50" s="60" t="s">
        <v>1237</v>
      </c>
      <c r="X50" s="60" t="s">
        <v>1238</v>
      </c>
      <c r="Y50" s="109" t="s">
        <v>1239</v>
      </c>
      <c r="Z50" s="32" t="s">
        <v>112</v>
      </c>
      <c r="AA50" s="38"/>
      <c r="AB50" s="60" t="s">
        <v>575</v>
      </c>
      <c r="AC50" s="60"/>
      <c r="AD50" s="74"/>
      <c r="AE50" s="53"/>
      <c r="AF50" s="34" t="s">
        <v>80</v>
      </c>
      <c r="AG50" s="56" t="s">
        <v>1245</v>
      </c>
      <c r="AH50" s="41"/>
      <c r="AI50" s="41"/>
      <c r="AJ50" s="41"/>
      <c r="AK50" s="41"/>
      <c r="AL50" s="56" t="s">
        <v>188</v>
      </c>
    </row>
    <row r="51" ht="22.5" customHeight="1">
      <c r="A51" s="27" t="s">
        <v>1250</v>
      </c>
      <c r="B51" s="63" t="s">
        <v>1251</v>
      </c>
      <c r="C51" s="32" t="s">
        <v>1252</v>
      </c>
      <c r="D51" s="41" t="s">
        <v>91</v>
      </c>
      <c r="E51" s="38" t="s">
        <v>1253</v>
      </c>
      <c r="F51" s="41" t="s">
        <v>93</v>
      </c>
      <c r="G51" s="34" t="s">
        <v>85</v>
      </c>
      <c r="H51" s="36">
        <v>41585.0</v>
      </c>
      <c r="I51" s="36">
        <v>41585.0</v>
      </c>
      <c r="J51" s="116"/>
      <c r="K51" s="32" t="s">
        <v>70</v>
      </c>
      <c r="L51" s="34" t="s">
        <v>115</v>
      </c>
      <c r="M51" s="63" t="s">
        <v>218</v>
      </c>
      <c r="N51" s="32" t="s">
        <v>89</v>
      </c>
      <c r="O51" s="32" t="s">
        <v>116</v>
      </c>
      <c r="P51" s="38"/>
      <c r="Q51" s="32" t="s">
        <v>117</v>
      </c>
      <c r="R51" s="48"/>
      <c r="S51" s="32" t="s">
        <v>116</v>
      </c>
      <c r="T51" s="45" t="s">
        <v>1256</v>
      </c>
      <c r="U51" s="109" t="s">
        <v>1258</v>
      </c>
      <c r="V51" s="34" t="s">
        <v>80</v>
      </c>
      <c r="W51" s="60" t="s">
        <v>1261</v>
      </c>
      <c r="X51" s="32" t="s">
        <v>1262</v>
      </c>
      <c r="Y51" s="109" t="s">
        <v>1263</v>
      </c>
      <c r="Z51" s="32" t="s">
        <v>112</v>
      </c>
      <c r="AA51" s="38"/>
      <c r="AB51" s="32" t="s">
        <v>113</v>
      </c>
      <c r="AC51" s="60" t="s">
        <v>1268</v>
      </c>
      <c r="AD51" s="74">
        <v>41585.0</v>
      </c>
      <c r="AE51" s="30"/>
      <c r="AF51" s="34" t="s">
        <v>80</v>
      </c>
      <c r="AG51" s="56" t="s">
        <v>1269</v>
      </c>
      <c r="AH51" s="41"/>
      <c r="AI51" s="41"/>
      <c r="AJ51" s="41"/>
      <c r="AK51" s="58">
        <v>41250.0</v>
      </c>
      <c r="AL51" s="63"/>
    </row>
    <row r="52" ht="22.5" customHeight="1">
      <c r="A52" s="27" t="s">
        <v>1270</v>
      </c>
      <c r="B52" s="63" t="s">
        <v>1251</v>
      </c>
      <c r="C52" s="32" t="s">
        <v>1252</v>
      </c>
      <c r="D52" s="41" t="s">
        <v>91</v>
      </c>
      <c r="E52" s="38" t="s">
        <v>1253</v>
      </c>
      <c r="F52" s="41" t="s">
        <v>93</v>
      </c>
      <c r="G52" s="34" t="s">
        <v>168</v>
      </c>
      <c r="H52" s="36">
        <v>41626.0</v>
      </c>
      <c r="I52" s="36">
        <v>41626.0</v>
      </c>
      <c r="J52" s="36">
        <v>41626.0</v>
      </c>
      <c r="K52" s="32" t="s">
        <v>86</v>
      </c>
      <c r="L52" s="34" t="s">
        <v>115</v>
      </c>
      <c r="M52" s="63" t="s">
        <v>218</v>
      </c>
      <c r="N52" s="32" t="s">
        <v>89</v>
      </c>
      <c r="O52" s="38" t="s">
        <v>220</v>
      </c>
      <c r="P52" s="38"/>
      <c r="Q52" s="38" t="s">
        <v>221</v>
      </c>
      <c r="R52" s="36"/>
      <c r="S52" s="32" t="s">
        <v>116</v>
      </c>
      <c r="T52" s="45" t="s">
        <v>1256</v>
      </c>
      <c r="U52" s="45" t="s">
        <v>1271</v>
      </c>
      <c r="V52" s="34" t="s">
        <v>80</v>
      </c>
      <c r="W52" s="60" t="s">
        <v>1261</v>
      </c>
      <c r="X52" s="32" t="s">
        <v>1262</v>
      </c>
      <c r="Y52" s="109" t="s">
        <v>1263</v>
      </c>
      <c r="Z52" s="32" t="s">
        <v>112</v>
      </c>
      <c r="AA52" s="38"/>
      <c r="AB52" s="32" t="s">
        <v>113</v>
      </c>
      <c r="AC52" s="60"/>
      <c r="AD52" s="74"/>
      <c r="AE52" s="231"/>
      <c r="AF52" s="34" t="s">
        <v>80</v>
      </c>
      <c r="AG52" s="56" t="s">
        <v>1269</v>
      </c>
      <c r="AH52" s="41"/>
      <c r="AI52" s="41"/>
      <c r="AJ52" s="41"/>
      <c r="AK52" s="58">
        <v>41162.0</v>
      </c>
      <c r="AL52" s="56" t="s">
        <v>232</v>
      </c>
    </row>
    <row r="53" ht="22.5" customHeight="1">
      <c r="A53" s="27" t="s">
        <v>1272</v>
      </c>
      <c r="B53" s="63" t="s">
        <v>843</v>
      </c>
      <c r="C53" s="32" t="s">
        <v>844</v>
      </c>
      <c r="D53" s="34" t="s">
        <v>1010</v>
      </c>
      <c r="E53" s="38" t="s">
        <v>846</v>
      </c>
      <c r="F53" s="41" t="s">
        <v>140</v>
      </c>
      <c r="G53" s="34" t="s">
        <v>85</v>
      </c>
      <c r="H53" s="36">
        <v>41796.0</v>
      </c>
      <c r="I53" s="36">
        <v>41796.0</v>
      </c>
      <c r="J53" s="36"/>
      <c r="K53" s="32" t="s">
        <v>86</v>
      </c>
      <c r="L53" s="34" t="s">
        <v>115</v>
      </c>
      <c r="M53" s="42" t="s">
        <v>88</v>
      </c>
      <c r="N53" s="32" t="s">
        <v>89</v>
      </c>
      <c r="O53" s="38" t="s">
        <v>220</v>
      </c>
      <c r="P53" s="32"/>
      <c r="Q53" s="38" t="s">
        <v>1273</v>
      </c>
      <c r="R53" s="48"/>
      <c r="S53" s="32" t="s">
        <v>220</v>
      </c>
      <c r="T53" s="45" t="s">
        <v>855</v>
      </c>
      <c r="U53" s="45" t="s">
        <v>1274</v>
      </c>
      <c r="V53" s="34" t="s">
        <v>80</v>
      </c>
      <c r="W53" s="32" t="s">
        <v>561</v>
      </c>
      <c r="X53" s="32" t="s">
        <v>561</v>
      </c>
      <c r="Y53" s="45" t="s">
        <v>859</v>
      </c>
      <c r="Z53" s="32" t="s">
        <v>112</v>
      </c>
      <c r="AA53" s="38"/>
      <c r="AB53" s="60" t="s">
        <v>860</v>
      </c>
      <c r="AC53" s="60"/>
      <c r="AD53" s="66">
        <v>41796.0</v>
      </c>
      <c r="AE53" s="30" t="s">
        <v>1275</v>
      </c>
      <c r="AF53" s="34" t="s">
        <v>74</v>
      </c>
      <c r="AG53" s="56" t="s">
        <v>865</v>
      </c>
      <c r="AH53" s="41"/>
      <c r="AI53" s="41"/>
      <c r="AJ53" s="58">
        <v>41779.0</v>
      </c>
      <c r="AK53" s="58">
        <v>41612.0</v>
      </c>
      <c r="AL53" s="56" t="s">
        <v>232</v>
      </c>
    </row>
    <row r="54" ht="22.5" customHeight="1">
      <c r="A54" s="27" t="s">
        <v>1276</v>
      </c>
      <c r="B54" s="63" t="s">
        <v>843</v>
      </c>
      <c r="C54" s="32" t="s">
        <v>844</v>
      </c>
      <c r="D54" s="34" t="s">
        <v>845</v>
      </c>
      <c r="E54" s="38" t="s">
        <v>846</v>
      </c>
      <c r="F54" s="41" t="s">
        <v>140</v>
      </c>
      <c r="G54" s="34" t="s">
        <v>168</v>
      </c>
      <c r="H54" s="36">
        <v>41911.0</v>
      </c>
      <c r="I54" s="36">
        <v>41911.0</v>
      </c>
      <c r="J54" s="36"/>
      <c r="K54" s="32" t="s">
        <v>86</v>
      </c>
      <c r="L54" s="34" t="s">
        <v>115</v>
      </c>
      <c r="M54" s="42" t="s">
        <v>88</v>
      </c>
      <c r="N54" s="32" t="s">
        <v>89</v>
      </c>
      <c r="O54" s="38" t="s">
        <v>1023</v>
      </c>
      <c r="P54" s="32" t="s">
        <v>1277</v>
      </c>
      <c r="Q54" s="38" t="s">
        <v>1278</v>
      </c>
      <c r="R54" s="48">
        <v>43007.0</v>
      </c>
      <c r="S54" s="32" t="s">
        <v>220</v>
      </c>
      <c r="T54" s="45" t="s">
        <v>855</v>
      </c>
      <c r="U54" s="45" t="s">
        <v>1279</v>
      </c>
      <c r="V54" s="34" t="s">
        <v>80</v>
      </c>
      <c r="W54" s="32" t="s">
        <v>561</v>
      </c>
      <c r="X54" s="32" t="s">
        <v>561</v>
      </c>
      <c r="Y54" s="45" t="s">
        <v>859</v>
      </c>
      <c r="Z54" s="32" t="s">
        <v>112</v>
      </c>
      <c r="AA54" s="38"/>
      <c r="AB54" s="60" t="s">
        <v>860</v>
      </c>
      <c r="AC54" s="60"/>
      <c r="AD54" s="74"/>
      <c r="AE54" s="137"/>
      <c r="AF54" s="34" t="s">
        <v>74</v>
      </c>
      <c r="AG54" s="56" t="s">
        <v>865</v>
      </c>
      <c r="AH54" s="41"/>
      <c r="AI54" s="41"/>
      <c r="AJ54" s="58">
        <v>41779.0</v>
      </c>
      <c r="AK54" s="58">
        <v>41612.0</v>
      </c>
      <c r="AL54" s="56" t="s">
        <v>1028</v>
      </c>
    </row>
    <row r="55" ht="22.5" customHeight="1">
      <c r="A55" s="27" t="s">
        <v>1280</v>
      </c>
      <c r="B55" s="63" t="s">
        <v>888</v>
      </c>
      <c r="C55" s="32" t="s">
        <v>1281</v>
      </c>
      <c r="D55" s="41" t="s">
        <v>75</v>
      </c>
      <c r="E55" s="38" t="s">
        <v>1282</v>
      </c>
      <c r="F55" s="41" t="s">
        <v>140</v>
      </c>
      <c r="G55" s="34" t="s">
        <v>168</v>
      </c>
      <c r="H55" s="36">
        <v>41736.0</v>
      </c>
      <c r="I55" s="36">
        <v>41736.0</v>
      </c>
      <c r="J55" s="36"/>
      <c r="K55" s="32" t="s">
        <v>86</v>
      </c>
      <c r="L55" s="34" t="s">
        <v>115</v>
      </c>
      <c r="M55" s="63" t="s">
        <v>88</v>
      </c>
      <c r="N55" s="32" t="s">
        <v>89</v>
      </c>
      <c r="O55" s="38" t="s">
        <v>954</v>
      </c>
      <c r="P55" s="47" t="s">
        <v>1283</v>
      </c>
      <c r="Q55" s="38" t="s">
        <v>1284</v>
      </c>
      <c r="R55" s="48">
        <v>42832.0</v>
      </c>
      <c r="S55" s="32" t="s">
        <v>196</v>
      </c>
      <c r="T55" s="45" t="s">
        <v>1285</v>
      </c>
      <c r="U55" s="45" t="s">
        <v>1286</v>
      </c>
      <c r="V55" s="34" t="s">
        <v>80</v>
      </c>
      <c r="W55" s="32" t="s">
        <v>561</v>
      </c>
      <c r="X55" s="60" t="s">
        <v>1287</v>
      </c>
      <c r="Y55" s="45" t="s">
        <v>1288</v>
      </c>
      <c r="Z55" s="32" t="s">
        <v>112</v>
      </c>
      <c r="AA55" s="38"/>
      <c r="AB55" s="32" t="s">
        <v>113</v>
      </c>
      <c r="AC55" s="60"/>
      <c r="AD55" s="136"/>
      <c r="AE55" s="30" t="s">
        <v>1289</v>
      </c>
      <c r="AF55" s="34" t="s">
        <v>74</v>
      </c>
      <c r="AG55" s="56" t="s">
        <v>900</v>
      </c>
      <c r="AH55" s="41"/>
      <c r="AI55" s="41"/>
      <c r="AJ55" s="41"/>
      <c r="AK55" s="155">
        <v>41770.0</v>
      </c>
      <c r="AL55" s="56" t="s">
        <v>965</v>
      </c>
    </row>
    <row r="56" ht="22.5" customHeight="1">
      <c r="A56" s="27" t="s">
        <v>1290</v>
      </c>
      <c r="B56" s="63" t="s">
        <v>888</v>
      </c>
      <c r="C56" s="32" t="s">
        <v>1281</v>
      </c>
      <c r="D56" s="41" t="s">
        <v>75</v>
      </c>
      <c r="E56" s="38" t="s">
        <v>1282</v>
      </c>
      <c r="F56" s="41" t="s">
        <v>140</v>
      </c>
      <c r="G56" s="34" t="s">
        <v>168</v>
      </c>
      <c r="H56" s="36">
        <v>41739.0</v>
      </c>
      <c r="I56" s="36">
        <v>41739.0</v>
      </c>
      <c r="J56" s="36"/>
      <c r="K56" s="32" t="s">
        <v>86</v>
      </c>
      <c r="L56" s="34" t="s">
        <v>115</v>
      </c>
      <c r="M56" s="63" t="s">
        <v>88</v>
      </c>
      <c r="N56" s="32" t="s">
        <v>89</v>
      </c>
      <c r="O56" s="38" t="s">
        <v>1045</v>
      </c>
      <c r="P56" s="38"/>
      <c r="Q56" s="32" t="s">
        <v>1046</v>
      </c>
      <c r="R56" s="48">
        <v>42835.0</v>
      </c>
      <c r="S56" s="32" t="s">
        <v>196</v>
      </c>
      <c r="T56" s="45" t="s">
        <v>1285</v>
      </c>
      <c r="U56" s="56" t="s">
        <v>1291</v>
      </c>
      <c r="V56" s="34" t="s">
        <v>80</v>
      </c>
      <c r="W56" s="32" t="s">
        <v>561</v>
      </c>
      <c r="X56" s="60" t="s">
        <v>1287</v>
      </c>
      <c r="Y56" s="45" t="s">
        <v>1288</v>
      </c>
      <c r="Z56" s="32" t="s">
        <v>112</v>
      </c>
      <c r="AA56" s="38"/>
      <c r="AB56" s="32" t="s">
        <v>113</v>
      </c>
      <c r="AC56" s="60"/>
      <c r="AD56" s="136"/>
      <c r="AE56" s="53"/>
      <c r="AF56" s="34" t="s">
        <v>74</v>
      </c>
      <c r="AG56" s="56" t="s">
        <v>900</v>
      </c>
      <c r="AH56" s="41"/>
      <c r="AI56" s="41"/>
      <c r="AJ56" s="41"/>
      <c r="AK56" s="155">
        <v>41770.0</v>
      </c>
      <c r="AL56" s="56" t="s">
        <v>1048</v>
      </c>
    </row>
    <row r="57" ht="22.5" customHeight="1">
      <c r="A57" s="27" t="s">
        <v>1292</v>
      </c>
      <c r="B57" s="63" t="s">
        <v>1293</v>
      </c>
      <c r="C57" s="32" t="s">
        <v>1294</v>
      </c>
      <c r="D57" s="41" t="s">
        <v>91</v>
      </c>
      <c r="E57" s="38" t="s">
        <v>1295</v>
      </c>
      <c r="F57" s="41" t="s">
        <v>140</v>
      </c>
      <c r="G57" s="34" t="s">
        <v>85</v>
      </c>
      <c r="H57" s="36">
        <v>41799.0</v>
      </c>
      <c r="I57" s="36">
        <v>41799.0</v>
      </c>
      <c r="J57" s="36"/>
      <c r="K57" s="32" t="s">
        <v>70</v>
      </c>
      <c r="L57" s="34" t="s">
        <v>115</v>
      </c>
      <c r="M57" s="63" t="s">
        <v>313</v>
      </c>
      <c r="N57" s="32" t="s">
        <v>89</v>
      </c>
      <c r="O57" s="38" t="s">
        <v>1296</v>
      </c>
      <c r="P57" s="57" t="s">
        <v>1297</v>
      </c>
      <c r="Q57" s="38" t="s">
        <v>1298</v>
      </c>
      <c r="R57" s="48"/>
      <c r="S57" s="38" t="s">
        <v>1296</v>
      </c>
      <c r="T57" s="203" t="s">
        <v>1299</v>
      </c>
      <c r="U57" s="45" t="s">
        <v>1300</v>
      </c>
      <c r="V57" s="34" t="s">
        <v>80</v>
      </c>
      <c r="W57" s="32" t="s">
        <v>1301</v>
      </c>
      <c r="X57" s="60" t="s">
        <v>1302</v>
      </c>
      <c r="Y57" s="45" t="s">
        <v>1303</v>
      </c>
      <c r="Z57" s="32" t="s">
        <v>112</v>
      </c>
      <c r="AA57" s="38"/>
      <c r="AB57" s="60" t="s">
        <v>270</v>
      </c>
      <c r="AC57" s="60" t="s">
        <v>1304</v>
      </c>
      <c r="AD57" s="136">
        <v>41799.0</v>
      </c>
      <c r="AE57" s="53"/>
      <c r="AF57" s="34" t="s">
        <v>80</v>
      </c>
      <c r="AG57" s="56" t="s">
        <v>1305</v>
      </c>
      <c r="AH57" s="41"/>
      <c r="AI57" s="41"/>
      <c r="AJ57" s="41"/>
      <c r="AK57" s="58">
        <v>41611.0</v>
      </c>
      <c r="AL57" s="56" t="s">
        <v>1306</v>
      </c>
    </row>
    <row r="58" ht="22.5" customHeight="1">
      <c r="A58" s="27" t="s">
        <v>1307</v>
      </c>
      <c r="B58" s="63" t="s">
        <v>1293</v>
      </c>
      <c r="C58" s="32" t="s">
        <v>1308</v>
      </c>
      <c r="D58" s="34" t="s">
        <v>1010</v>
      </c>
      <c r="E58" s="38" t="s">
        <v>1309</v>
      </c>
      <c r="F58" s="41" t="s">
        <v>140</v>
      </c>
      <c r="G58" s="34" t="s">
        <v>85</v>
      </c>
      <c r="H58" s="36">
        <v>41799.0</v>
      </c>
      <c r="I58" s="36">
        <v>41799.0</v>
      </c>
      <c r="J58" s="48"/>
      <c r="K58" s="32" t="s">
        <v>70</v>
      </c>
      <c r="L58" s="34" t="s">
        <v>115</v>
      </c>
      <c r="M58" s="63" t="s">
        <v>218</v>
      </c>
      <c r="N58" s="32" t="s">
        <v>89</v>
      </c>
      <c r="O58" s="38" t="s">
        <v>1296</v>
      </c>
      <c r="P58" s="57" t="s">
        <v>1297</v>
      </c>
      <c r="Q58" s="38" t="s">
        <v>1298</v>
      </c>
      <c r="R58" s="48"/>
      <c r="S58" s="38" t="s">
        <v>1296</v>
      </c>
      <c r="T58" s="203" t="s">
        <v>1310</v>
      </c>
      <c r="U58" s="45" t="s">
        <v>1311</v>
      </c>
      <c r="V58" s="34" t="s">
        <v>80</v>
      </c>
      <c r="W58" s="32" t="s">
        <v>1301</v>
      </c>
      <c r="X58" s="60" t="s">
        <v>1302</v>
      </c>
      <c r="Y58" s="45" t="s">
        <v>1303</v>
      </c>
      <c r="Z58" s="32" t="s">
        <v>112</v>
      </c>
      <c r="AA58" s="38"/>
      <c r="AB58" s="60" t="s">
        <v>270</v>
      </c>
      <c r="AC58" s="60" t="s">
        <v>1312</v>
      </c>
      <c r="AD58" s="136">
        <v>41799.0</v>
      </c>
      <c r="AE58" s="53"/>
      <c r="AF58" s="34" t="s">
        <v>80</v>
      </c>
      <c r="AG58" s="56" t="s">
        <v>1305</v>
      </c>
      <c r="AH58" s="41"/>
      <c r="AI58" s="41"/>
      <c r="AJ58" s="41"/>
      <c r="AK58" s="58">
        <v>41611.0</v>
      </c>
      <c r="AL58" s="56" t="s">
        <v>1306</v>
      </c>
    </row>
    <row r="59" ht="22.5" customHeight="1">
      <c r="A59" s="27" t="s">
        <v>1313</v>
      </c>
      <c r="B59" s="63" t="s">
        <v>901</v>
      </c>
      <c r="C59" s="32" t="s">
        <v>967</v>
      </c>
      <c r="D59" s="34" t="s">
        <v>584</v>
      </c>
      <c r="E59" s="103" t="s">
        <v>968</v>
      </c>
      <c r="F59" s="41" t="s">
        <v>93</v>
      </c>
      <c r="G59" s="34" t="s">
        <v>85</v>
      </c>
      <c r="H59" s="48">
        <v>41696.0</v>
      </c>
      <c r="I59" s="36">
        <v>41694.0</v>
      </c>
      <c r="J59" s="48">
        <v>41696.0</v>
      </c>
      <c r="K59" s="32" t="s">
        <v>70</v>
      </c>
      <c r="L59" s="34" t="s">
        <v>115</v>
      </c>
      <c r="M59" s="42" t="s">
        <v>313</v>
      </c>
      <c r="N59" s="32" t="s">
        <v>89</v>
      </c>
      <c r="O59" s="32" t="s">
        <v>116</v>
      </c>
      <c r="P59" s="38"/>
      <c r="Q59" s="32" t="s">
        <v>117</v>
      </c>
      <c r="R59" s="48"/>
      <c r="S59" s="32" t="s">
        <v>116</v>
      </c>
      <c r="T59" s="45" t="s">
        <v>974</v>
      </c>
      <c r="U59" s="109" t="s">
        <v>1314</v>
      </c>
      <c r="V59" s="34" t="s">
        <v>80</v>
      </c>
      <c r="W59" s="60" t="s">
        <v>976</v>
      </c>
      <c r="X59" s="60" t="s">
        <v>977</v>
      </c>
      <c r="Y59" s="109" t="s">
        <v>906</v>
      </c>
      <c r="Z59" s="32" t="s">
        <v>112</v>
      </c>
      <c r="AA59" s="38"/>
      <c r="AB59" s="123" t="s">
        <v>113</v>
      </c>
      <c r="AC59" s="60" t="s">
        <v>1315</v>
      </c>
      <c r="AD59" s="66">
        <v>41696.0</v>
      </c>
      <c r="AE59" s="137"/>
      <c r="AF59" s="34" t="s">
        <v>80</v>
      </c>
      <c r="AG59" s="56" t="s">
        <v>911</v>
      </c>
      <c r="AH59" s="41"/>
      <c r="AI59" s="41"/>
      <c r="AJ59" s="41"/>
      <c r="AK59" s="58">
        <v>41368.0</v>
      </c>
      <c r="AL59" s="63"/>
    </row>
    <row r="60" ht="22.5" customHeight="1">
      <c r="A60" s="27" t="s">
        <v>1316</v>
      </c>
      <c r="B60" s="63" t="s">
        <v>901</v>
      </c>
      <c r="C60" s="32" t="s">
        <v>967</v>
      </c>
      <c r="D60" s="34" t="s">
        <v>584</v>
      </c>
      <c r="E60" s="103" t="s">
        <v>968</v>
      </c>
      <c r="F60" s="34" t="s">
        <v>93</v>
      </c>
      <c r="G60" s="34" t="s">
        <v>168</v>
      </c>
      <c r="H60" s="36">
        <v>41912.0</v>
      </c>
      <c r="I60" s="36">
        <v>41912.0</v>
      </c>
      <c r="J60" s="36">
        <v>41912.0</v>
      </c>
      <c r="K60" s="32" t="s">
        <v>86</v>
      </c>
      <c r="L60" s="34" t="s">
        <v>115</v>
      </c>
      <c r="M60" s="42" t="s">
        <v>313</v>
      </c>
      <c r="N60" s="32" t="s">
        <v>89</v>
      </c>
      <c r="O60" s="38" t="s">
        <v>1012</v>
      </c>
      <c r="P60" s="38"/>
      <c r="Q60" s="38" t="s">
        <v>1317</v>
      </c>
      <c r="R60" s="48">
        <v>43008.0</v>
      </c>
      <c r="S60" s="32" t="s">
        <v>116</v>
      </c>
      <c r="T60" s="45" t="s">
        <v>1318</v>
      </c>
      <c r="U60" s="45" t="s">
        <v>1319</v>
      </c>
      <c r="V60" s="34" t="s">
        <v>80</v>
      </c>
      <c r="W60" s="60" t="s">
        <v>976</v>
      </c>
      <c r="X60" s="60" t="s">
        <v>977</v>
      </c>
      <c r="Y60" s="109" t="s">
        <v>906</v>
      </c>
      <c r="Z60" s="32" t="s">
        <v>112</v>
      </c>
      <c r="AA60" s="38"/>
      <c r="AB60" s="123" t="s">
        <v>113</v>
      </c>
      <c r="AC60" s="60"/>
      <c r="AD60" s="74"/>
      <c r="AE60" s="53"/>
      <c r="AF60" s="34" t="s">
        <v>74</v>
      </c>
      <c r="AG60" s="56" t="s">
        <v>911</v>
      </c>
      <c r="AH60" s="41"/>
      <c r="AI60" s="41"/>
      <c r="AJ60" s="41"/>
      <c r="AK60" s="58">
        <v>41368.0</v>
      </c>
      <c r="AL60" s="56" t="s">
        <v>1021</v>
      </c>
    </row>
    <row r="61" ht="22.5" customHeight="1">
      <c r="A61" s="27" t="s">
        <v>1320</v>
      </c>
      <c r="B61" s="63" t="s">
        <v>1321</v>
      </c>
      <c r="C61" s="32" t="s">
        <v>1322</v>
      </c>
      <c r="D61" s="34" t="s">
        <v>1010</v>
      </c>
      <c r="E61" s="38" t="s">
        <v>1323</v>
      </c>
      <c r="F61" s="41" t="s">
        <v>140</v>
      </c>
      <c r="G61" s="34" t="s">
        <v>85</v>
      </c>
      <c r="H61" s="36">
        <v>41782.0</v>
      </c>
      <c r="I61" s="36">
        <v>41782.0</v>
      </c>
      <c r="J61" s="36"/>
      <c r="K61" s="32" t="s">
        <v>86</v>
      </c>
      <c r="L61" s="34" t="s">
        <v>115</v>
      </c>
      <c r="M61" s="42" t="s">
        <v>88</v>
      </c>
      <c r="N61" s="32" t="s">
        <v>89</v>
      </c>
      <c r="O61" s="38" t="s">
        <v>196</v>
      </c>
      <c r="P61" s="32"/>
      <c r="Q61" s="32" t="s">
        <v>948</v>
      </c>
      <c r="R61" s="48"/>
      <c r="S61" s="32" t="s">
        <v>196</v>
      </c>
      <c r="T61" s="45" t="s">
        <v>1324</v>
      </c>
      <c r="U61" s="45" t="s">
        <v>1325</v>
      </c>
      <c r="V61" s="34" t="s">
        <v>80</v>
      </c>
      <c r="W61" s="32" t="s">
        <v>561</v>
      </c>
      <c r="X61" s="32" t="s">
        <v>1326</v>
      </c>
      <c r="Y61" s="109" t="s">
        <v>1327</v>
      </c>
      <c r="Z61" s="32" t="s">
        <v>112</v>
      </c>
      <c r="AA61" s="32"/>
      <c r="AB61" s="32" t="s">
        <v>113</v>
      </c>
      <c r="AC61" s="60" t="s">
        <v>1328</v>
      </c>
      <c r="AD61" s="136">
        <v>41782.0</v>
      </c>
      <c r="AE61" s="216"/>
      <c r="AF61" s="34" t="s">
        <v>74</v>
      </c>
      <c r="AG61" s="56" t="s">
        <v>1329</v>
      </c>
      <c r="AH61" s="63"/>
      <c r="AI61" s="41"/>
      <c r="AJ61" s="41"/>
      <c r="AK61" s="58">
        <v>41619.0</v>
      </c>
      <c r="AL61" s="56" t="s">
        <v>208</v>
      </c>
    </row>
    <row r="62" ht="22.5" customHeight="1">
      <c r="A62" s="27" t="s">
        <v>1330</v>
      </c>
      <c r="B62" s="63" t="s">
        <v>1331</v>
      </c>
      <c r="C62" s="32" t="s">
        <v>1332</v>
      </c>
      <c r="D62" s="34" t="s">
        <v>1010</v>
      </c>
      <c r="E62" s="103" t="s">
        <v>1333</v>
      </c>
      <c r="F62" s="41" t="s">
        <v>140</v>
      </c>
      <c r="G62" s="34" t="s">
        <v>85</v>
      </c>
      <c r="H62" s="36">
        <v>41765.0</v>
      </c>
      <c r="I62" s="232"/>
      <c r="J62" s="36">
        <v>41765.0</v>
      </c>
      <c r="K62" s="32" t="s">
        <v>86</v>
      </c>
      <c r="L62" s="34" t="s">
        <v>115</v>
      </c>
      <c r="M62" s="63" t="s">
        <v>218</v>
      </c>
      <c r="N62" s="32" t="s">
        <v>89</v>
      </c>
      <c r="O62" s="38" t="s">
        <v>1023</v>
      </c>
      <c r="P62" s="32"/>
      <c r="Q62" s="38" t="s">
        <v>1334</v>
      </c>
      <c r="R62" s="48">
        <v>42861.0</v>
      </c>
      <c r="S62" s="32" t="s">
        <v>1023</v>
      </c>
      <c r="T62" s="45" t="s">
        <v>1335</v>
      </c>
      <c r="U62" s="45" t="s">
        <v>1336</v>
      </c>
      <c r="V62" s="34" t="s">
        <v>80</v>
      </c>
      <c r="W62" s="32" t="s">
        <v>561</v>
      </c>
      <c r="X62" s="32" t="s">
        <v>561</v>
      </c>
      <c r="Y62" s="109" t="s">
        <v>1337</v>
      </c>
      <c r="Z62" s="32" t="s">
        <v>112</v>
      </c>
      <c r="AA62" s="38"/>
      <c r="AB62" s="32" t="s">
        <v>575</v>
      </c>
      <c r="AC62" s="60" t="s">
        <v>1338</v>
      </c>
      <c r="AD62" s="74">
        <v>41765.0</v>
      </c>
      <c r="AE62" s="53"/>
      <c r="AF62" s="34" t="s">
        <v>74</v>
      </c>
      <c r="AG62" s="56" t="s">
        <v>1339</v>
      </c>
      <c r="AH62" s="34" t="s">
        <v>1340</v>
      </c>
      <c r="AI62" s="41"/>
      <c r="AJ62" s="41"/>
      <c r="AK62" s="58">
        <v>41589.0</v>
      </c>
      <c r="AL62" s="56" t="s">
        <v>1028</v>
      </c>
    </row>
    <row r="63" ht="22.5" customHeight="1">
      <c r="A63" s="27" t="s">
        <v>1341</v>
      </c>
      <c r="B63" s="63" t="s">
        <v>190</v>
      </c>
      <c r="C63" s="32" t="s">
        <v>191</v>
      </c>
      <c r="D63" s="34" t="s">
        <v>752</v>
      </c>
      <c r="E63" s="38" t="s">
        <v>193</v>
      </c>
      <c r="F63" s="54" t="s">
        <v>93</v>
      </c>
      <c r="G63" s="34" t="s">
        <v>168</v>
      </c>
      <c r="H63" s="48">
        <v>41676.0</v>
      </c>
      <c r="I63" s="36">
        <v>41311.0</v>
      </c>
      <c r="J63" s="48">
        <v>41676.0</v>
      </c>
      <c r="K63" s="32" t="s">
        <v>86</v>
      </c>
      <c r="L63" s="34" t="s">
        <v>115</v>
      </c>
      <c r="M63" s="63" t="s">
        <v>88</v>
      </c>
      <c r="N63" s="32" t="s">
        <v>89</v>
      </c>
      <c r="O63" s="38" t="s">
        <v>142</v>
      </c>
      <c r="P63" s="38" t="s">
        <v>1050</v>
      </c>
      <c r="Q63" s="38" t="s">
        <v>1051</v>
      </c>
      <c r="R63" s="36">
        <v>42502.0</v>
      </c>
      <c r="S63" s="57" t="s">
        <v>116</v>
      </c>
      <c r="T63" s="56" t="s">
        <v>198</v>
      </c>
      <c r="U63" s="71" t="s">
        <v>1342</v>
      </c>
      <c r="V63" s="34" t="s">
        <v>80</v>
      </c>
      <c r="W63" s="32" t="s">
        <v>201</v>
      </c>
      <c r="X63" s="32" t="s">
        <v>202</v>
      </c>
      <c r="Y63" s="45" t="s">
        <v>203</v>
      </c>
      <c r="Z63" s="32" t="s">
        <v>112</v>
      </c>
      <c r="AA63" s="32"/>
      <c r="AB63" s="32" t="s">
        <v>113</v>
      </c>
      <c r="AC63" s="60"/>
      <c r="AD63" s="66"/>
      <c r="AE63" s="57" t="s">
        <v>1343</v>
      </c>
      <c r="AF63" s="34" t="s">
        <v>74</v>
      </c>
      <c r="AG63" s="56" t="s">
        <v>206</v>
      </c>
      <c r="AH63" s="41"/>
      <c r="AI63" s="41"/>
      <c r="AJ63" s="41"/>
      <c r="AK63" s="58">
        <v>41215.0</v>
      </c>
      <c r="AL63" s="56" t="s">
        <v>262</v>
      </c>
    </row>
    <row r="64" ht="22.5" customHeight="1">
      <c r="A64" s="27" t="s">
        <v>1344</v>
      </c>
      <c r="B64" s="63" t="s">
        <v>355</v>
      </c>
      <c r="C64" s="32" t="s">
        <v>1345</v>
      </c>
      <c r="D64" s="34" t="s">
        <v>75</v>
      </c>
      <c r="E64" s="149" t="s">
        <v>1346</v>
      </c>
      <c r="F64" s="34" t="s">
        <v>140</v>
      </c>
      <c r="G64" s="34" t="s">
        <v>168</v>
      </c>
      <c r="H64" s="48">
        <v>41814.0</v>
      </c>
      <c r="I64" s="48">
        <v>41814.0</v>
      </c>
      <c r="J64" s="48"/>
      <c r="K64" s="32" t="s">
        <v>70</v>
      </c>
      <c r="L64" s="34" t="s">
        <v>115</v>
      </c>
      <c r="M64" s="63" t="s">
        <v>313</v>
      </c>
      <c r="N64" s="32" t="s">
        <v>89</v>
      </c>
      <c r="O64" s="32" t="s">
        <v>1347</v>
      </c>
      <c r="P64" s="38"/>
      <c r="Q64" s="32" t="s">
        <v>1348</v>
      </c>
      <c r="R64" s="48"/>
      <c r="S64" s="32" t="s">
        <v>402</v>
      </c>
      <c r="T64" s="56" t="s">
        <v>1349</v>
      </c>
      <c r="U64" s="71" t="s">
        <v>1350</v>
      </c>
      <c r="V64" s="34" t="s">
        <v>74</v>
      </c>
      <c r="W64" s="32" t="s">
        <v>1351</v>
      </c>
      <c r="X64" s="149" t="s">
        <v>1352</v>
      </c>
      <c r="Y64" s="152" t="s">
        <v>1353</v>
      </c>
      <c r="Z64" s="32" t="s">
        <v>112</v>
      </c>
      <c r="AA64" s="38"/>
      <c r="AB64" s="32" t="s">
        <v>113</v>
      </c>
      <c r="AC64" s="68"/>
      <c r="AD64" s="66"/>
      <c r="AE64" s="30" t="s">
        <v>1354</v>
      </c>
      <c r="AF64" s="34" t="s">
        <v>80</v>
      </c>
      <c r="AG64" s="56" t="s">
        <v>1355</v>
      </c>
      <c r="AH64" s="41"/>
      <c r="AI64" s="41"/>
      <c r="AJ64" s="41"/>
      <c r="AK64" s="58">
        <v>41770.0</v>
      </c>
      <c r="AL64" s="56" t="s">
        <v>1356</v>
      </c>
    </row>
    <row r="65" ht="22.5" customHeight="1">
      <c r="A65" s="27" t="s">
        <v>1357</v>
      </c>
      <c r="B65" s="63" t="s">
        <v>1321</v>
      </c>
      <c r="C65" s="32" t="s">
        <v>1322</v>
      </c>
      <c r="D65" s="34" t="s">
        <v>845</v>
      </c>
      <c r="E65" s="38" t="s">
        <v>1323</v>
      </c>
      <c r="F65" s="41" t="s">
        <v>140</v>
      </c>
      <c r="G65" s="34" t="s">
        <v>168</v>
      </c>
      <c r="H65" s="48">
        <v>41808.0</v>
      </c>
      <c r="I65" s="48">
        <v>41779.0</v>
      </c>
      <c r="J65" s="48">
        <v>41808.0</v>
      </c>
      <c r="K65" s="32" t="s">
        <v>86</v>
      </c>
      <c r="L65" s="34" t="s">
        <v>115</v>
      </c>
      <c r="M65" s="42" t="s">
        <v>88</v>
      </c>
      <c r="N65" s="32" t="s">
        <v>89</v>
      </c>
      <c r="O65" s="32" t="s">
        <v>1195</v>
      </c>
      <c r="P65" s="32"/>
      <c r="Q65" s="32" t="s">
        <v>1358</v>
      </c>
      <c r="R65" s="48">
        <v>42885.0</v>
      </c>
      <c r="S65" s="32" t="s">
        <v>196</v>
      </c>
      <c r="T65" s="45" t="s">
        <v>1324</v>
      </c>
      <c r="U65" s="71" t="s">
        <v>1359</v>
      </c>
      <c r="V65" s="34" t="s">
        <v>80</v>
      </c>
      <c r="W65" s="32" t="s">
        <v>561</v>
      </c>
      <c r="X65" s="32" t="s">
        <v>1326</v>
      </c>
      <c r="Y65" s="109" t="s">
        <v>1327</v>
      </c>
      <c r="Z65" s="32" t="s">
        <v>112</v>
      </c>
      <c r="AA65" s="38"/>
      <c r="AB65" s="32" t="s">
        <v>113</v>
      </c>
      <c r="AC65" s="60"/>
      <c r="AD65" s="66"/>
      <c r="AE65" s="30"/>
      <c r="AF65" s="34" t="s">
        <v>80</v>
      </c>
      <c r="AG65" s="56" t="s">
        <v>1329</v>
      </c>
      <c r="AH65" s="41"/>
      <c r="AI65" s="41"/>
      <c r="AJ65" s="41"/>
      <c r="AK65" s="58">
        <v>41619.0</v>
      </c>
      <c r="AL65" s="56" t="s">
        <v>1215</v>
      </c>
    </row>
    <row r="66" ht="22.5" customHeight="1">
      <c r="A66" s="27" t="s">
        <v>1360</v>
      </c>
      <c r="B66" s="63" t="s">
        <v>932</v>
      </c>
      <c r="C66" s="32" t="s">
        <v>933</v>
      </c>
      <c r="D66" s="34" t="s">
        <v>752</v>
      </c>
      <c r="E66" s="38" t="s">
        <v>935</v>
      </c>
      <c r="F66" s="41" t="s">
        <v>140</v>
      </c>
      <c r="G66" s="34" t="s">
        <v>168</v>
      </c>
      <c r="H66" s="48">
        <v>41709.0</v>
      </c>
      <c r="I66" s="48">
        <v>41709.0</v>
      </c>
      <c r="J66" s="48"/>
      <c r="K66" s="32" t="s">
        <v>86</v>
      </c>
      <c r="L66" s="34" t="s">
        <v>115</v>
      </c>
      <c r="M66" s="42" t="s">
        <v>383</v>
      </c>
      <c r="N66" s="32" t="s">
        <v>89</v>
      </c>
      <c r="O66" s="32" t="s">
        <v>1195</v>
      </c>
      <c r="P66" s="32"/>
      <c r="Q66" s="32" t="s">
        <v>1361</v>
      </c>
      <c r="R66" s="48">
        <v>42805.0</v>
      </c>
      <c r="S66" s="32" t="s">
        <v>850</v>
      </c>
      <c r="T66" s="45" t="s">
        <v>938</v>
      </c>
      <c r="U66" s="71" t="s">
        <v>1362</v>
      </c>
      <c r="V66" s="34" t="s">
        <v>80</v>
      </c>
      <c r="W66" s="32" t="s">
        <v>561</v>
      </c>
      <c r="X66" s="32" t="s">
        <v>941</v>
      </c>
      <c r="Y66" s="45" t="s">
        <v>942</v>
      </c>
      <c r="Z66" s="32" t="s">
        <v>112</v>
      </c>
      <c r="AA66" s="32"/>
      <c r="AB66" s="60" t="s">
        <v>240</v>
      </c>
      <c r="AC66" s="68"/>
      <c r="AD66" s="66"/>
      <c r="AE66" s="30"/>
      <c r="AF66" s="34" t="s">
        <v>80</v>
      </c>
      <c r="AG66" s="56" t="s">
        <v>945</v>
      </c>
      <c r="AH66" s="41"/>
      <c r="AI66" s="41"/>
      <c r="AJ66" s="41"/>
      <c r="AK66" s="58">
        <v>41255.0</v>
      </c>
      <c r="AL66" s="56" t="s">
        <v>1215</v>
      </c>
    </row>
    <row r="67" ht="22.5" customHeight="1">
      <c r="A67" s="27" t="s">
        <v>1363</v>
      </c>
      <c r="B67" s="63" t="s">
        <v>69</v>
      </c>
      <c r="C67" s="32" t="s">
        <v>90</v>
      </c>
      <c r="D67" s="39" t="s">
        <v>91</v>
      </c>
      <c r="E67" s="38" t="s">
        <v>92</v>
      </c>
      <c r="F67" s="34" t="s">
        <v>93</v>
      </c>
      <c r="G67" s="34" t="s">
        <v>168</v>
      </c>
      <c r="H67" s="48">
        <v>41730.0</v>
      </c>
      <c r="I67" s="48">
        <v>41730.0</v>
      </c>
      <c r="J67" s="48"/>
      <c r="K67" s="32" t="s">
        <v>70</v>
      </c>
      <c r="L67" s="34" t="s">
        <v>115</v>
      </c>
      <c r="M67" s="38" t="s">
        <v>88</v>
      </c>
      <c r="N67" s="32" t="s">
        <v>89</v>
      </c>
      <c r="O67" s="32" t="s">
        <v>954</v>
      </c>
      <c r="P67" s="32" t="s">
        <v>955</v>
      </c>
      <c r="Q67" s="32" t="s">
        <v>956</v>
      </c>
      <c r="R67" s="34"/>
      <c r="S67" s="32" t="s">
        <v>116</v>
      </c>
      <c r="T67" s="45" t="s">
        <v>118</v>
      </c>
      <c r="U67" s="71" t="s">
        <v>1364</v>
      </c>
      <c r="V67" s="34" t="s">
        <v>80</v>
      </c>
      <c r="W67" s="60" t="s">
        <v>122</v>
      </c>
      <c r="X67" s="60" t="s">
        <v>130</v>
      </c>
      <c r="Y67" s="45" t="s">
        <v>131</v>
      </c>
      <c r="Z67" s="32" t="s">
        <v>112</v>
      </c>
      <c r="AA67" s="32"/>
      <c r="AB67" s="60" t="s">
        <v>113</v>
      </c>
      <c r="AC67" s="60"/>
      <c r="AD67" s="66"/>
      <c r="AE67" s="30"/>
      <c r="AF67" s="34" t="s">
        <v>80</v>
      </c>
      <c r="AG67" s="56" t="s">
        <v>159</v>
      </c>
      <c r="AH67" s="41"/>
      <c r="AI67" s="41"/>
      <c r="AJ67" s="41"/>
      <c r="AK67" s="58">
        <v>41100.0</v>
      </c>
      <c r="AL67" s="56" t="s">
        <v>965</v>
      </c>
    </row>
    <row r="68" ht="22.5" customHeight="1">
      <c r="A68" s="27" t="s">
        <v>1365</v>
      </c>
      <c r="B68" s="63" t="s">
        <v>1321</v>
      </c>
      <c r="C68" s="32" t="s">
        <v>1322</v>
      </c>
      <c r="D68" s="34" t="s">
        <v>845</v>
      </c>
      <c r="E68" s="38" t="s">
        <v>1323</v>
      </c>
      <c r="F68" s="41" t="s">
        <v>140</v>
      </c>
      <c r="G68" s="34" t="s">
        <v>168</v>
      </c>
      <c r="H68" s="48">
        <v>41668.0</v>
      </c>
      <c r="I68" s="48">
        <v>41668.0</v>
      </c>
      <c r="J68" s="48"/>
      <c r="K68" s="32" t="s">
        <v>70</v>
      </c>
      <c r="L68" s="34" t="s">
        <v>115</v>
      </c>
      <c r="M68" s="38" t="s">
        <v>88</v>
      </c>
      <c r="N68" s="32" t="s">
        <v>89</v>
      </c>
      <c r="O68" s="32" t="s">
        <v>1347</v>
      </c>
      <c r="P68" s="32"/>
      <c r="Q68" s="32" t="s">
        <v>1366</v>
      </c>
      <c r="R68" s="34"/>
      <c r="S68" s="32" t="s">
        <v>196</v>
      </c>
      <c r="T68" s="45" t="s">
        <v>1324</v>
      </c>
      <c r="U68" s="71" t="s">
        <v>1367</v>
      </c>
      <c r="V68" s="34" t="s">
        <v>80</v>
      </c>
      <c r="W68" s="32" t="s">
        <v>561</v>
      </c>
      <c r="X68" s="32" t="s">
        <v>1326</v>
      </c>
      <c r="Y68" s="109" t="s">
        <v>1327</v>
      </c>
      <c r="Z68" s="32" t="s">
        <v>112</v>
      </c>
      <c r="AA68" s="32"/>
      <c r="AB68" s="32" t="s">
        <v>113</v>
      </c>
      <c r="AC68" s="60"/>
      <c r="AD68" s="66"/>
      <c r="AE68" s="30"/>
      <c r="AF68" s="34" t="s">
        <v>80</v>
      </c>
      <c r="AG68" s="56" t="s">
        <v>1329</v>
      </c>
      <c r="AH68" s="41"/>
      <c r="AI68" s="41"/>
      <c r="AJ68" s="41"/>
      <c r="AK68" s="58">
        <v>41619.0</v>
      </c>
      <c r="AL68" s="56" t="s">
        <v>1356</v>
      </c>
    </row>
    <row r="69" ht="22.5" customHeight="1">
      <c r="A69" s="27" t="s">
        <v>1368</v>
      </c>
      <c r="B69" s="63" t="s">
        <v>190</v>
      </c>
      <c r="C69" s="32" t="s">
        <v>211</v>
      </c>
      <c r="D69" s="39" t="s">
        <v>91</v>
      </c>
      <c r="E69" s="38" t="s">
        <v>214</v>
      </c>
      <c r="F69" s="41" t="s">
        <v>140</v>
      </c>
      <c r="G69" s="34" t="s">
        <v>168</v>
      </c>
      <c r="H69" s="48">
        <v>41710.0</v>
      </c>
      <c r="I69" s="48">
        <v>41675.0</v>
      </c>
      <c r="J69" s="48">
        <v>41710.0</v>
      </c>
      <c r="K69" s="32" t="s">
        <v>86</v>
      </c>
      <c r="L69" s="34" t="s">
        <v>115</v>
      </c>
      <c r="M69" s="63" t="s">
        <v>218</v>
      </c>
      <c r="N69" s="32" t="s">
        <v>89</v>
      </c>
      <c r="O69" s="32" t="s">
        <v>989</v>
      </c>
      <c r="P69" s="32"/>
      <c r="Q69" s="32" t="s">
        <v>1369</v>
      </c>
      <c r="R69" s="58">
        <v>42806.0</v>
      </c>
      <c r="S69" s="32" t="s">
        <v>196</v>
      </c>
      <c r="T69" s="56" t="s">
        <v>248</v>
      </c>
      <c r="U69" s="233" t="s">
        <v>1370</v>
      </c>
      <c r="V69" s="34" t="s">
        <v>80</v>
      </c>
      <c r="W69" s="32" t="s">
        <v>201</v>
      </c>
      <c r="X69" s="32" t="s">
        <v>202</v>
      </c>
      <c r="Y69" s="45" t="s">
        <v>203</v>
      </c>
      <c r="Z69" s="32" t="s">
        <v>112</v>
      </c>
      <c r="AA69" s="32"/>
      <c r="AB69" s="32" t="s">
        <v>113</v>
      </c>
      <c r="AC69" s="60"/>
      <c r="AD69" s="66"/>
      <c r="AE69" s="30"/>
      <c r="AF69" s="34" t="s">
        <v>80</v>
      </c>
      <c r="AG69" s="56" t="s">
        <v>206</v>
      </c>
      <c r="AH69" s="41"/>
      <c r="AI69" s="41"/>
      <c r="AJ69" s="41"/>
      <c r="AK69" s="58">
        <v>41224.0</v>
      </c>
      <c r="AL69" s="56" t="s">
        <v>1004</v>
      </c>
    </row>
    <row r="70" ht="22.5" customHeight="1">
      <c r="A70" s="27" t="s">
        <v>1371</v>
      </c>
      <c r="B70" s="63" t="s">
        <v>190</v>
      </c>
      <c r="C70" s="32" t="s">
        <v>191</v>
      </c>
      <c r="D70" s="34" t="s">
        <v>752</v>
      </c>
      <c r="E70" s="38" t="s">
        <v>193</v>
      </c>
      <c r="F70" s="54" t="s">
        <v>93</v>
      </c>
      <c r="G70" s="34" t="s">
        <v>168</v>
      </c>
      <c r="H70" s="48">
        <v>41710.0</v>
      </c>
      <c r="I70" s="48">
        <v>41675.0</v>
      </c>
      <c r="J70" s="48">
        <v>41710.0</v>
      </c>
      <c r="K70" s="32" t="s">
        <v>86</v>
      </c>
      <c r="L70" s="34" t="s">
        <v>115</v>
      </c>
      <c r="M70" s="63" t="s">
        <v>88</v>
      </c>
      <c r="N70" s="32" t="s">
        <v>89</v>
      </c>
      <c r="O70" s="32" t="s">
        <v>989</v>
      </c>
      <c r="P70" s="32"/>
      <c r="Q70" s="32" t="s">
        <v>1369</v>
      </c>
      <c r="R70" s="58">
        <v>42806.0</v>
      </c>
      <c r="S70" s="57" t="s">
        <v>116</v>
      </c>
      <c r="T70" s="56" t="s">
        <v>198</v>
      </c>
      <c r="U70" s="233" t="s">
        <v>1372</v>
      </c>
      <c r="V70" s="34" t="s">
        <v>80</v>
      </c>
      <c r="W70" s="32" t="s">
        <v>201</v>
      </c>
      <c r="X70" s="32" t="s">
        <v>202</v>
      </c>
      <c r="Y70" s="45" t="s">
        <v>203</v>
      </c>
      <c r="Z70" s="32" t="s">
        <v>112</v>
      </c>
      <c r="AA70" s="32"/>
      <c r="AB70" s="32" t="s">
        <v>113</v>
      </c>
      <c r="AC70" s="60"/>
      <c r="AD70" s="66"/>
      <c r="AE70" s="30"/>
      <c r="AF70" s="34" t="s">
        <v>80</v>
      </c>
      <c r="AG70" s="56" t="s">
        <v>206</v>
      </c>
      <c r="AH70" s="41"/>
      <c r="AI70" s="41"/>
      <c r="AJ70" s="41"/>
      <c r="AK70" s="58">
        <v>41215.0</v>
      </c>
      <c r="AL70" s="56" t="s">
        <v>1004</v>
      </c>
    </row>
    <row r="71" ht="22.5" customHeight="1">
      <c r="A71" s="27" t="s">
        <v>1373</v>
      </c>
      <c r="B71" s="63" t="s">
        <v>1374</v>
      </c>
      <c r="C71" s="32" t="s">
        <v>1375</v>
      </c>
      <c r="D71" s="39" t="s">
        <v>91</v>
      </c>
      <c r="E71" s="103" t="s">
        <v>1376</v>
      </c>
      <c r="F71" s="41" t="s">
        <v>93</v>
      </c>
      <c r="G71" s="34" t="s">
        <v>168</v>
      </c>
      <c r="H71" s="48">
        <v>41803.0</v>
      </c>
      <c r="I71" s="48">
        <v>41803.0</v>
      </c>
      <c r="J71" s="48"/>
      <c r="K71" s="32" t="s">
        <v>86</v>
      </c>
      <c r="L71" s="41" t="s">
        <v>115</v>
      </c>
      <c r="M71" s="63" t="s">
        <v>218</v>
      </c>
      <c r="N71" s="32" t="s">
        <v>89</v>
      </c>
      <c r="O71" s="32" t="s">
        <v>1195</v>
      </c>
      <c r="P71" s="32"/>
      <c r="Q71" s="32" t="s">
        <v>1377</v>
      </c>
      <c r="R71" s="58">
        <v>42899.0</v>
      </c>
      <c r="S71" s="32" t="s">
        <v>116</v>
      </c>
      <c r="T71" s="56" t="s">
        <v>1378</v>
      </c>
      <c r="U71" s="233" t="s">
        <v>1379</v>
      </c>
      <c r="V71" s="34" t="s">
        <v>80</v>
      </c>
      <c r="W71" s="172" t="s">
        <v>1380</v>
      </c>
      <c r="X71" s="198" t="s">
        <v>1381</v>
      </c>
      <c r="Y71" s="152" t="s">
        <v>1382</v>
      </c>
      <c r="Z71" s="32" t="s">
        <v>112</v>
      </c>
      <c r="AA71" s="38"/>
      <c r="AB71" s="32" t="s">
        <v>113</v>
      </c>
      <c r="AC71" s="60"/>
      <c r="AD71" s="66"/>
      <c r="AE71" s="30"/>
      <c r="AF71" s="54" t="s">
        <v>80</v>
      </c>
      <c r="AG71" s="56" t="s">
        <v>1384</v>
      </c>
      <c r="AH71" s="41"/>
      <c r="AI71" s="41"/>
      <c r="AJ71" s="41"/>
      <c r="AK71" s="58">
        <v>41869.0</v>
      </c>
      <c r="AL71" s="56" t="s">
        <v>1215</v>
      </c>
    </row>
    <row r="72" ht="22.5" customHeight="1">
      <c r="A72" s="238" t="s">
        <v>1386</v>
      </c>
      <c r="B72" s="37" t="s">
        <v>1393</v>
      </c>
      <c r="C72" s="32" t="s">
        <v>1394</v>
      </c>
      <c r="D72" s="41" t="s">
        <v>75</v>
      </c>
      <c r="E72" s="121" t="s">
        <v>1395</v>
      </c>
      <c r="F72" s="34" t="s">
        <v>140</v>
      </c>
      <c r="G72" s="34" t="s">
        <v>85</v>
      </c>
      <c r="H72" s="48">
        <v>42194.0</v>
      </c>
      <c r="I72" s="48">
        <v>42194.0</v>
      </c>
      <c r="J72" s="36"/>
      <c r="K72" s="32" t="s">
        <v>86</v>
      </c>
      <c r="L72" s="41" t="s">
        <v>115</v>
      </c>
      <c r="M72" s="63" t="s">
        <v>88</v>
      </c>
      <c r="N72" s="38" t="s">
        <v>89</v>
      </c>
      <c r="O72" s="32" t="s">
        <v>196</v>
      </c>
      <c r="P72" s="38"/>
      <c r="Q72" s="121" t="s">
        <v>1396</v>
      </c>
      <c r="R72" s="48"/>
      <c r="S72" s="32" t="s">
        <v>196</v>
      </c>
      <c r="T72" s="56" t="s">
        <v>1398</v>
      </c>
      <c r="U72" s="45" t="s">
        <v>1399</v>
      </c>
      <c r="V72" s="34" t="s">
        <v>80</v>
      </c>
      <c r="W72" s="60" t="s">
        <v>1401</v>
      </c>
      <c r="X72" s="149" t="s">
        <v>1402</v>
      </c>
      <c r="Y72" s="109" t="s">
        <v>1403</v>
      </c>
      <c r="Z72" s="32" t="s">
        <v>112</v>
      </c>
      <c r="AA72" s="32"/>
      <c r="AB72" s="32" t="s">
        <v>113</v>
      </c>
      <c r="AC72" s="60" t="s">
        <v>1406</v>
      </c>
      <c r="AD72" s="136">
        <v>42395.0</v>
      </c>
      <c r="AE72" s="30"/>
      <c r="AF72" s="34" t="s">
        <v>80</v>
      </c>
      <c r="AG72" s="56" t="s">
        <v>1407</v>
      </c>
      <c r="AH72" s="63" t="s">
        <v>193</v>
      </c>
      <c r="AI72" s="41"/>
      <c r="AJ72" s="41"/>
      <c r="AK72" s="58">
        <v>42307.0</v>
      </c>
      <c r="AL72" s="56" t="s">
        <v>208</v>
      </c>
    </row>
    <row r="73" ht="22.5" customHeight="1">
      <c r="A73" s="238" t="s">
        <v>1409</v>
      </c>
      <c r="B73" s="37" t="s">
        <v>1393</v>
      </c>
      <c r="C73" s="32" t="s">
        <v>1410</v>
      </c>
      <c r="D73" s="41" t="s">
        <v>75</v>
      </c>
      <c r="E73" s="121" t="s">
        <v>1411</v>
      </c>
      <c r="F73" s="34" t="s">
        <v>140</v>
      </c>
      <c r="G73" s="34" t="s">
        <v>85</v>
      </c>
      <c r="H73" s="48">
        <v>42194.0</v>
      </c>
      <c r="I73" s="48">
        <v>42194.0</v>
      </c>
      <c r="J73" s="36"/>
      <c r="K73" s="32" t="s">
        <v>70</v>
      </c>
      <c r="L73" s="41" t="s">
        <v>115</v>
      </c>
      <c r="M73" s="63" t="s">
        <v>218</v>
      </c>
      <c r="N73" s="38" t="s">
        <v>89</v>
      </c>
      <c r="O73" s="32" t="s">
        <v>196</v>
      </c>
      <c r="P73" s="32"/>
      <c r="Q73" s="121" t="s">
        <v>1396</v>
      </c>
      <c r="R73" s="36"/>
      <c r="S73" s="32" t="s">
        <v>196</v>
      </c>
      <c r="T73" s="56" t="s">
        <v>1412</v>
      </c>
      <c r="U73" s="45" t="s">
        <v>1413</v>
      </c>
      <c r="V73" s="34" t="s">
        <v>80</v>
      </c>
      <c r="W73" s="60" t="s">
        <v>1401</v>
      </c>
      <c r="X73" s="149" t="s">
        <v>1402</v>
      </c>
      <c r="Y73" s="109" t="s">
        <v>1403</v>
      </c>
      <c r="Z73" s="32" t="s">
        <v>112</v>
      </c>
      <c r="AA73" s="32"/>
      <c r="AB73" s="32" t="s">
        <v>113</v>
      </c>
      <c r="AC73" s="60" t="s">
        <v>1406</v>
      </c>
      <c r="AD73" s="136">
        <v>42395.0</v>
      </c>
      <c r="AE73" s="30"/>
      <c r="AF73" s="34" t="s">
        <v>80</v>
      </c>
      <c r="AG73" s="56" t="s">
        <v>1407</v>
      </c>
      <c r="AH73" s="139" t="s">
        <v>947</v>
      </c>
      <c r="AI73" s="41"/>
      <c r="AJ73" s="41"/>
      <c r="AK73" s="58">
        <v>42307.0</v>
      </c>
      <c r="AL73" s="56" t="s">
        <v>208</v>
      </c>
    </row>
    <row r="74" ht="22.5" customHeight="1">
      <c r="A74" s="238" t="s">
        <v>1420</v>
      </c>
      <c r="B74" s="37" t="s">
        <v>1393</v>
      </c>
      <c r="C74" s="32" t="s">
        <v>1421</v>
      </c>
      <c r="D74" s="41" t="s">
        <v>75</v>
      </c>
      <c r="E74" s="121" t="s">
        <v>1422</v>
      </c>
      <c r="F74" s="34" t="s">
        <v>140</v>
      </c>
      <c r="G74" s="34" t="s">
        <v>85</v>
      </c>
      <c r="H74" s="48">
        <v>42194.0</v>
      </c>
      <c r="I74" s="48">
        <v>42194.0</v>
      </c>
      <c r="J74" s="36"/>
      <c r="K74" s="32" t="s">
        <v>86</v>
      </c>
      <c r="L74" s="41" t="s">
        <v>115</v>
      </c>
      <c r="M74" s="63" t="s">
        <v>88</v>
      </c>
      <c r="N74" s="38" t="s">
        <v>89</v>
      </c>
      <c r="O74" s="32" t="s">
        <v>196</v>
      </c>
      <c r="P74" s="32"/>
      <c r="Q74" s="121" t="s">
        <v>1396</v>
      </c>
      <c r="R74" s="36"/>
      <c r="S74" s="32" t="s">
        <v>196</v>
      </c>
      <c r="T74" s="56" t="s">
        <v>1424</v>
      </c>
      <c r="U74" s="45" t="s">
        <v>1426</v>
      </c>
      <c r="V74" s="34" t="s">
        <v>80</v>
      </c>
      <c r="W74" s="60" t="s">
        <v>1401</v>
      </c>
      <c r="X74" s="149" t="s">
        <v>1402</v>
      </c>
      <c r="Y74" s="109" t="s">
        <v>1403</v>
      </c>
      <c r="Z74" s="32" t="s">
        <v>112</v>
      </c>
      <c r="AA74" s="32"/>
      <c r="AB74" s="32" t="s">
        <v>113</v>
      </c>
      <c r="AC74" s="60" t="s">
        <v>1427</v>
      </c>
      <c r="AD74" s="136">
        <v>42395.0</v>
      </c>
      <c r="AE74" s="30"/>
      <c r="AF74" s="34" t="s">
        <v>80</v>
      </c>
      <c r="AG74" s="56" t="s">
        <v>1407</v>
      </c>
      <c r="AH74" s="63" t="s">
        <v>193</v>
      </c>
      <c r="AI74" s="41"/>
      <c r="AJ74" s="41"/>
      <c r="AK74" s="58">
        <v>42307.0</v>
      </c>
      <c r="AL74" s="56" t="s">
        <v>208</v>
      </c>
    </row>
    <row r="75" ht="22.5" customHeight="1">
      <c r="A75" s="238" t="s">
        <v>1428</v>
      </c>
      <c r="B75" s="37" t="s">
        <v>1393</v>
      </c>
      <c r="C75" s="32" t="s">
        <v>1429</v>
      </c>
      <c r="D75" s="41" t="s">
        <v>75</v>
      </c>
      <c r="E75" s="121" t="s">
        <v>1430</v>
      </c>
      <c r="F75" s="34" t="s">
        <v>140</v>
      </c>
      <c r="G75" s="34" t="s">
        <v>85</v>
      </c>
      <c r="H75" s="48">
        <v>42194.0</v>
      </c>
      <c r="I75" s="48">
        <v>42194.0</v>
      </c>
      <c r="J75" s="36"/>
      <c r="K75" s="32" t="s">
        <v>70</v>
      </c>
      <c r="L75" s="41" t="s">
        <v>115</v>
      </c>
      <c r="M75" s="63" t="s">
        <v>218</v>
      </c>
      <c r="N75" s="38" t="s">
        <v>89</v>
      </c>
      <c r="O75" s="32" t="s">
        <v>196</v>
      </c>
      <c r="P75" s="32"/>
      <c r="Q75" s="121" t="s">
        <v>1396</v>
      </c>
      <c r="R75" s="36"/>
      <c r="S75" s="32" t="s">
        <v>196</v>
      </c>
      <c r="T75" s="56" t="s">
        <v>1431</v>
      </c>
      <c r="U75" s="45" t="s">
        <v>1432</v>
      </c>
      <c r="V75" s="34" t="s">
        <v>80</v>
      </c>
      <c r="W75" s="60" t="s">
        <v>1401</v>
      </c>
      <c r="X75" s="149" t="s">
        <v>1402</v>
      </c>
      <c r="Y75" s="109" t="s">
        <v>1403</v>
      </c>
      <c r="Z75" s="32" t="s">
        <v>112</v>
      </c>
      <c r="AA75" s="32"/>
      <c r="AB75" s="32" t="s">
        <v>113</v>
      </c>
      <c r="AC75" s="60" t="s">
        <v>1427</v>
      </c>
      <c r="AD75" s="136">
        <v>42395.0</v>
      </c>
      <c r="AE75" s="30"/>
      <c r="AF75" s="34" t="s">
        <v>80</v>
      </c>
      <c r="AG75" s="56" t="s">
        <v>1407</v>
      </c>
      <c r="AH75" s="139" t="s">
        <v>947</v>
      </c>
      <c r="AI75" s="41"/>
      <c r="AJ75" s="41"/>
      <c r="AK75" s="58">
        <v>42307.0</v>
      </c>
      <c r="AL75" s="56" t="s">
        <v>208</v>
      </c>
    </row>
    <row r="76" ht="22.5" customHeight="1">
      <c r="A76" s="238" t="s">
        <v>1438</v>
      </c>
      <c r="B76" s="37" t="s">
        <v>1393</v>
      </c>
      <c r="C76" s="32" t="s">
        <v>1439</v>
      </c>
      <c r="D76" s="41" t="s">
        <v>75</v>
      </c>
      <c r="E76" s="123" t="s">
        <v>1440</v>
      </c>
      <c r="F76" s="34" t="s">
        <v>140</v>
      </c>
      <c r="G76" s="34" t="s">
        <v>85</v>
      </c>
      <c r="H76" s="48">
        <v>42194.0</v>
      </c>
      <c r="I76" s="48">
        <v>42194.0</v>
      </c>
      <c r="J76" s="36"/>
      <c r="K76" s="32" t="s">
        <v>86</v>
      </c>
      <c r="L76" s="41" t="s">
        <v>115</v>
      </c>
      <c r="M76" s="42" t="s">
        <v>313</v>
      </c>
      <c r="N76" s="38" t="s">
        <v>89</v>
      </c>
      <c r="O76" s="32" t="s">
        <v>196</v>
      </c>
      <c r="P76" s="32"/>
      <c r="Q76" s="121" t="s">
        <v>1396</v>
      </c>
      <c r="R76" s="36">
        <v>43290.0</v>
      </c>
      <c r="S76" s="32" t="s">
        <v>196</v>
      </c>
      <c r="T76" s="56" t="s">
        <v>1441</v>
      </c>
      <c r="U76" s="45" t="s">
        <v>1442</v>
      </c>
      <c r="V76" s="34" t="s">
        <v>80</v>
      </c>
      <c r="W76" s="60" t="s">
        <v>1401</v>
      </c>
      <c r="X76" s="149" t="s">
        <v>1402</v>
      </c>
      <c r="Y76" s="109" t="s">
        <v>1403</v>
      </c>
      <c r="Z76" s="32" t="s">
        <v>112</v>
      </c>
      <c r="AA76" s="32"/>
      <c r="AB76" s="32" t="s">
        <v>113</v>
      </c>
      <c r="AC76" s="60" t="s">
        <v>1446</v>
      </c>
      <c r="AD76" s="136">
        <v>42395.0</v>
      </c>
      <c r="AE76" s="30"/>
      <c r="AF76" s="34" t="s">
        <v>74</v>
      </c>
      <c r="AG76" s="56" t="s">
        <v>1407</v>
      </c>
      <c r="AH76" s="34" t="s">
        <v>193</v>
      </c>
      <c r="AI76" s="41"/>
      <c r="AJ76" s="41"/>
      <c r="AK76" s="58">
        <v>42307.0</v>
      </c>
      <c r="AL76" s="56" t="s">
        <v>208</v>
      </c>
    </row>
    <row r="77" ht="22.5" customHeight="1">
      <c r="A77" s="238" t="s">
        <v>1447</v>
      </c>
      <c r="B77" s="37" t="s">
        <v>1393</v>
      </c>
      <c r="C77" s="32" t="s">
        <v>1448</v>
      </c>
      <c r="D77" s="41" t="s">
        <v>75</v>
      </c>
      <c r="E77" s="121" t="s">
        <v>1450</v>
      </c>
      <c r="F77" s="34" t="s">
        <v>140</v>
      </c>
      <c r="G77" s="34" t="s">
        <v>85</v>
      </c>
      <c r="H77" s="48">
        <v>42194.0</v>
      </c>
      <c r="I77" s="48">
        <v>42194.0</v>
      </c>
      <c r="J77" s="36"/>
      <c r="K77" s="32" t="s">
        <v>86</v>
      </c>
      <c r="L77" s="41" t="s">
        <v>115</v>
      </c>
      <c r="M77" s="42" t="s">
        <v>313</v>
      </c>
      <c r="N77" s="38" t="s">
        <v>89</v>
      </c>
      <c r="O77" s="32" t="s">
        <v>196</v>
      </c>
      <c r="P77" s="38"/>
      <c r="Q77" s="38" t="s">
        <v>1396</v>
      </c>
      <c r="R77" s="36">
        <v>43290.0</v>
      </c>
      <c r="S77" s="32" t="s">
        <v>196</v>
      </c>
      <c r="T77" s="56" t="s">
        <v>1455</v>
      </c>
      <c r="U77" s="45" t="s">
        <v>1456</v>
      </c>
      <c r="V77" s="34" t="s">
        <v>80</v>
      </c>
      <c r="W77" s="60" t="s">
        <v>1401</v>
      </c>
      <c r="X77" s="149" t="s">
        <v>1402</v>
      </c>
      <c r="Y77" s="109" t="s">
        <v>1403</v>
      </c>
      <c r="Z77" s="32" t="s">
        <v>112</v>
      </c>
      <c r="AA77" s="32"/>
      <c r="AB77" s="32" t="s">
        <v>113</v>
      </c>
      <c r="AC77" s="60" t="s">
        <v>1457</v>
      </c>
      <c r="AD77" s="136">
        <v>42395.0</v>
      </c>
      <c r="AE77" s="53"/>
      <c r="AF77" s="34" t="s">
        <v>74</v>
      </c>
      <c r="AG77" s="56" t="s">
        <v>1407</v>
      </c>
      <c r="AH77" s="34" t="s">
        <v>214</v>
      </c>
      <c r="AI77" s="41"/>
      <c r="AJ77" s="41"/>
      <c r="AK77" s="58">
        <v>42307.0</v>
      </c>
      <c r="AL77" s="56" t="s">
        <v>208</v>
      </c>
    </row>
    <row r="78" ht="22.5" customHeight="1">
      <c r="A78" s="238" t="s">
        <v>1460</v>
      </c>
      <c r="B78" s="37" t="s">
        <v>1008</v>
      </c>
      <c r="C78" s="32" t="s">
        <v>1009</v>
      </c>
      <c r="D78" s="34" t="s">
        <v>845</v>
      </c>
      <c r="E78" s="38" t="s">
        <v>1011</v>
      </c>
      <c r="F78" s="34" t="s">
        <v>140</v>
      </c>
      <c r="G78" s="34" t="s">
        <v>168</v>
      </c>
      <c r="H78" s="48">
        <v>42089.0</v>
      </c>
      <c r="I78" s="48">
        <v>42089.0</v>
      </c>
      <c r="J78" s="48">
        <v>42089.0</v>
      </c>
      <c r="K78" s="32" t="s">
        <v>86</v>
      </c>
      <c r="L78" s="41" t="s">
        <v>115</v>
      </c>
      <c r="M78" s="250" t="s">
        <v>383</v>
      </c>
      <c r="N78" s="38" t="s">
        <v>89</v>
      </c>
      <c r="O78" s="32" t="s">
        <v>142</v>
      </c>
      <c r="P78" s="38" t="s">
        <v>1050</v>
      </c>
      <c r="Q78" s="121" t="s">
        <v>1462</v>
      </c>
      <c r="R78" s="36">
        <v>42787.0</v>
      </c>
      <c r="S78" s="38" t="s">
        <v>1012</v>
      </c>
      <c r="T78" s="56" t="s">
        <v>1014</v>
      </c>
      <c r="U78" s="56" t="s">
        <v>1463</v>
      </c>
      <c r="V78" s="34" t="s">
        <v>80</v>
      </c>
      <c r="W78" s="60" t="s">
        <v>1016</v>
      </c>
      <c r="X78" s="32" t="s">
        <v>1017</v>
      </c>
      <c r="Y78" s="109" t="s">
        <v>1018</v>
      </c>
      <c r="Z78" s="32" t="s">
        <v>112</v>
      </c>
      <c r="AA78" s="32"/>
      <c r="AB78" s="32" t="s">
        <v>113</v>
      </c>
      <c r="AC78" s="68"/>
      <c r="AD78" s="66"/>
      <c r="AE78" s="53"/>
      <c r="AF78" s="34" t="s">
        <v>74</v>
      </c>
      <c r="AG78" s="56" t="s">
        <v>1020</v>
      </c>
      <c r="AH78" s="41"/>
      <c r="AI78" s="41"/>
      <c r="AJ78" s="41"/>
      <c r="AK78" s="58">
        <v>41261.0</v>
      </c>
      <c r="AL78" s="56" t="s">
        <v>262</v>
      </c>
    </row>
    <row r="79" ht="22.5" customHeight="1">
      <c r="A79" s="238" t="s">
        <v>1467</v>
      </c>
      <c r="B79" s="37" t="s">
        <v>69</v>
      </c>
      <c r="C79" s="32" t="s">
        <v>90</v>
      </c>
      <c r="D79" s="39" t="s">
        <v>91</v>
      </c>
      <c r="E79" s="38" t="s">
        <v>92</v>
      </c>
      <c r="F79" s="34" t="s">
        <v>93</v>
      </c>
      <c r="G79" s="34" t="s">
        <v>168</v>
      </c>
      <c r="H79" s="48">
        <v>42024.0</v>
      </c>
      <c r="I79" s="48">
        <v>41942.0</v>
      </c>
      <c r="J79" s="48">
        <v>42024.0</v>
      </c>
      <c r="K79" s="32" t="s">
        <v>86</v>
      </c>
      <c r="L79" s="41" t="s">
        <v>115</v>
      </c>
      <c r="M79" s="121" t="s">
        <v>88</v>
      </c>
      <c r="N79" s="38" t="s">
        <v>89</v>
      </c>
      <c r="O79" s="32" t="s">
        <v>1023</v>
      </c>
      <c r="P79" s="38"/>
      <c r="Q79" s="38" t="s">
        <v>1334</v>
      </c>
      <c r="R79" s="48">
        <v>43120.0</v>
      </c>
      <c r="S79" s="32" t="s">
        <v>116</v>
      </c>
      <c r="T79" s="56" t="s">
        <v>118</v>
      </c>
      <c r="U79" s="203" t="s">
        <v>1472</v>
      </c>
      <c r="V79" s="34" t="s">
        <v>80</v>
      </c>
      <c r="W79" s="60" t="s">
        <v>122</v>
      </c>
      <c r="X79" s="60" t="s">
        <v>130</v>
      </c>
      <c r="Y79" s="45" t="s">
        <v>131</v>
      </c>
      <c r="Z79" s="32" t="s">
        <v>112</v>
      </c>
      <c r="AA79" s="32"/>
      <c r="AB79" s="60" t="s">
        <v>113</v>
      </c>
      <c r="AC79" s="60"/>
      <c r="AD79" s="66"/>
      <c r="AE79" s="53"/>
      <c r="AF79" s="34" t="s">
        <v>80</v>
      </c>
      <c r="AG79" s="56" t="s">
        <v>159</v>
      </c>
      <c r="AH79" s="41"/>
      <c r="AI79" s="41"/>
      <c r="AJ79" s="41"/>
      <c r="AK79" s="58">
        <v>41100.0</v>
      </c>
      <c r="AL79" s="56" t="s">
        <v>1028</v>
      </c>
    </row>
    <row r="80" ht="22.5" customHeight="1">
      <c r="A80" s="238" t="s">
        <v>1476</v>
      </c>
      <c r="B80" s="37" t="s">
        <v>69</v>
      </c>
      <c r="C80" s="32" t="s">
        <v>90</v>
      </c>
      <c r="D80" s="39" t="s">
        <v>91</v>
      </c>
      <c r="E80" s="38" t="s">
        <v>92</v>
      </c>
      <c r="F80" s="34" t="s">
        <v>93</v>
      </c>
      <c r="G80" s="34" t="s">
        <v>168</v>
      </c>
      <c r="H80" s="48">
        <v>41989.0</v>
      </c>
      <c r="I80" s="48">
        <v>41989.0</v>
      </c>
      <c r="J80" s="36"/>
      <c r="K80" s="32" t="s">
        <v>86</v>
      </c>
      <c r="L80" s="41" t="s">
        <v>115</v>
      </c>
      <c r="M80" s="121" t="s">
        <v>88</v>
      </c>
      <c r="N80" s="38" t="s">
        <v>89</v>
      </c>
      <c r="O80" s="32" t="s">
        <v>220</v>
      </c>
      <c r="P80" s="38"/>
      <c r="Q80" s="38" t="s">
        <v>1478</v>
      </c>
      <c r="R80" s="48"/>
      <c r="S80" s="32" t="s">
        <v>116</v>
      </c>
      <c r="T80" s="56" t="s">
        <v>118</v>
      </c>
      <c r="U80" s="45" t="s">
        <v>1479</v>
      </c>
      <c r="V80" s="34" t="s">
        <v>80</v>
      </c>
      <c r="W80" s="60" t="s">
        <v>122</v>
      </c>
      <c r="X80" s="60" t="s">
        <v>130</v>
      </c>
      <c r="Y80" s="45" t="s">
        <v>131</v>
      </c>
      <c r="Z80" s="32" t="s">
        <v>112</v>
      </c>
      <c r="AA80" s="32"/>
      <c r="AB80" s="60" t="s">
        <v>113</v>
      </c>
      <c r="AC80" s="60"/>
      <c r="AD80" s="66"/>
      <c r="AE80" s="53"/>
      <c r="AF80" s="34" t="s">
        <v>74</v>
      </c>
      <c r="AG80" s="56" t="s">
        <v>159</v>
      </c>
      <c r="AH80" s="41"/>
      <c r="AI80" s="41"/>
      <c r="AJ80" s="41"/>
      <c r="AK80" s="58">
        <v>41100.0</v>
      </c>
      <c r="AL80" s="56" t="s">
        <v>232</v>
      </c>
    </row>
    <row r="81" ht="22.5" customHeight="1">
      <c r="A81" s="238" t="s">
        <v>1482</v>
      </c>
      <c r="B81" s="37" t="s">
        <v>69</v>
      </c>
      <c r="C81" s="32" t="s">
        <v>90</v>
      </c>
      <c r="D81" s="39" t="s">
        <v>91</v>
      </c>
      <c r="E81" s="38" t="s">
        <v>92</v>
      </c>
      <c r="F81" s="34" t="s">
        <v>93</v>
      </c>
      <c r="G81" s="34" t="s">
        <v>168</v>
      </c>
      <c r="H81" s="48">
        <v>42089.0</v>
      </c>
      <c r="I81" s="48">
        <v>42089.0</v>
      </c>
      <c r="J81" s="48">
        <v>42089.0</v>
      </c>
      <c r="K81" s="32" t="s">
        <v>86</v>
      </c>
      <c r="L81" s="41" t="s">
        <v>115</v>
      </c>
      <c r="M81" s="121" t="s">
        <v>88</v>
      </c>
      <c r="N81" s="38" t="s">
        <v>89</v>
      </c>
      <c r="O81" s="32" t="s">
        <v>142</v>
      </c>
      <c r="P81" s="38" t="s">
        <v>1050</v>
      </c>
      <c r="Q81" s="38" t="s">
        <v>1462</v>
      </c>
      <c r="R81" s="48">
        <v>42608.0</v>
      </c>
      <c r="S81" s="32" t="s">
        <v>116</v>
      </c>
      <c r="T81" s="56" t="s">
        <v>118</v>
      </c>
      <c r="U81" s="56" t="s">
        <v>1483</v>
      </c>
      <c r="V81" s="34" t="s">
        <v>80</v>
      </c>
      <c r="W81" s="60" t="s">
        <v>122</v>
      </c>
      <c r="X81" s="60" t="s">
        <v>130</v>
      </c>
      <c r="Y81" s="45" t="s">
        <v>131</v>
      </c>
      <c r="Z81" s="32" t="s">
        <v>112</v>
      </c>
      <c r="AA81" s="32"/>
      <c r="AB81" s="60" t="s">
        <v>113</v>
      </c>
      <c r="AC81" s="60"/>
      <c r="AD81" s="66"/>
      <c r="AE81" s="30" t="s">
        <v>1484</v>
      </c>
      <c r="AF81" s="34" t="s">
        <v>80</v>
      </c>
      <c r="AG81" s="56" t="s">
        <v>159</v>
      </c>
      <c r="AH81" s="41"/>
      <c r="AI81" s="41"/>
      <c r="AJ81" s="41"/>
      <c r="AK81" s="58">
        <v>41100.0</v>
      </c>
      <c r="AL81" s="56" t="s">
        <v>262</v>
      </c>
    </row>
    <row r="82" ht="22.5" customHeight="1">
      <c r="A82" s="238" t="s">
        <v>1487</v>
      </c>
      <c r="B82" s="37" t="s">
        <v>69</v>
      </c>
      <c r="C82" s="32" t="s">
        <v>90</v>
      </c>
      <c r="D82" s="39" t="s">
        <v>91</v>
      </c>
      <c r="E82" s="38" t="s">
        <v>92</v>
      </c>
      <c r="F82" s="34" t="s">
        <v>93</v>
      </c>
      <c r="G82" s="34" t="s">
        <v>168</v>
      </c>
      <c r="H82" s="48">
        <v>42277.0</v>
      </c>
      <c r="I82" s="48">
        <v>42277.0</v>
      </c>
      <c r="J82" s="48"/>
      <c r="K82" s="32" t="s">
        <v>70</v>
      </c>
      <c r="L82" s="41" t="s">
        <v>115</v>
      </c>
      <c r="M82" s="121" t="s">
        <v>88</v>
      </c>
      <c r="N82" s="38" t="s">
        <v>89</v>
      </c>
      <c r="O82" s="32" t="s">
        <v>994</v>
      </c>
      <c r="P82" s="38"/>
      <c r="Q82" s="38" t="s">
        <v>1488</v>
      </c>
      <c r="R82" s="48">
        <v>43373.0</v>
      </c>
      <c r="S82" s="32" t="s">
        <v>116</v>
      </c>
      <c r="T82" s="56" t="s">
        <v>118</v>
      </c>
      <c r="U82" s="109" t="s">
        <v>1490</v>
      </c>
      <c r="V82" s="34" t="s">
        <v>80</v>
      </c>
      <c r="W82" s="60" t="s">
        <v>122</v>
      </c>
      <c r="X82" s="60" t="s">
        <v>130</v>
      </c>
      <c r="Y82" s="45" t="s">
        <v>131</v>
      </c>
      <c r="Z82" s="32" t="s">
        <v>112</v>
      </c>
      <c r="AA82" s="32"/>
      <c r="AB82" s="60" t="s">
        <v>113</v>
      </c>
      <c r="AC82" s="60"/>
      <c r="AD82" s="66"/>
      <c r="AE82" s="53"/>
      <c r="AF82" s="34" t="s">
        <v>80</v>
      </c>
      <c r="AG82" s="56" t="s">
        <v>159</v>
      </c>
      <c r="AH82" s="41"/>
      <c r="AI82" s="41"/>
      <c r="AJ82" s="41"/>
      <c r="AK82" s="58">
        <v>41100.0</v>
      </c>
      <c r="AL82" s="56" t="s">
        <v>1006</v>
      </c>
    </row>
    <row r="83" ht="22.5" customHeight="1">
      <c r="A83" s="238" t="s">
        <v>1493</v>
      </c>
      <c r="B83" s="63" t="s">
        <v>190</v>
      </c>
      <c r="C83" s="32" t="s">
        <v>191</v>
      </c>
      <c r="D83" s="34" t="s">
        <v>752</v>
      </c>
      <c r="E83" s="38" t="s">
        <v>193</v>
      </c>
      <c r="F83" s="54" t="s">
        <v>93</v>
      </c>
      <c r="G83" s="34" t="s">
        <v>168</v>
      </c>
      <c r="H83" s="48">
        <v>42024.0</v>
      </c>
      <c r="I83" s="48">
        <v>41962.0</v>
      </c>
      <c r="J83" s="48">
        <v>42024.0</v>
      </c>
      <c r="K83" s="32" t="s">
        <v>86</v>
      </c>
      <c r="L83" s="41" t="s">
        <v>115</v>
      </c>
      <c r="M83" s="63" t="s">
        <v>88</v>
      </c>
      <c r="N83" s="38" t="s">
        <v>89</v>
      </c>
      <c r="O83" s="32" t="s">
        <v>1023</v>
      </c>
      <c r="P83" s="38"/>
      <c r="Q83" s="38" t="s">
        <v>1334</v>
      </c>
      <c r="R83" s="48">
        <v>43120.0</v>
      </c>
      <c r="S83" s="57" t="s">
        <v>116</v>
      </c>
      <c r="T83" s="56" t="s">
        <v>198</v>
      </c>
      <c r="U83" s="45" t="s">
        <v>1495</v>
      </c>
      <c r="V83" s="34" t="s">
        <v>80</v>
      </c>
      <c r="W83" s="32" t="s">
        <v>201</v>
      </c>
      <c r="X83" s="32" t="s">
        <v>202</v>
      </c>
      <c r="Y83" s="45" t="s">
        <v>203</v>
      </c>
      <c r="Z83" s="32" t="s">
        <v>112</v>
      </c>
      <c r="AA83" s="32"/>
      <c r="AB83" s="32" t="s">
        <v>113</v>
      </c>
      <c r="AC83" s="60"/>
      <c r="AD83" s="66"/>
      <c r="AE83" s="53"/>
      <c r="AF83" s="34" t="s">
        <v>80</v>
      </c>
      <c r="AG83" s="56" t="s">
        <v>206</v>
      </c>
      <c r="AH83" s="41"/>
      <c r="AI83" s="41"/>
      <c r="AJ83" s="41"/>
      <c r="AK83" s="58">
        <v>41215.0</v>
      </c>
      <c r="AL83" s="56" t="s">
        <v>1028</v>
      </c>
    </row>
    <row r="84" ht="22.5" customHeight="1">
      <c r="A84" s="238" t="s">
        <v>1497</v>
      </c>
      <c r="B84" s="63" t="s">
        <v>190</v>
      </c>
      <c r="C84" s="32" t="s">
        <v>191</v>
      </c>
      <c r="D84" s="34" t="s">
        <v>752</v>
      </c>
      <c r="E84" s="38" t="s">
        <v>193</v>
      </c>
      <c r="F84" s="54" t="s">
        <v>93</v>
      </c>
      <c r="G84" s="34" t="s">
        <v>168</v>
      </c>
      <c r="H84" s="48">
        <v>41968.0</v>
      </c>
      <c r="I84" s="48">
        <v>41968.0</v>
      </c>
      <c r="J84" s="36"/>
      <c r="K84" s="32" t="s">
        <v>70</v>
      </c>
      <c r="L84" s="41" t="s">
        <v>115</v>
      </c>
      <c r="M84" s="63" t="s">
        <v>88</v>
      </c>
      <c r="N84" s="38" t="s">
        <v>89</v>
      </c>
      <c r="O84" s="32" t="s">
        <v>994</v>
      </c>
      <c r="P84" s="32" t="s">
        <v>1501</v>
      </c>
      <c r="Q84" s="38" t="s">
        <v>1488</v>
      </c>
      <c r="R84" s="48"/>
      <c r="S84" s="57" t="s">
        <v>116</v>
      </c>
      <c r="T84" s="56" t="s">
        <v>198</v>
      </c>
      <c r="U84" s="45" t="s">
        <v>1502</v>
      </c>
      <c r="V84" s="34" t="s">
        <v>80</v>
      </c>
      <c r="W84" s="32" t="s">
        <v>201</v>
      </c>
      <c r="X84" s="32" t="s">
        <v>202</v>
      </c>
      <c r="Y84" s="45" t="s">
        <v>203</v>
      </c>
      <c r="Z84" s="32" t="s">
        <v>112</v>
      </c>
      <c r="AA84" s="32"/>
      <c r="AB84" s="32" t="s">
        <v>113</v>
      </c>
      <c r="AC84" s="60"/>
      <c r="AD84" s="66"/>
      <c r="AE84" s="53"/>
      <c r="AF84" s="34" t="s">
        <v>80</v>
      </c>
      <c r="AG84" s="56" t="s">
        <v>206</v>
      </c>
      <c r="AH84" s="41"/>
      <c r="AI84" s="41"/>
      <c r="AJ84" s="41"/>
      <c r="AK84" s="58">
        <v>41215.0</v>
      </c>
      <c r="AL84" s="56" t="s">
        <v>1006</v>
      </c>
    </row>
    <row r="85" ht="22.5" customHeight="1">
      <c r="A85" s="238" t="s">
        <v>1507</v>
      </c>
      <c r="B85" s="63" t="s">
        <v>190</v>
      </c>
      <c r="C85" s="32" t="s">
        <v>191</v>
      </c>
      <c r="D85" s="34" t="s">
        <v>752</v>
      </c>
      <c r="E85" s="38" t="s">
        <v>193</v>
      </c>
      <c r="F85" s="54" t="s">
        <v>93</v>
      </c>
      <c r="G85" s="34" t="s">
        <v>168</v>
      </c>
      <c r="H85" s="48">
        <v>41997.0</v>
      </c>
      <c r="I85" s="36"/>
      <c r="J85" s="48">
        <v>41997.0</v>
      </c>
      <c r="K85" s="32" t="s">
        <v>70</v>
      </c>
      <c r="L85" s="41" t="s">
        <v>115</v>
      </c>
      <c r="M85" s="63" t="s">
        <v>88</v>
      </c>
      <c r="N85" s="38" t="s">
        <v>89</v>
      </c>
      <c r="O85" s="32" t="s">
        <v>1012</v>
      </c>
      <c r="P85" s="38"/>
      <c r="Q85" s="38" t="s">
        <v>1511</v>
      </c>
      <c r="R85" s="36"/>
      <c r="S85" s="57" t="s">
        <v>116</v>
      </c>
      <c r="T85" s="56" t="s">
        <v>198</v>
      </c>
      <c r="U85" s="45" t="s">
        <v>1512</v>
      </c>
      <c r="V85" s="34" t="s">
        <v>80</v>
      </c>
      <c r="W85" s="32" t="s">
        <v>201</v>
      </c>
      <c r="X85" s="32" t="s">
        <v>202</v>
      </c>
      <c r="Y85" s="45" t="s">
        <v>203</v>
      </c>
      <c r="Z85" s="32" t="s">
        <v>112</v>
      </c>
      <c r="AA85" s="32"/>
      <c r="AB85" s="32" t="s">
        <v>113</v>
      </c>
      <c r="AC85" s="60"/>
      <c r="AD85" s="66"/>
      <c r="AE85" s="53"/>
      <c r="AF85" s="34" t="s">
        <v>80</v>
      </c>
      <c r="AG85" s="56" t="s">
        <v>206</v>
      </c>
      <c r="AH85" s="41"/>
      <c r="AI85" s="41"/>
      <c r="AJ85" s="41"/>
      <c r="AK85" s="58">
        <v>41215.0</v>
      </c>
      <c r="AL85" s="56" t="s">
        <v>1021</v>
      </c>
    </row>
    <row r="86" ht="22.5" customHeight="1">
      <c r="A86" s="238" t="s">
        <v>1517</v>
      </c>
      <c r="B86" s="63" t="s">
        <v>190</v>
      </c>
      <c r="C86" s="32" t="s">
        <v>191</v>
      </c>
      <c r="D86" s="34" t="s">
        <v>752</v>
      </c>
      <c r="E86" s="38" t="s">
        <v>193</v>
      </c>
      <c r="F86" s="54" t="s">
        <v>93</v>
      </c>
      <c r="G86" s="34" t="s">
        <v>168</v>
      </c>
      <c r="H86" s="48">
        <v>42067.0</v>
      </c>
      <c r="I86" s="48">
        <v>42067.0</v>
      </c>
      <c r="J86" s="36"/>
      <c r="K86" s="32" t="s">
        <v>86</v>
      </c>
      <c r="L86" s="41" t="s">
        <v>115</v>
      </c>
      <c r="M86" s="63" t="s">
        <v>88</v>
      </c>
      <c r="N86" s="38" t="s">
        <v>89</v>
      </c>
      <c r="O86" s="32" t="s">
        <v>1520</v>
      </c>
      <c r="P86" s="38"/>
      <c r="Q86" s="38" t="s">
        <v>1521</v>
      </c>
      <c r="R86" s="48">
        <v>43163.0</v>
      </c>
      <c r="S86" s="57" t="s">
        <v>116</v>
      </c>
      <c r="T86" s="56" t="s">
        <v>198</v>
      </c>
      <c r="U86" s="45" t="s">
        <v>1526</v>
      </c>
      <c r="V86" s="34" t="s">
        <v>80</v>
      </c>
      <c r="W86" s="32" t="s">
        <v>201</v>
      </c>
      <c r="X86" s="32" t="s">
        <v>202</v>
      </c>
      <c r="Y86" s="45" t="s">
        <v>203</v>
      </c>
      <c r="Z86" s="32" t="s">
        <v>112</v>
      </c>
      <c r="AA86" s="32"/>
      <c r="AB86" s="32" t="s">
        <v>113</v>
      </c>
      <c r="AC86" s="60"/>
      <c r="AD86" s="66"/>
      <c r="AE86" s="30" t="s">
        <v>1529</v>
      </c>
      <c r="AF86" s="34" t="s">
        <v>74</v>
      </c>
      <c r="AG86" s="56" t="s">
        <v>206</v>
      </c>
      <c r="AH86" s="41"/>
      <c r="AI86" s="41"/>
      <c r="AJ86" s="41"/>
      <c r="AK86" s="58">
        <v>41215.0</v>
      </c>
      <c r="AL86" s="56" t="s">
        <v>1530</v>
      </c>
    </row>
    <row r="87" ht="22.5" customHeight="1">
      <c r="A87" s="238" t="s">
        <v>1533</v>
      </c>
      <c r="B87" s="63" t="s">
        <v>190</v>
      </c>
      <c r="C87" s="32" t="s">
        <v>191</v>
      </c>
      <c r="D87" s="34" t="s">
        <v>752</v>
      </c>
      <c r="E87" s="38" t="s">
        <v>193</v>
      </c>
      <c r="F87" s="54" t="s">
        <v>93</v>
      </c>
      <c r="G87" s="34" t="s">
        <v>168</v>
      </c>
      <c r="H87" s="48">
        <v>42089.0</v>
      </c>
      <c r="I87" s="48">
        <v>42089.0</v>
      </c>
      <c r="J87" s="48">
        <v>42089.0</v>
      </c>
      <c r="K87" s="32" t="s">
        <v>86</v>
      </c>
      <c r="L87" s="41" t="s">
        <v>115</v>
      </c>
      <c r="M87" s="63" t="s">
        <v>88</v>
      </c>
      <c r="N87" s="38" t="s">
        <v>89</v>
      </c>
      <c r="O87" s="32" t="s">
        <v>142</v>
      </c>
      <c r="P87" s="38" t="s">
        <v>1050</v>
      </c>
      <c r="Q87" s="38" t="s">
        <v>1462</v>
      </c>
      <c r="R87" s="36">
        <v>42503.0</v>
      </c>
      <c r="S87" s="57" t="s">
        <v>116</v>
      </c>
      <c r="T87" s="56" t="s">
        <v>198</v>
      </c>
      <c r="U87" s="56" t="s">
        <v>1536</v>
      </c>
      <c r="V87" s="34" t="s">
        <v>80</v>
      </c>
      <c r="W87" s="32" t="s">
        <v>201</v>
      </c>
      <c r="X87" s="32" t="s">
        <v>202</v>
      </c>
      <c r="Y87" s="45" t="s">
        <v>203</v>
      </c>
      <c r="Z87" s="32" t="s">
        <v>112</v>
      </c>
      <c r="AA87" s="32"/>
      <c r="AB87" s="32" t="s">
        <v>113</v>
      </c>
      <c r="AC87" s="60"/>
      <c r="AD87" s="66"/>
      <c r="AE87" s="57" t="s">
        <v>1343</v>
      </c>
      <c r="AF87" s="34" t="s">
        <v>74</v>
      </c>
      <c r="AG87" s="56" t="s">
        <v>206</v>
      </c>
      <c r="AH87" s="41"/>
      <c r="AI87" s="41"/>
      <c r="AJ87" s="41"/>
      <c r="AK87" s="58">
        <v>41215.0</v>
      </c>
      <c r="AL87" s="56" t="s">
        <v>262</v>
      </c>
    </row>
    <row r="88" ht="22.5" customHeight="1">
      <c r="A88" s="238" t="s">
        <v>1539</v>
      </c>
      <c r="B88" s="63" t="s">
        <v>190</v>
      </c>
      <c r="C88" s="32" t="s">
        <v>191</v>
      </c>
      <c r="D88" s="34" t="s">
        <v>752</v>
      </c>
      <c r="E88" s="38" t="s">
        <v>193</v>
      </c>
      <c r="F88" s="54" t="s">
        <v>93</v>
      </c>
      <c r="G88" s="34" t="s">
        <v>168</v>
      </c>
      <c r="H88" s="48">
        <v>42242.0</v>
      </c>
      <c r="I88" s="48">
        <v>42242.0</v>
      </c>
      <c r="J88" s="36"/>
      <c r="K88" s="32" t="s">
        <v>70</v>
      </c>
      <c r="L88" s="41" t="s">
        <v>115</v>
      </c>
      <c r="M88" s="63" t="s">
        <v>88</v>
      </c>
      <c r="N88" s="38" t="s">
        <v>89</v>
      </c>
      <c r="O88" s="32" t="s">
        <v>954</v>
      </c>
      <c r="P88" s="38" t="s">
        <v>1283</v>
      </c>
      <c r="Q88" s="32" t="s">
        <v>1284</v>
      </c>
      <c r="R88" s="48">
        <v>43338.0</v>
      </c>
      <c r="S88" s="57" t="s">
        <v>116</v>
      </c>
      <c r="T88" s="56" t="s">
        <v>198</v>
      </c>
      <c r="U88" s="45" t="s">
        <v>1542</v>
      </c>
      <c r="V88" s="34" t="s">
        <v>80</v>
      </c>
      <c r="W88" s="32" t="s">
        <v>201</v>
      </c>
      <c r="X88" s="32" t="s">
        <v>202</v>
      </c>
      <c r="Y88" s="45" t="s">
        <v>203</v>
      </c>
      <c r="Z88" s="32" t="s">
        <v>112</v>
      </c>
      <c r="AA88" s="32"/>
      <c r="AB88" s="32" t="s">
        <v>113</v>
      </c>
      <c r="AC88" s="60"/>
      <c r="AD88" s="66"/>
      <c r="AE88" s="53"/>
      <c r="AF88" s="34" t="s">
        <v>80</v>
      </c>
      <c r="AG88" s="56" t="s">
        <v>206</v>
      </c>
      <c r="AH88" s="41"/>
      <c r="AI88" s="41"/>
      <c r="AJ88" s="41"/>
      <c r="AK88" s="58">
        <v>41215.0</v>
      </c>
      <c r="AL88" s="56" t="s">
        <v>965</v>
      </c>
    </row>
    <row r="89" ht="22.5" customHeight="1">
      <c r="A89" s="238" t="s">
        <v>1545</v>
      </c>
      <c r="B89" s="63" t="s">
        <v>190</v>
      </c>
      <c r="C89" s="32" t="s">
        <v>191</v>
      </c>
      <c r="D89" s="34" t="s">
        <v>752</v>
      </c>
      <c r="E89" s="38" t="s">
        <v>193</v>
      </c>
      <c r="F89" s="54" t="s">
        <v>93</v>
      </c>
      <c r="G89" s="34" t="s">
        <v>168</v>
      </c>
      <c r="H89" s="48">
        <v>42181.0</v>
      </c>
      <c r="I89" s="48">
        <v>42181.0</v>
      </c>
      <c r="J89" s="36"/>
      <c r="K89" s="32" t="s">
        <v>70</v>
      </c>
      <c r="L89" s="41" t="s">
        <v>115</v>
      </c>
      <c r="M89" s="63" t="s">
        <v>88</v>
      </c>
      <c r="N89" s="38" t="s">
        <v>89</v>
      </c>
      <c r="O89" s="32" t="s">
        <v>1547</v>
      </c>
      <c r="P89" s="38"/>
      <c r="Q89" s="38" t="s">
        <v>1548</v>
      </c>
      <c r="R89" s="36"/>
      <c r="S89" s="57" t="s">
        <v>116</v>
      </c>
      <c r="T89" s="56" t="s">
        <v>198</v>
      </c>
      <c r="U89" s="45" t="s">
        <v>1549</v>
      </c>
      <c r="V89" s="34" t="s">
        <v>74</v>
      </c>
      <c r="W89" s="32" t="s">
        <v>201</v>
      </c>
      <c r="X89" s="32" t="s">
        <v>202</v>
      </c>
      <c r="Y89" s="45" t="s">
        <v>203</v>
      </c>
      <c r="Z89" s="32" t="s">
        <v>112</v>
      </c>
      <c r="AA89" s="32"/>
      <c r="AB89" s="32" t="s">
        <v>113</v>
      </c>
      <c r="AC89" s="60"/>
      <c r="AD89" s="66"/>
      <c r="AE89" s="53"/>
      <c r="AF89" s="34" t="s">
        <v>80</v>
      </c>
      <c r="AG89" s="56" t="s">
        <v>206</v>
      </c>
      <c r="AH89" s="41"/>
      <c r="AI89" s="41"/>
      <c r="AJ89" s="41"/>
      <c r="AK89" s="58">
        <v>41215.0</v>
      </c>
      <c r="AL89" s="56" t="s">
        <v>1552</v>
      </c>
    </row>
    <row r="90" ht="22.5" customHeight="1">
      <c r="A90" s="238" t="s">
        <v>1553</v>
      </c>
      <c r="B90" s="63" t="s">
        <v>1554</v>
      </c>
      <c r="C90" s="57" t="s">
        <v>1555</v>
      </c>
      <c r="D90" s="54" t="s">
        <v>75</v>
      </c>
      <c r="E90" s="57" t="s">
        <v>1556</v>
      </c>
      <c r="F90" s="54" t="s">
        <v>140</v>
      </c>
      <c r="G90" s="54" t="s">
        <v>85</v>
      </c>
      <c r="H90" s="48">
        <v>42271.0</v>
      </c>
      <c r="I90" s="48">
        <v>42271.0</v>
      </c>
      <c r="J90" s="36"/>
      <c r="K90" s="32" t="s">
        <v>70</v>
      </c>
      <c r="L90" s="54" t="s">
        <v>141</v>
      </c>
      <c r="M90" s="63" t="s">
        <v>218</v>
      </c>
      <c r="N90" s="32" t="s">
        <v>1404</v>
      </c>
      <c r="O90" s="57" t="s">
        <v>954</v>
      </c>
      <c r="P90" s="57" t="s">
        <v>955</v>
      </c>
      <c r="Q90" s="57" t="s">
        <v>1558</v>
      </c>
      <c r="R90" s="48"/>
      <c r="S90" s="57" t="s">
        <v>954</v>
      </c>
      <c r="T90" s="38"/>
      <c r="U90" s="45" t="s">
        <v>1560</v>
      </c>
      <c r="V90" s="54" t="s">
        <v>80</v>
      </c>
      <c r="W90" s="57" t="s">
        <v>1561</v>
      </c>
      <c r="X90" s="57" t="s">
        <v>1562</v>
      </c>
      <c r="Y90" s="254" t="s">
        <v>1563</v>
      </c>
      <c r="Z90" s="32" t="s">
        <v>112</v>
      </c>
      <c r="AA90" s="47"/>
      <c r="AB90" s="57" t="s">
        <v>481</v>
      </c>
      <c r="AC90" s="255" t="s">
        <v>1568</v>
      </c>
      <c r="AD90" s="66"/>
      <c r="AE90" s="53"/>
      <c r="AF90" s="34" t="s">
        <v>80</v>
      </c>
      <c r="AG90" s="56" t="s">
        <v>1571</v>
      </c>
      <c r="AH90" s="47"/>
      <c r="AI90" s="58"/>
      <c r="AJ90" s="77"/>
      <c r="AK90" s="83">
        <v>41981.0</v>
      </c>
      <c r="AL90" s="56" t="s">
        <v>965</v>
      </c>
    </row>
    <row r="91" ht="22.5" customHeight="1">
      <c r="A91" s="238" t="s">
        <v>1573</v>
      </c>
      <c r="B91" s="63" t="s">
        <v>190</v>
      </c>
      <c r="C91" s="149" t="s">
        <v>211</v>
      </c>
      <c r="D91" s="34" t="s">
        <v>752</v>
      </c>
      <c r="E91" s="32" t="s">
        <v>947</v>
      </c>
      <c r="F91" s="34" t="s">
        <v>93</v>
      </c>
      <c r="G91" s="34" t="s">
        <v>168</v>
      </c>
      <c r="H91" s="48">
        <v>41936.0</v>
      </c>
      <c r="I91" s="48">
        <v>41936.0</v>
      </c>
      <c r="J91" s="36"/>
      <c r="K91" s="32" t="s">
        <v>70</v>
      </c>
      <c r="L91" s="41" t="s">
        <v>115</v>
      </c>
      <c r="M91" s="63" t="s">
        <v>218</v>
      </c>
      <c r="N91" s="32" t="s">
        <v>434</v>
      </c>
      <c r="O91" s="32" t="s">
        <v>1574</v>
      </c>
      <c r="P91" s="38"/>
      <c r="Q91" s="38" t="s">
        <v>1575</v>
      </c>
      <c r="R91" s="48"/>
      <c r="S91" s="32" t="s">
        <v>116</v>
      </c>
      <c r="T91" s="56" t="s">
        <v>248</v>
      </c>
      <c r="U91" s="45" t="s">
        <v>1578</v>
      </c>
      <c r="V91" s="34" t="s">
        <v>74</v>
      </c>
      <c r="W91" s="32" t="s">
        <v>201</v>
      </c>
      <c r="X91" s="32" t="s">
        <v>202</v>
      </c>
      <c r="Y91" s="45" t="s">
        <v>203</v>
      </c>
      <c r="Z91" s="32" t="s">
        <v>112</v>
      </c>
      <c r="AA91" s="32"/>
      <c r="AB91" s="32" t="s">
        <v>113</v>
      </c>
      <c r="AC91" s="60"/>
      <c r="AD91" s="192"/>
      <c r="AE91" s="53"/>
      <c r="AF91" s="34" t="s">
        <v>80</v>
      </c>
      <c r="AG91" s="56" t="s">
        <v>206</v>
      </c>
      <c r="AH91" s="41"/>
      <c r="AI91" s="41"/>
      <c r="AJ91" s="41"/>
      <c r="AK91" s="58">
        <v>42212.0</v>
      </c>
      <c r="AL91" s="56" t="s">
        <v>1579</v>
      </c>
    </row>
    <row r="92" ht="22.5" customHeight="1">
      <c r="A92" s="238" t="s">
        <v>1580</v>
      </c>
      <c r="B92" s="63" t="s">
        <v>190</v>
      </c>
      <c r="C92" s="32" t="s">
        <v>211</v>
      </c>
      <c r="D92" s="39" t="s">
        <v>91</v>
      </c>
      <c r="E92" s="38" t="s">
        <v>214</v>
      </c>
      <c r="F92" s="34" t="s">
        <v>140</v>
      </c>
      <c r="G92" s="34" t="s">
        <v>168</v>
      </c>
      <c r="H92" s="48">
        <v>42024.0</v>
      </c>
      <c r="I92" s="48">
        <v>41962.0</v>
      </c>
      <c r="J92" s="48">
        <v>42024.0</v>
      </c>
      <c r="K92" s="32" t="s">
        <v>86</v>
      </c>
      <c r="L92" s="41" t="s">
        <v>115</v>
      </c>
      <c r="M92" s="63" t="s">
        <v>218</v>
      </c>
      <c r="N92" s="38" t="s">
        <v>89</v>
      </c>
      <c r="O92" s="32" t="s">
        <v>1023</v>
      </c>
      <c r="P92" s="38"/>
      <c r="Q92" s="38" t="s">
        <v>1334</v>
      </c>
      <c r="R92" s="48">
        <v>43120.0</v>
      </c>
      <c r="S92" s="32" t="s">
        <v>196</v>
      </c>
      <c r="T92" s="56" t="s">
        <v>248</v>
      </c>
      <c r="U92" s="45" t="s">
        <v>1581</v>
      </c>
      <c r="V92" s="34" t="s">
        <v>80</v>
      </c>
      <c r="W92" s="32" t="s">
        <v>201</v>
      </c>
      <c r="X92" s="32" t="s">
        <v>202</v>
      </c>
      <c r="Y92" s="45" t="s">
        <v>203</v>
      </c>
      <c r="Z92" s="32" t="s">
        <v>112</v>
      </c>
      <c r="AA92" s="32"/>
      <c r="AB92" s="32" t="s">
        <v>113</v>
      </c>
      <c r="AC92" s="60"/>
      <c r="AD92" s="66"/>
      <c r="AE92" s="53"/>
      <c r="AF92" s="34" t="s">
        <v>80</v>
      </c>
      <c r="AG92" s="56" t="s">
        <v>206</v>
      </c>
      <c r="AH92" s="41"/>
      <c r="AI92" s="41"/>
      <c r="AJ92" s="41"/>
      <c r="AK92" s="58">
        <v>41224.0</v>
      </c>
      <c r="AL92" s="56" t="s">
        <v>1028</v>
      </c>
    </row>
    <row r="93" ht="22.5" customHeight="1">
      <c r="A93" s="238" t="s">
        <v>1584</v>
      </c>
      <c r="B93" s="37" t="s">
        <v>1585</v>
      </c>
      <c r="C93" s="32" t="s">
        <v>1586</v>
      </c>
      <c r="D93" s="34" t="s">
        <v>584</v>
      </c>
      <c r="E93" s="38" t="s">
        <v>1588</v>
      </c>
      <c r="F93" s="34" t="s">
        <v>140</v>
      </c>
      <c r="G93" s="34" t="s">
        <v>85</v>
      </c>
      <c r="H93" s="48">
        <v>42117.0</v>
      </c>
      <c r="I93" s="48">
        <v>42117.0</v>
      </c>
      <c r="J93" s="36"/>
      <c r="K93" s="32" t="s">
        <v>70</v>
      </c>
      <c r="L93" s="41" t="s">
        <v>115</v>
      </c>
      <c r="M93" s="63" t="s">
        <v>313</v>
      </c>
      <c r="N93" s="38" t="s">
        <v>89</v>
      </c>
      <c r="O93" s="32" t="s">
        <v>327</v>
      </c>
      <c r="P93" s="32" t="s">
        <v>1589</v>
      </c>
      <c r="Q93" s="38" t="s">
        <v>1590</v>
      </c>
      <c r="R93" s="48"/>
      <c r="S93" s="32" t="s">
        <v>327</v>
      </c>
      <c r="T93" s="203" t="s">
        <v>1591</v>
      </c>
      <c r="U93" s="109" t="s">
        <v>1592</v>
      </c>
      <c r="V93" s="34" t="s">
        <v>80</v>
      </c>
      <c r="W93" s="32" t="s">
        <v>561</v>
      </c>
      <c r="X93" s="60" t="s">
        <v>1595</v>
      </c>
      <c r="Y93" s="45" t="s">
        <v>1596</v>
      </c>
      <c r="Z93" s="32" t="s">
        <v>112</v>
      </c>
      <c r="AA93" s="32"/>
      <c r="AB93" s="32" t="s">
        <v>113</v>
      </c>
      <c r="AC93" s="60" t="s">
        <v>1597</v>
      </c>
      <c r="AD93" s="136">
        <v>42177.0</v>
      </c>
      <c r="AE93" s="53"/>
      <c r="AF93" s="34" t="s">
        <v>80</v>
      </c>
      <c r="AG93" s="56" t="s">
        <v>1598</v>
      </c>
      <c r="AH93" s="63" t="s">
        <v>193</v>
      </c>
      <c r="AI93" s="41"/>
      <c r="AJ93" s="41"/>
      <c r="AK93" s="58">
        <v>41770.0</v>
      </c>
      <c r="AL93" s="56" t="s">
        <v>375</v>
      </c>
    </row>
    <row r="94" ht="22.5" customHeight="1">
      <c r="A94" s="238" t="s">
        <v>1601</v>
      </c>
      <c r="B94" s="63" t="s">
        <v>284</v>
      </c>
      <c r="C94" s="32" t="s">
        <v>285</v>
      </c>
      <c r="D94" s="41" t="s">
        <v>91</v>
      </c>
      <c r="E94" s="103" t="s">
        <v>286</v>
      </c>
      <c r="F94" s="34" t="s">
        <v>93</v>
      </c>
      <c r="G94" s="34" t="s">
        <v>168</v>
      </c>
      <c r="H94" s="48">
        <v>42089.0</v>
      </c>
      <c r="I94" s="48">
        <v>42089.0</v>
      </c>
      <c r="J94" s="48">
        <v>42089.0</v>
      </c>
      <c r="K94" s="32" t="s">
        <v>86</v>
      </c>
      <c r="L94" s="41" t="s">
        <v>115</v>
      </c>
      <c r="M94" s="63" t="s">
        <v>218</v>
      </c>
      <c r="N94" s="38" t="s">
        <v>89</v>
      </c>
      <c r="O94" s="32" t="s">
        <v>142</v>
      </c>
      <c r="P94" s="38" t="s">
        <v>1050</v>
      </c>
      <c r="Q94" s="38" t="s">
        <v>1462</v>
      </c>
      <c r="R94" s="36">
        <v>42569.0</v>
      </c>
      <c r="S94" s="32" t="s">
        <v>116</v>
      </c>
      <c r="T94" s="45" t="s">
        <v>323</v>
      </c>
      <c r="U94" s="56" t="s">
        <v>1604</v>
      </c>
      <c r="V94" s="34" t="s">
        <v>80</v>
      </c>
      <c r="W94" s="60" t="s">
        <v>344</v>
      </c>
      <c r="X94" s="60" t="s">
        <v>1605</v>
      </c>
      <c r="Y94" s="109" t="s">
        <v>358</v>
      </c>
      <c r="Z94" s="32" t="s">
        <v>112</v>
      </c>
      <c r="AA94" s="32"/>
      <c r="AB94" s="32" t="s">
        <v>113</v>
      </c>
      <c r="AC94" s="60"/>
      <c r="AD94" s="66"/>
      <c r="AE94" s="30" t="s">
        <v>1607</v>
      </c>
      <c r="AF94" s="34" t="s">
        <v>74</v>
      </c>
      <c r="AG94" s="63"/>
      <c r="AH94" s="41"/>
      <c r="AI94" s="41"/>
      <c r="AJ94" s="41"/>
      <c r="AK94" s="58">
        <v>41080.0</v>
      </c>
      <c r="AL94" s="56" t="s">
        <v>262</v>
      </c>
    </row>
    <row r="95" ht="22.5" customHeight="1">
      <c r="A95" s="238" t="s">
        <v>1609</v>
      </c>
      <c r="B95" s="63" t="s">
        <v>411</v>
      </c>
      <c r="C95" s="32" t="s">
        <v>413</v>
      </c>
      <c r="D95" s="39" t="s">
        <v>91</v>
      </c>
      <c r="E95" s="38" t="s">
        <v>416</v>
      </c>
      <c r="F95" s="34" t="s">
        <v>93</v>
      </c>
      <c r="G95" s="34" t="s">
        <v>168</v>
      </c>
      <c r="H95" s="48">
        <v>41926.0</v>
      </c>
      <c r="I95" s="48">
        <v>41926.0</v>
      </c>
      <c r="J95" s="36"/>
      <c r="K95" s="32" t="s">
        <v>86</v>
      </c>
      <c r="L95" s="41" t="s">
        <v>115</v>
      </c>
      <c r="M95" s="250" t="s">
        <v>313</v>
      </c>
      <c r="N95" s="38" t="s">
        <v>89</v>
      </c>
      <c r="O95" s="32" t="s">
        <v>994</v>
      </c>
      <c r="P95" s="32"/>
      <c r="Q95" s="38" t="s">
        <v>1611</v>
      </c>
      <c r="R95" s="48">
        <v>42236.0</v>
      </c>
      <c r="S95" s="32" t="s">
        <v>116</v>
      </c>
      <c r="T95" s="45" t="s">
        <v>436</v>
      </c>
      <c r="U95" s="45" t="s">
        <v>1614</v>
      </c>
      <c r="V95" s="34" t="s">
        <v>80</v>
      </c>
      <c r="W95" s="60" t="s">
        <v>444</v>
      </c>
      <c r="X95" s="32" t="s">
        <v>445</v>
      </c>
      <c r="Y95" s="109" t="s">
        <v>446</v>
      </c>
      <c r="Z95" s="32" t="s">
        <v>112</v>
      </c>
      <c r="AA95" s="32"/>
      <c r="AB95" s="32" t="s">
        <v>113</v>
      </c>
      <c r="AC95" s="60"/>
      <c r="AD95" s="66"/>
      <c r="AE95" s="53"/>
      <c r="AF95" s="34" t="s">
        <v>74</v>
      </c>
      <c r="AG95" s="56" t="s">
        <v>454</v>
      </c>
      <c r="AH95" s="41"/>
      <c r="AI95" s="41"/>
      <c r="AJ95" s="41"/>
      <c r="AK95" s="58">
        <v>42212.0</v>
      </c>
      <c r="AL95" s="56" t="s">
        <v>1006</v>
      </c>
    </row>
    <row r="96" ht="22.5" customHeight="1">
      <c r="A96" s="238" t="s">
        <v>1616</v>
      </c>
      <c r="B96" s="63" t="s">
        <v>411</v>
      </c>
      <c r="C96" s="32" t="s">
        <v>413</v>
      </c>
      <c r="D96" s="39" t="s">
        <v>91</v>
      </c>
      <c r="E96" s="38" t="s">
        <v>416</v>
      </c>
      <c r="F96" s="34" t="s">
        <v>93</v>
      </c>
      <c r="G96" s="34" t="s">
        <v>168</v>
      </c>
      <c r="H96" s="48">
        <v>42089.0</v>
      </c>
      <c r="I96" s="48">
        <v>42089.0</v>
      </c>
      <c r="J96" s="48">
        <v>42089.0</v>
      </c>
      <c r="K96" s="32" t="s">
        <v>86</v>
      </c>
      <c r="L96" s="41" t="s">
        <v>115</v>
      </c>
      <c r="M96" s="250" t="s">
        <v>313</v>
      </c>
      <c r="N96" s="38" t="s">
        <v>89</v>
      </c>
      <c r="O96" s="32" t="s">
        <v>142</v>
      </c>
      <c r="P96" s="38" t="s">
        <v>1050</v>
      </c>
      <c r="Q96" s="38" t="s">
        <v>1462</v>
      </c>
      <c r="R96" s="36">
        <v>42364.0</v>
      </c>
      <c r="S96" s="32" t="s">
        <v>116</v>
      </c>
      <c r="T96" s="45" t="s">
        <v>436</v>
      </c>
      <c r="U96" s="56" t="s">
        <v>1618</v>
      </c>
      <c r="V96" s="34" t="s">
        <v>80</v>
      </c>
      <c r="W96" s="60" t="s">
        <v>444</v>
      </c>
      <c r="X96" s="32" t="s">
        <v>445</v>
      </c>
      <c r="Y96" s="109" t="s">
        <v>446</v>
      </c>
      <c r="Z96" s="32" t="s">
        <v>112</v>
      </c>
      <c r="AA96" s="32"/>
      <c r="AB96" s="32" t="s">
        <v>113</v>
      </c>
      <c r="AC96" s="60"/>
      <c r="AD96" s="66"/>
      <c r="AE96" s="30" t="s">
        <v>1620</v>
      </c>
      <c r="AF96" s="34" t="s">
        <v>74</v>
      </c>
      <c r="AG96" s="56" t="s">
        <v>454</v>
      </c>
      <c r="AH96" s="41"/>
      <c r="AI96" s="41"/>
      <c r="AJ96" s="41"/>
      <c r="AK96" s="58">
        <v>42212.0</v>
      </c>
      <c r="AL96" s="56" t="s">
        <v>262</v>
      </c>
    </row>
    <row r="97" ht="22.5" customHeight="1">
      <c r="A97" s="238" t="s">
        <v>1622</v>
      </c>
      <c r="B97" s="63" t="s">
        <v>411</v>
      </c>
      <c r="C97" s="32" t="s">
        <v>1623</v>
      </c>
      <c r="D97" s="34" t="s">
        <v>584</v>
      </c>
      <c r="E97" s="103" t="s">
        <v>1624</v>
      </c>
      <c r="F97" s="34" t="s">
        <v>93</v>
      </c>
      <c r="G97" s="34" t="s">
        <v>85</v>
      </c>
      <c r="H97" s="48">
        <v>42286.0</v>
      </c>
      <c r="I97" s="48">
        <v>42271.0</v>
      </c>
      <c r="J97" s="48">
        <v>42286.0</v>
      </c>
      <c r="K97" s="32" t="s">
        <v>86</v>
      </c>
      <c r="L97" s="41" t="s">
        <v>115</v>
      </c>
      <c r="M97" s="60" t="s">
        <v>218</v>
      </c>
      <c r="N97" s="38" t="s">
        <v>89</v>
      </c>
      <c r="O97" s="32" t="s">
        <v>116</v>
      </c>
      <c r="P97" s="38"/>
      <c r="Q97" s="32" t="s">
        <v>117</v>
      </c>
      <c r="R97" s="48"/>
      <c r="S97" s="32" t="s">
        <v>116</v>
      </c>
      <c r="T97" s="203" t="s">
        <v>1625</v>
      </c>
      <c r="U97" s="109" t="s">
        <v>1626</v>
      </c>
      <c r="V97" s="34" t="s">
        <v>80</v>
      </c>
      <c r="W97" s="60" t="s">
        <v>444</v>
      </c>
      <c r="X97" s="32" t="s">
        <v>445</v>
      </c>
      <c r="Y97" s="109" t="s">
        <v>446</v>
      </c>
      <c r="Z97" s="32" t="s">
        <v>112</v>
      </c>
      <c r="AA97" s="32"/>
      <c r="AB97" s="32" t="s">
        <v>113</v>
      </c>
      <c r="AC97" s="60" t="s">
        <v>1628</v>
      </c>
      <c r="AD97" s="66">
        <v>42286.0</v>
      </c>
      <c r="AE97" s="30" t="s">
        <v>1630</v>
      </c>
      <c r="AF97" s="34" t="s">
        <v>74</v>
      </c>
      <c r="AG97" s="56" t="s">
        <v>454</v>
      </c>
      <c r="AH97" s="34" t="s">
        <v>416</v>
      </c>
      <c r="AI97" s="41"/>
      <c r="AJ97" s="41"/>
      <c r="AK97" s="58">
        <v>41821.0</v>
      </c>
      <c r="AL97" s="63"/>
    </row>
    <row r="98" ht="22.5" customHeight="1">
      <c r="A98" s="238" t="s">
        <v>1631</v>
      </c>
      <c r="B98" s="63" t="s">
        <v>1632</v>
      </c>
      <c r="C98" s="32" t="s">
        <v>1633</v>
      </c>
      <c r="D98" s="41" t="s">
        <v>75</v>
      </c>
      <c r="E98" s="38" t="s">
        <v>1634</v>
      </c>
      <c r="F98" s="34" t="s">
        <v>140</v>
      </c>
      <c r="G98" s="34" t="s">
        <v>85</v>
      </c>
      <c r="H98" s="48">
        <v>42090.0</v>
      </c>
      <c r="I98" s="48">
        <v>42090.0</v>
      </c>
      <c r="J98" s="36"/>
      <c r="K98" s="32" t="s">
        <v>86</v>
      </c>
      <c r="L98" s="41" t="s">
        <v>115</v>
      </c>
      <c r="M98" s="42" t="s">
        <v>313</v>
      </c>
      <c r="N98" s="38" t="s">
        <v>89</v>
      </c>
      <c r="O98" s="32" t="s">
        <v>969</v>
      </c>
      <c r="P98" s="32" t="s">
        <v>1635</v>
      </c>
      <c r="Q98" s="38" t="s">
        <v>1636</v>
      </c>
      <c r="R98" s="36">
        <v>43310.0</v>
      </c>
      <c r="S98" s="32" t="s">
        <v>969</v>
      </c>
      <c r="T98" s="45" t="s">
        <v>1637</v>
      </c>
      <c r="U98" s="45" t="s">
        <v>1639</v>
      </c>
      <c r="V98" s="34" t="s">
        <v>80</v>
      </c>
      <c r="W98" s="60" t="s">
        <v>1641</v>
      </c>
      <c r="X98" s="149" t="s">
        <v>1642</v>
      </c>
      <c r="Y98" s="109" t="s">
        <v>1643</v>
      </c>
      <c r="Z98" s="32" t="s">
        <v>112</v>
      </c>
      <c r="AA98" s="32"/>
      <c r="AB98" s="60" t="s">
        <v>593</v>
      </c>
      <c r="AC98" s="60"/>
      <c r="AD98" s="136"/>
      <c r="AE98" s="53"/>
      <c r="AF98" s="34" t="s">
        <v>80</v>
      </c>
      <c r="AG98" s="56" t="s">
        <v>1644</v>
      </c>
      <c r="AH98" s="139"/>
      <c r="AI98" s="41"/>
      <c r="AJ98" s="41"/>
      <c r="AK98" s="58">
        <v>41927.0</v>
      </c>
      <c r="AL98" s="56" t="s">
        <v>1043</v>
      </c>
    </row>
    <row r="99" ht="22.5" customHeight="1">
      <c r="A99" s="238" t="s">
        <v>1645</v>
      </c>
      <c r="B99" s="63" t="s">
        <v>1632</v>
      </c>
      <c r="C99" s="32" t="s">
        <v>1633</v>
      </c>
      <c r="D99" s="41" t="s">
        <v>75</v>
      </c>
      <c r="E99" s="38" t="s">
        <v>1634</v>
      </c>
      <c r="F99" s="34" t="s">
        <v>140</v>
      </c>
      <c r="G99" s="34" t="s">
        <v>168</v>
      </c>
      <c r="H99" s="48">
        <v>42166.0</v>
      </c>
      <c r="I99" s="48">
        <v>42090.0</v>
      </c>
      <c r="J99" s="48">
        <v>42166.0</v>
      </c>
      <c r="K99" s="32" t="s">
        <v>86</v>
      </c>
      <c r="L99" s="41" t="s">
        <v>115</v>
      </c>
      <c r="M99" s="42" t="s">
        <v>313</v>
      </c>
      <c r="N99" s="38" t="s">
        <v>89</v>
      </c>
      <c r="O99" s="32" t="s">
        <v>142</v>
      </c>
      <c r="P99" s="32" t="s">
        <v>1050</v>
      </c>
      <c r="Q99" s="38" t="s">
        <v>1462</v>
      </c>
      <c r="R99" s="36">
        <v>43186.0</v>
      </c>
      <c r="S99" s="32" t="s">
        <v>969</v>
      </c>
      <c r="T99" s="45" t="s">
        <v>1637</v>
      </c>
      <c r="U99" s="56" t="s">
        <v>1646</v>
      </c>
      <c r="V99" s="34" t="s">
        <v>80</v>
      </c>
      <c r="W99" s="60" t="s">
        <v>1641</v>
      </c>
      <c r="X99" s="149" t="s">
        <v>1642</v>
      </c>
      <c r="Y99" s="109" t="s">
        <v>1643</v>
      </c>
      <c r="Z99" s="32" t="s">
        <v>112</v>
      </c>
      <c r="AA99" s="32"/>
      <c r="AB99" s="60" t="s">
        <v>593</v>
      </c>
      <c r="AC99" s="60"/>
      <c r="AD99" s="136"/>
      <c r="AE99" s="53"/>
      <c r="AF99" s="34" t="s">
        <v>80</v>
      </c>
      <c r="AG99" s="56" t="s">
        <v>1644</v>
      </c>
      <c r="AH99" s="34"/>
      <c r="AI99" s="41"/>
      <c r="AJ99" s="41"/>
      <c r="AK99" s="58">
        <v>41927.0</v>
      </c>
      <c r="AL99" s="56" t="s">
        <v>262</v>
      </c>
    </row>
    <row r="100" ht="22.5" customHeight="1">
      <c r="A100" s="238" t="s">
        <v>1649</v>
      </c>
      <c r="B100" s="63" t="s">
        <v>1650</v>
      </c>
      <c r="C100" s="32" t="s">
        <v>1651</v>
      </c>
      <c r="D100" s="41" t="s">
        <v>584</v>
      </c>
      <c r="E100" s="38" t="s">
        <v>1652</v>
      </c>
      <c r="F100" s="34" t="s">
        <v>140</v>
      </c>
      <c r="G100" s="34" t="s">
        <v>85</v>
      </c>
      <c r="H100" s="48">
        <v>42102.0</v>
      </c>
      <c r="I100" s="48">
        <v>42102.0</v>
      </c>
      <c r="J100" s="48"/>
      <c r="K100" s="32" t="s">
        <v>70</v>
      </c>
      <c r="L100" s="41" t="s">
        <v>115</v>
      </c>
      <c r="M100" s="42" t="s">
        <v>313</v>
      </c>
      <c r="N100" s="38" t="s">
        <v>89</v>
      </c>
      <c r="O100" s="32" t="s">
        <v>994</v>
      </c>
      <c r="P100" s="38"/>
      <c r="Q100" s="38" t="s">
        <v>1654</v>
      </c>
      <c r="R100" s="48"/>
      <c r="S100" s="32" t="s">
        <v>994</v>
      </c>
      <c r="T100" s="45" t="s">
        <v>1655</v>
      </c>
      <c r="U100" s="45" t="s">
        <v>1656</v>
      </c>
      <c r="V100" s="34" t="s">
        <v>80</v>
      </c>
      <c r="W100" s="32" t="s">
        <v>561</v>
      </c>
      <c r="X100" s="60" t="s">
        <v>1657</v>
      </c>
      <c r="Y100" s="109" t="s">
        <v>1658</v>
      </c>
      <c r="Z100" s="32" t="s">
        <v>112</v>
      </c>
      <c r="AA100" s="68"/>
      <c r="AB100" s="60" t="s">
        <v>66</v>
      </c>
      <c r="AC100" s="60" t="s">
        <v>1660</v>
      </c>
      <c r="AD100" s="136">
        <v>42145.0</v>
      </c>
      <c r="AE100" s="53"/>
      <c r="AF100" s="34" t="s">
        <v>80</v>
      </c>
      <c r="AG100" s="56" t="s">
        <v>1661</v>
      </c>
      <c r="AH100" s="41"/>
      <c r="AI100" s="41"/>
      <c r="AJ100" s="41"/>
      <c r="AK100" s="132">
        <v>41963.0</v>
      </c>
      <c r="AL100" s="56" t="s">
        <v>1006</v>
      </c>
    </row>
    <row r="101" ht="22.5" customHeight="1">
      <c r="A101" s="238" t="s">
        <v>1662</v>
      </c>
      <c r="B101" s="63" t="s">
        <v>1650</v>
      </c>
      <c r="C101" s="32" t="s">
        <v>1651</v>
      </c>
      <c r="D101" s="41" t="s">
        <v>584</v>
      </c>
      <c r="E101" s="38" t="s">
        <v>1652</v>
      </c>
      <c r="F101" s="34" t="s">
        <v>140</v>
      </c>
      <c r="G101" s="34" t="s">
        <v>168</v>
      </c>
      <c r="H101" s="48">
        <v>42166.0</v>
      </c>
      <c r="I101" s="48">
        <v>42102.0</v>
      </c>
      <c r="J101" s="48">
        <v>42166.0</v>
      </c>
      <c r="K101" s="32" t="s">
        <v>86</v>
      </c>
      <c r="L101" s="41" t="s">
        <v>115</v>
      </c>
      <c r="M101" s="42" t="s">
        <v>313</v>
      </c>
      <c r="N101" s="38" t="s">
        <v>89</v>
      </c>
      <c r="O101" s="32" t="s">
        <v>142</v>
      </c>
      <c r="P101" s="38" t="s">
        <v>1050</v>
      </c>
      <c r="Q101" s="38" t="s">
        <v>1462</v>
      </c>
      <c r="R101" s="36">
        <v>43198.0</v>
      </c>
      <c r="S101" s="32" t="s">
        <v>994</v>
      </c>
      <c r="T101" s="45" t="s">
        <v>1655</v>
      </c>
      <c r="U101" s="56" t="s">
        <v>1664</v>
      </c>
      <c r="V101" s="34" t="s">
        <v>80</v>
      </c>
      <c r="W101" s="32" t="s">
        <v>561</v>
      </c>
      <c r="X101" s="60" t="s">
        <v>1657</v>
      </c>
      <c r="Y101" s="109" t="s">
        <v>1658</v>
      </c>
      <c r="Z101" s="32" t="s">
        <v>112</v>
      </c>
      <c r="AA101" s="32"/>
      <c r="AB101" s="60" t="s">
        <v>66</v>
      </c>
      <c r="AC101" s="60"/>
      <c r="AD101" s="136"/>
      <c r="AE101" s="53"/>
      <c r="AF101" s="34" t="s">
        <v>80</v>
      </c>
      <c r="AG101" s="56" t="s">
        <v>1661</v>
      </c>
      <c r="AH101" s="41"/>
      <c r="AI101" s="41"/>
      <c r="AJ101" s="41"/>
      <c r="AK101" s="132">
        <v>41963.0</v>
      </c>
      <c r="AL101" s="56" t="s">
        <v>262</v>
      </c>
    </row>
    <row r="102" ht="22.5" customHeight="1">
      <c r="A102" s="238" t="s">
        <v>1668</v>
      </c>
      <c r="B102" s="63" t="s">
        <v>1669</v>
      </c>
      <c r="C102" s="32" t="s">
        <v>1670</v>
      </c>
      <c r="D102" s="41" t="s">
        <v>91</v>
      </c>
      <c r="E102" s="149" t="s">
        <v>1671</v>
      </c>
      <c r="F102" s="34" t="s">
        <v>93</v>
      </c>
      <c r="G102" s="34" t="s">
        <v>85</v>
      </c>
      <c r="H102" s="48">
        <v>41934.0</v>
      </c>
      <c r="I102" s="48">
        <v>41932.0</v>
      </c>
      <c r="J102" s="48">
        <v>41934.0</v>
      </c>
      <c r="K102" s="32" t="s">
        <v>86</v>
      </c>
      <c r="L102" s="41" t="s">
        <v>115</v>
      </c>
      <c r="M102" s="63" t="s">
        <v>218</v>
      </c>
      <c r="N102" s="38" t="s">
        <v>89</v>
      </c>
      <c r="O102" s="32" t="s">
        <v>116</v>
      </c>
      <c r="P102" s="38"/>
      <c r="Q102" s="32" t="s">
        <v>117</v>
      </c>
      <c r="R102" s="36"/>
      <c r="S102" s="32" t="s">
        <v>116</v>
      </c>
      <c r="T102" s="45" t="s">
        <v>1672</v>
      </c>
      <c r="U102" s="109" t="s">
        <v>1675</v>
      </c>
      <c r="V102" s="34" t="s">
        <v>80</v>
      </c>
      <c r="W102" s="60" t="s">
        <v>1676</v>
      </c>
      <c r="X102" s="109" t="s">
        <v>1677</v>
      </c>
      <c r="Y102" s="109" t="s">
        <v>1678</v>
      </c>
      <c r="Z102" s="32" t="s">
        <v>112</v>
      </c>
      <c r="AA102" s="32"/>
      <c r="AB102" s="32" t="s">
        <v>113</v>
      </c>
      <c r="AC102" s="60" t="s">
        <v>1679</v>
      </c>
      <c r="AD102" s="192">
        <v>41934.0</v>
      </c>
      <c r="AE102" s="50" t="s">
        <v>1680</v>
      </c>
      <c r="AF102" s="34" t="s">
        <v>74</v>
      </c>
      <c r="AG102" s="63"/>
      <c r="AH102" s="41"/>
      <c r="AI102" s="41"/>
      <c r="AJ102" s="41"/>
      <c r="AK102" s="155">
        <v>41499.0</v>
      </c>
      <c r="AL102" s="63"/>
    </row>
    <row r="103" ht="22.5" customHeight="1">
      <c r="A103" s="238" t="s">
        <v>1682</v>
      </c>
      <c r="B103" s="63" t="s">
        <v>1669</v>
      </c>
      <c r="C103" s="32" t="s">
        <v>1670</v>
      </c>
      <c r="D103" s="41" t="s">
        <v>91</v>
      </c>
      <c r="E103" s="149" t="s">
        <v>1671</v>
      </c>
      <c r="F103" s="34" t="s">
        <v>93</v>
      </c>
      <c r="G103" s="34" t="s">
        <v>168</v>
      </c>
      <c r="H103" s="48">
        <v>42089.0</v>
      </c>
      <c r="I103" s="48">
        <v>42089.0</v>
      </c>
      <c r="J103" s="48">
        <v>42089.0</v>
      </c>
      <c r="K103" s="32" t="s">
        <v>86</v>
      </c>
      <c r="L103" s="41" t="s">
        <v>115</v>
      </c>
      <c r="M103" s="63" t="s">
        <v>218</v>
      </c>
      <c r="N103" s="38" t="s">
        <v>89</v>
      </c>
      <c r="O103" s="32" t="s">
        <v>142</v>
      </c>
      <c r="P103" s="38" t="s">
        <v>1050</v>
      </c>
      <c r="Q103" s="38" t="s">
        <v>1462</v>
      </c>
      <c r="R103" s="36">
        <v>43057.0</v>
      </c>
      <c r="S103" s="32" t="s">
        <v>116</v>
      </c>
      <c r="T103" s="45" t="s">
        <v>1672</v>
      </c>
      <c r="U103" s="56" t="s">
        <v>1685</v>
      </c>
      <c r="V103" s="34" t="s">
        <v>80</v>
      </c>
      <c r="W103" s="60" t="s">
        <v>1676</v>
      </c>
      <c r="X103" s="109" t="s">
        <v>1677</v>
      </c>
      <c r="Y103" s="109" t="s">
        <v>1678</v>
      </c>
      <c r="Z103" s="32" t="s">
        <v>112</v>
      </c>
      <c r="AA103" s="32"/>
      <c r="AB103" s="32" t="s">
        <v>113</v>
      </c>
      <c r="AC103" s="60"/>
      <c r="AD103" s="136"/>
      <c r="AE103" s="53"/>
      <c r="AF103" s="34" t="s">
        <v>74</v>
      </c>
      <c r="AG103" s="63"/>
      <c r="AH103" s="41"/>
      <c r="AI103" s="41"/>
      <c r="AJ103" s="41"/>
      <c r="AK103" s="155">
        <v>41499.0</v>
      </c>
      <c r="AL103" s="56" t="s">
        <v>262</v>
      </c>
    </row>
    <row r="104" ht="22.5" customHeight="1">
      <c r="A104" s="238" t="s">
        <v>1686</v>
      </c>
      <c r="B104" s="63" t="s">
        <v>1148</v>
      </c>
      <c r="C104" s="32" t="s">
        <v>1149</v>
      </c>
      <c r="D104" s="39" t="s">
        <v>75</v>
      </c>
      <c r="E104" s="103" t="s">
        <v>1150</v>
      </c>
      <c r="F104" s="34" t="s">
        <v>93</v>
      </c>
      <c r="G104" s="34" t="s">
        <v>168</v>
      </c>
      <c r="H104" s="48">
        <v>42089.0</v>
      </c>
      <c r="I104" s="48">
        <v>42089.0</v>
      </c>
      <c r="J104" s="48">
        <v>42089.0</v>
      </c>
      <c r="K104" s="32" t="s">
        <v>86</v>
      </c>
      <c r="L104" s="41" t="s">
        <v>115</v>
      </c>
      <c r="M104" s="63" t="s">
        <v>218</v>
      </c>
      <c r="N104" s="38" t="s">
        <v>89</v>
      </c>
      <c r="O104" s="32" t="s">
        <v>142</v>
      </c>
      <c r="P104" s="38" t="s">
        <v>1050</v>
      </c>
      <c r="Q104" s="38" t="s">
        <v>1462</v>
      </c>
      <c r="R104" s="36">
        <v>42724.0</v>
      </c>
      <c r="S104" s="32" t="s">
        <v>116</v>
      </c>
      <c r="T104" s="45" t="s">
        <v>1152</v>
      </c>
      <c r="U104" s="56" t="s">
        <v>1689</v>
      </c>
      <c r="V104" s="34" t="s">
        <v>80</v>
      </c>
      <c r="W104" s="60" t="s">
        <v>1155</v>
      </c>
      <c r="X104" s="109" t="s">
        <v>1156</v>
      </c>
      <c r="Y104" s="109" t="s">
        <v>1159</v>
      </c>
      <c r="Z104" s="32" t="s">
        <v>112</v>
      </c>
      <c r="AA104" s="32"/>
      <c r="AB104" s="60" t="s">
        <v>1161</v>
      </c>
      <c r="AC104" s="68"/>
      <c r="AD104" s="66"/>
      <c r="AE104" s="53"/>
      <c r="AF104" s="34" t="s">
        <v>74</v>
      </c>
      <c r="AG104" s="63"/>
      <c r="AH104" s="41"/>
      <c r="AI104" s="41"/>
      <c r="AJ104" s="41"/>
      <c r="AK104" s="41"/>
      <c r="AL104" s="56" t="s">
        <v>262</v>
      </c>
    </row>
    <row r="105" ht="22.5" customHeight="1">
      <c r="A105" s="238" t="s">
        <v>1692</v>
      </c>
      <c r="B105" s="60" t="s">
        <v>1693</v>
      </c>
      <c r="C105" s="32" t="s">
        <v>1694</v>
      </c>
      <c r="D105" s="41" t="s">
        <v>75</v>
      </c>
      <c r="E105" s="32" t="s">
        <v>1695</v>
      </c>
      <c r="F105" s="34" t="s">
        <v>140</v>
      </c>
      <c r="G105" s="34" t="s">
        <v>85</v>
      </c>
      <c r="H105" s="48">
        <v>42264.0</v>
      </c>
      <c r="I105" s="36"/>
      <c r="J105" s="48">
        <v>42264.0</v>
      </c>
      <c r="K105" s="32" t="s">
        <v>70</v>
      </c>
      <c r="L105" s="41" t="s">
        <v>115</v>
      </c>
      <c r="M105" s="63" t="s">
        <v>218</v>
      </c>
      <c r="N105" s="38" t="s">
        <v>89</v>
      </c>
      <c r="O105" s="32" t="s">
        <v>1023</v>
      </c>
      <c r="P105" s="38"/>
      <c r="Q105" s="38" t="s">
        <v>1334</v>
      </c>
      <c r="R105" s="48">
        <v>43360.0</v>
      </c>
      <c r="S105" s="32" t="s">
        <v>1023</v>
      </c>
      <c r="T105" s="203" t="s">
        <v>1696</v>
      </c>
      <c r="U105" s="45" t="s">
        <v>1697</v>
      </c>
      <c r="V105" s="34" t="s">
        <v>80</v>
      </c>
      <c r="W105" s="60" t="s">
        <v>1699</v>
      </c>
      <c r="X105" s="109" t="s">
        <v>1700</v>
      </c>
      <c r="Y105" s="109" t="s">
        <v>1701</v>
      </c>
      <c r="Z105" s="32" t="s">
        <v>112</v>
      </c>
      <c r="AA105" s="32"/>
      <c r="AB105" s="60" t="s">
        <v>389</v>
      </c>
      <c r="AC105" s="60" t="s">
        <v>1702</v>
      </c>
      <c r="AD105" s="136">
        <v>42402.0</v>
      </c>
      <c r="AE105" s="53"/>
      <c r="AF105" s="34" t="s">
        <v>80</v>
      </c>
      <c r="AG105" s="56" t="s">
        <v>1703</v>
      </c>
      <c r="AH105" s="41"/>
      <c r="AI105" s="41"/>
      <c r="AJ105" s="41"/>
      <c r="AK105" s="58">
        <v>42103.0</v>
      </c>
      <c r="AL105" s="56" t="s">
        <v>1028</v>
      </c>
    </row>
    <row r="106" ht="22.5" customHeight="1">
      <c r="A106" s="238" t="s">
        <v>1706</v>
      </c>
      <c r="B106" s="57" t="s">
        <v>1707</v>
      </c>
      <c r="C106" s="32" t="s">
        <v>1708</v>
      </c>
      <c r="D106" s="177" t="s">
        <v>584</v>
      </c>
      <c r="E106" s="103" t="s">
        <v>1709</v>
      </c>
      <c r="F106" s="34" t="s">
        <v>93</v>
      </c>
      <c r="G106" s="34" t="s">
        <v>85</v>
      </c>
      <c r="H106" s="48">
        <v>42286.0</v>
      </c>
      <c r="I106" s="48">
        <v>42271.0</v>
      </c>
      <c r="J106" s="48">
        <v>42286.0</v>
      </c>
      <c r="K106" s="32" t="s">
        <v>70</v>
      </c>
      <c r="L106" s="41" t="s">
        <v>115</v>
      </c>
      <c r="M106" s="63" t="s">
        <v>218</v>
      </c>
      <c r="N106" s="38" t="s">
        <v>89</v>
      </c>
      <c r="O106" s="32" t="s">
        <v>116</v>
      </c>
      <c r="P106" s="38"/>
      <c r="Q106" s="32" t="s">
        <v>117</v>
      </c>
      <c r="R106" s="36"/>
      <c r="S106" s="32" t="s">
        <v>116</v>
      </c>
      <c r="T106" s="203" t="s">
        <v>1712</v>
      </c>
      <c r="U106" s="109" t="s">
        <v>1713</v>
      </c>
      <c r="V106" s="34" t="s">
        <v>80</v>
      </c>
      <c r="W106" s="60" t="s">
        <v>1714</v>
      </c>
      <c r="X106" s="60" t="s">
        <v>1715</v>
      </c>
      <c r="Y106" s="109" t="s">
        <v>1716</v>
      </c>
      <c r="Z106" s="32" t="s">
        <v>112</v>
      </c>
      <c r="AA106" s="32"/>
      <c r="AB106" s="123" t="s">
        <v>113</v>
      </c>
      <c r="AC106" s="60" t="s">
        <v>1719</v>
      </c>
      <c r="AD106" s="66">
        <v>42286.0</v>
      </c>
      <c r="AE106" s="53"/>
      <c r="AF106" s="34" t="s">
        <v>80</v>
      </c>
      <c r="AG106" s="56" t="s">
        <v>1720</v>
      </c>
      <c r="AH106" s="41"/>
      <c r="AI106" s="41"/>
      <c r="AJ106" s="41"/>
      <c r="AK106" s="58">
        <v>41674.0</v>
      </c>
      <c r="AL106" s="63"/>
    </row>
    <row r="107" ht="22.5" customHeight="1">
      <c r="A107" s="238" t="s">
        <v>1721</v>
      </c>
      <c r="B107" s="63" t="s">
        <v>1723</v>
      </c>
      <c r="C107" s="32" t="s">
        <v>1724</v>
      </c>
      <c r="D107" s="41" t="s">
        <v>75</v>
      </c>
      <c r="E107" s="38" t="s">
        <v>1725</v>
      </c>
      <c r="F107" s="34" t="s">
        <v>140</v>
      </c>
      <c r="G107" s="34" t="s">
        <v>85</v>
      </c>
      <c r="H107" s="48">
        <v>42222.0</v>
      </c>
      <c r="I107" s="36"/>
      <c r="J107" s="48">
        <v>42222.0</v>
      </c>
      <c r="K107" s="32" t="s">
        <v>70</v>
      </c>
      <c r="L107" s="41" t="s">
        <v>115</v>
      </c>
      <c r="M107" s="42" t="s">
        <v>88</v>
      </c>
      <c r="N107" s="38" t="s">
        <v>89</v>
      </c>
      <c r="O107" s="32" t="s">
        <v>196</v>
      </c>
      <c r="P107" s="32" t="s">
        <v>1569</v>
      </c>
      <c r="Q107" s="38" t="s">
        <v>1726</v>
      </c>
      <c r="R107" s="48">
        <v>43318.0</v>
      </c>
      <c r="S107" s="32" t="s">
        <v>196</v>
      </c>
      <c r="T107" s="45" t="s">
        <v>1727</v>
      </c>
      <c r="U107" s="45" t="s">
        <v>1728</v>
      </c>
      <c r="V107" s="34" t="s">
        <v>80</v>
      </c>
      <c r="W107" s="60" t="s">
        <v>1730</v>
      </c>
      <c r="X107" s="60" t="s">
        <v>1732</v>
      </c>
      <c r="Y107" s="109" t="s">
        <v>1733</v>
      </c>
      <c r="Z107" s="32" t="s">
        <v>112</v>
      </c>
      <c r="AA107" s="32"/>
      <c r="AB107" s="60" t="s">
        <v>481</v>
      </c>
      <c r="AC107" s="60" t="s">
        <v>1734</v>
      </c>
      <c r="AD107" s="136">
        <v>42359.0</v>
      </c>
      <c r="AE107" s="53"/>
      <c r="AF107" s="34" t="s">
        <v>80</v>
      </c>
      <c r="AG107" s="56" t="s">
        <v>1735</v>
      </c>
      <c r="AH107" s="63" t="s">
        <v>193</v>
      </c>
      <c r="AI107" s="41"/>
      <c r="AJ107" s="41"/>
      <c r="AK107" s="58">
        <v>41800.0</v>
      </c>
      <c r="AL107" s="56" t="s">
        <v>208</v>
      </c>
    </row>
    <row r="108" ht="22.5" customHeight="1">
      <c r="A108" s="238" t="s">
        <v>1738</v>
      </c>
      <c r="B108" s="63" t="s">
        <v>1166</v>
      </c>
      <c r="C108" s="32" t="s">
        <v>1167</v>
      </c>
      <c r="D108" s="41" t="s">
        <v>75</v>
      </c>
      <c r="E108" s="38" t="s">
        <v>1169</v>
      </c>
      <c r="F108" s="34" t="s">
        <v>93</v>
      </c>
      <c r="G108" s="34" t="s">
        <v>168</v>
      </c>
      <c r="H108" s="48">
        <v>41946.0</v>
      </c>
      <c r="I108" s="48">
        <v>41942.0</v>
      </c>
      <c r="J108" s="48">
        <v>41946.0</v>
      </c>
      <c r="K108" s="32" t="s">
        <v>70</v>
      </c>
      <c r="L108" s="41" t="s">
        <v>115</v>
      </c>
      <c r="M108" s="63" t="s">
        <v>218</v>
      </c>
      <c r="N108" s="38" t="s">
        <v>89</v>
      </c>
      <c r="O108" s="32" t="s">
        <v>1610</v>
      </c>
      <c r="P108" s="38"/>
      <c r="Q108" s="38" t="s">
        <v>1741</v>
      </c>
      <c r="R108" s="48"/>
      <c r="S108" s="32" t="s">
        <v>116</v>
      </c>
      <c r="T108" s="45" t="s">
        <v>1174</v>
      </c>
      <c r="U108" s="45" t="s">
        <v>1742</v>
      </c>
      <c r="V108" s="34" t="s">
        <v>80</v>
      </c>
      <c r="W108" s="60" t="s">
        <v>1180</v>
      </c>
      <c r="X108" s="60" t="s">
        <v>1181</v>
      </c>
      <c r="Y108" s="109" t="s">
        <v>1182</v>
      </c>
      <c r="Z108" s="32" t="s">
        <v>112</v>
      </c>
      <c r="AA108" s="32"/>
      <c r="AB108" s="60" t="s">
        <v>1183</v>
      </c>
      <c r="AC108" s="60"/>
      <c r="AD108" s="66"/>
      <c r="AE108" s="53"/>
      <c r="AF108" s="34" t="s">
        <v>80</v>
      </c>
      <c r="AG108" s="56" t="s">
        <v>1187</v>
      </c>
      <c r="AH108" s="41"/>
      <c r="AI108" s="41"/>
      <c r="AJ108" s="41"/>
      <c r="AK108" s="58">
        <v>41451.0</v>
      </c>
      <c r="AL108" s="56" t="s">
        <v>1745</v>
      </c>
    </row>
    <row r="109" ht="22.5" customHeight="1">
      <c r="A109" s="238" t="s">
        <v>1747</v>
      </c>
      <c r="B109" s="63" t="s">
        <v>1166</v>
      </c>
      <c r="C109" s="32" t="s">
        <v>1167</v>
      </c>
      <c r="D109" s="41" t="s">
        <v>75</v>
      </c>
      <c r="E109" s="38" t="s">
        <v>1169</v>
      </c>
      <c r="F109" s="34" t="s">
        <v>93</v>
      </c>
      <c r="G109" s="34" t="s">
        <v>168</v>
      </c>
      <c r="H109" s="48">
        <v>42089.0</v>
      </c>
      <c r="I109" s="48">
        <v>42089.0</v>
      </c>
      <c r="J109" s="48">
        <v>42089.0</v>
      </c>
      <c r="K109" s="32" t="s">
        <v>70</v>
      </c>
      <c r="L109" s="41" t="s">
        <v>115</v>
      </c>
      <c r="M109" s="63" t="s">
        <v>218</v>
      </c>
      <c r="N109" s="38" t="s">
        <v>89</v>
      </c>
      <c r="O109" s="32" t="s">
        <v>142</v>
      </c>
      <c r="P109" s="38" t="s">
        <v>1050</v>
      </c>
      <c r="Q109" s="38" t="s">
        <v>1462</v>
      </c>
      <c r="R109" s="36"/>
      <c r="S109" s="32" t="s">
        <v>116</v>
      </c>
      <c r="T109" s="45" t="s">
        <v>1174</v>
      </c>
      <c r="U109" s="56" t="s">
        <v>1748</v>
      </c>
      <c r="V109" s="34" t="s">
        <v>80</v>
      </c>
      <c r="W109" s="60" t="s">
        <v>1180</v>
      </c>
      <c r="X109" s="60" t="s">
        <v>1181</v>
      </c>
      <c r="Y109" s="109" t="s">
        <v>1182</v>
      </c>
      <c r="Z109" s="32" t="s">
        <v>112</v>
      </c>
      <c r="AA109" s="32"/>
      <c r="AB109" s="60" t="s">
        <v>1183</v>
      </c>
      <c r="AC109" s="60"/>
      <c r="AD109" s="66"/>
      <c r="AE109" s="53"/>
      <c r="AF109" s="34" t="s">
        <v>80</v>
      </c>
      <c r="AG109" s="56" t="s">
        <v>1187</v>
      </c>
      <c r="AH109" s="41"/>
      <c r="AI109" s="41"/>
      <c r="AJ109" s="41"/>
      <c r="AK109" s="58">
        <v>41451.0</v>
      </c>
      <c r="AL109" s="56" t="s">
        <v>262</v>
      </c>
    </row>
    <row r="110" ht="22.5" customHeight="1">
      <c r="A110" s="238" t="s">
        <v>1752</v>
      </c>
      <c r="B110" s="63" t="s">
        <v>1166</v>
      </c>
      <c r="C110" s="32" t="s">
        <v>1167</v>
      </c>
      <c r="D110" s="41" t="s">
        <v>75</v>
      </c>
      <c r="E110" s="38" t="s">
        <v>1169</v>
      </c>
      <c r="F110" s="34" t="s">
        <v>93</v>
      </c>
      <c r="G110" s="34" t="s">
        <v>168</v>
      </c>
      <c r="H110" s="48">
        <v>42128.0</v>
      </c>
      <c r="I110" s="48">
        <v>42128.0</v>
      </c>
      <c r="J110" s="36"/>
      <c r="K110" s="32" t="s">
        <v>70</v>
      </c>
      <c r="L110" s="41" t="s">
        <v>115</v>
      </c>
      <c r="M110" s="63" t="s">
        <v>218</v>
      </c>
      <c r="N110" s="38" t="s">
        <v>89</v>
      </c>
      <c r="O110" s="38" t="s">
        <v>220</v>
      </c>
      <c r="P110" s="38"/>
      <c r="Q110" s="38" t="s">
        <v>1273</v>
      </c>
      <c r="R110" s="36"/>
      <c r="S110" s="32" t="s">
        <v>116</v>
      </c>
      <c r="T110" s="45" t="s">
        <v>1174</v>
      </c>
      <c r="U110" s="45" t="s">
        <v>1755</v>
      </c>
      <c r="V110" s="34" t="s">
        <v>80</v>
      </c>
      <c r="W110" s="60" t="s">
        <v>1180</v>
      </c>
      <c r="X110" s="60" t="s">
        <v>1181</v>
      </c>
      <c r="Y110" s="109" t="s">
        <v>1182</v>
      </c>
      <c r="Z110" s="32" t="s">
        <v>112</v>
      </c>
      <c r="AA110" s="32"/>
      <c r="AB110" s="60" t="s">
        <v>1183</v>
      </c>
      <c r="AC110" s="60"/>
      <c r="AD110" s="66"/>
      <c r="AE110" s="53"/>
      <c r="AF110" s="34" t="s">
        <v>80</v>
      </c>
      <c r="AG110" s="56" t="s">
        <v>1187</v>
      </c>
      <c r="AH110" s="41"/>
      <c r="AI110" s="41"/>
      <c r="AJ110" s="41"/>
      <c r="AK110" s="58">
        <v>41451.0</v>
      </c>
      <c r="AL110" s="56" t="s">
        <v>232</v>
      </c>
    </row>
    <row r="111" ht="22.5" customHeight="1">
      <c r="A111" s="238" t="s">
        <v>1758</v>
      </c>
      <c r="B111" s="57" t="s">
        <v>1190</v>
      </c>
      <c r="C111" s="32" t="s">
        <v>1191</v>
      </c>
      <c r="D111" s="34" t="s">
        <v>752</v>
      </c>
      <c r="E111" s="38" t="s">
        <v>1193</v>
      </c>
      <c r="F111" s="34" t="s">
        <v>140</v>
      </c>
      <c r="G111" s="34" t="s">
        <v>168</v>
      </c>
      <c r="H111" s="48">
        <v>42089.0</v>
      </c>
      <c r="I111" s="48">
        <v>42089.0</v>
      </c>
      <c r="J111" s="48">
        <v>42089.0</v>
      </c>
      <c r="K111" s="32" t="s">
        <v>86</v>
      </c>
      <c r="L111" s="34" t="s">
        <v>141</v>
      </c>
      <c r="M111" s="42" t="s">
        <v>313</v>
      </c>
      <c r="N111" s="38" t="s">
        <v>89</v>
      </c>
      <c r="O111" s="32" t="s">
        <v>142</v>
      </c>
      <c r="P111" s="38" t="s">
        <v>1050</v>
      </c>
      <c r="Q111" s="38" t="s">
        <v>1462</v>
      </c>
      <c r="R111" s="36">
        <v>42955.0</v>
      </c>
      <c r="S111" s="32" t="s">
        <v>994</v>
      </c>
      <c r="T111" s="45" t="s">
        <v>1198</v>
      </c>
      <c r="U111" s="56" t="s">
        <v>1761</v>
      </c>
      <c r="V111" s="34" t="s">
        <v>80</v>
      </c>
      <c r="W111" s="60" t="s">
        <v>1204</v>
      </c>
      <c r="X111" s="60" t="s">
        <v>1205</v>
      </c>
      <c r="Y111" s="109" t="s">
        <v>1206</v>
      </c>
      <c r="Z111" s="32" t="s">
        <v>112</v>
      </c>
      <c r="AA111" s="32"/>
      <c r="AB111" s="60" t="s">
        <v>1209</v>
      </c>
      <c r="AC111" s="60"/>
      <c r="AD111" s="66"/>
      <c r="AE111" s="53"/>
      <c r="AF111" s="34" t="s">
        <v>74</v>
      </c>
      <c r="AG111" s="56" t="s">
        <v>1212</v>
      </c>
      <c r="AH111" s="41"/>
      <c r="AI111" s="41"/>
      <c r="AJ111" s="41"/>
      <c r="AK111" s="155">
        <v>41674.0</v>
      </c>
      <c r="AL111" s="56" t="s">
        <v>262</v>
      </c>
    </row>
    <row r="112" ht="22.5" customHeight="1">
      <c r="A112" s="238" t="s">
        <v>1764</v>
      </c>
      <c r="B112" s="63" t="s">
        <v>1765</v>
      </c>
      <c r="C112" s="32" t="s">
        <v>1766</v>
      </c>
      <c r="D112" s="34" t="s">
        <v>1010</v>
      </c>
      <c r="E112" s="38" t="s">
        <v>1768</v>
      </c>
      <c r="F112" s="34" t="s">
        <v>140</v>
      </c>
      <c r="G112" s="34" t="s">
        <v>85</v>
      </c>
      <c r="H112" s="48">
        <v>42222.0</v>
      </c>
      <c r="I112" s="48">
        <v>42222.0</v>
      </c>
      <c r="J112" s="36"/>
      <c r="K112" s="32" t="s">
        <v>86</v>
      </c>
      <c r="L112" s="41" t="s">
        <v>115</v>
      </c>
      <c r="M112" s="42" t="s">
        <v>88</v>
      </c>
      <c r="N112" s="38" t="s">
        <v>89</v>
      </c>
      <c r="O112" s="32" t="s">
        <v>954</v>
      </c>
      <c r="P112" s="32" t="s">
        <v>955</v>
      </c>
      <c r="Q112" s="38" t="s">
        <v>1558</v>
      </c>
      <c r="R112" s="48">
        <v>43318.0</v>
      </c>
      <c r="S112" s="38" t="s">
        <v>954</v>
      </c>
      <c r="T112" s="45" t="s">
        <v>1769</v>
      </c>
      <c r="U112" s="45" t="s">
        <v>1770</v>
      </c>
      <c r="V112" s="34" t="s">
        <v>80</v>
      </c>
      <c r="W112" s="60" t="s">
        <v>1772</v>
      </c>
      <c r="X112" s="60" t="s">
        <v>1773</v>
      </c>
      <c r="Y112" s="109" t="s">
        <v>1774</v>
      </c>
      <c r="Z112" s="32" t="s">
        <v>112</v>
      </c>
      <c r="AA112" s="32"/>
      <c r="AB112" s="32" t="s">
        <v>113</v>
      </c>
      <c r="AC112" s="60"/>
      <c r="AD112" s="136"/>
      <c r="AE112" s="30"/>
      <c r="AF112" s="34" t="s">
        <v>74</v>
      </c>
      <c r="AG112" s="56" t="s">
        <v>1775</v>
      </c>
      <c r="AH112" s="63"/>
      <c r="AI112" s="41"/>
      <c r="AJ112" s="41"/>
      <c r="AK112" s="132">
        <v>42018.0</v>
      </c>
      <c r="AL112" s="56" t="s">
        <v>965</v>
      </c>
    </row>
    <row r="113" ht="22.5" customHeight="1">
      <c r="A113" s="238" t="s">
        <v>1777</v>
      </c>
      <c r="B113" s="63" t="s">
        <v>1765</v>
      </c>
      <c r="C113" s="32" t="s">
        <v>1766</v>
      </c>
      <c r="D113" s="34" t="s">
        <v>845</v>
      </c>
      <c r="E113" s="38" t="s">
        <v>1768</v>
      </c>
      <c r="F113" s="34" t="s">
        <v>140</v>
      </c>
      <c r="G113" s="34" t="s">
        <v>85</v>
      </c>
      <c r="H113" s="48">
        <v>42251.0</v>
      </c>
      <c r="I113" s="48">
        <v>42251.0</v>
      </c>
      <c r="J113" s="36"/>
      <c r="K113" s="32" t="s">
        <v>70</v>
      </c>
      <c r="L113" s="41" t="s">
        <v>115</v>
      </c>
      <c r="M113" s="42" t="s">
        <v>88</v>
      </c>
      <c r="N113" s="38" t="s">
        <v>89</v>
      </c>
      <c r="O113" s="32" t="s">
        <v>954</v>
      </c>
      <c r="P113" s="32" t="s">
        <v>955</v>
      </c>
      <c r="Q113" s="121" t="s">
        <v>1779</v>
      </c>
      <c r="R113" s="48">
        <v>43347.0</v>
      </c>
      <c r="S113" s="38" t="s">
        <v>954</v>
      </c>
      <c r="T113" s="45" t="s">
        <v>1769</v>
      </c>
      <c r="U113" s="56" t="s">
        <v>1781</v>
      </c>
      <c r="V113" s="34" t="s">
        <v>80</v>
      </c>
      <c r="W113" s="60" t="s">
        <v>1772</v>
      </c>
      <c r="X113" s="60" t="s">
        <v>1773</v>
      </c>
      <c r="Y113" s="109" t="s">
        <v>1774</v>
      </c>
      <c r="Z113" s="32" t="s">
        <v>112</v>
      </c>
      <c r="AA113" s="68"/>
      <c r="AB113" s="32" t="s">
        <v>113</v>
      </c>
      <c r="AC113" s="60" t="s">
        <v>1782</v>
      </c>
      <c r="AD113" s="136">
        <v>42236.0</v>
      </c>
      <c r="AE113" s="30"/>
      <c r="AF113" s="34" t="s">
        <v>80</v>
      </c>
      <c r="AG113" s="56" t="s">
        <v>1775</v>
      </c>
      <c r="AH113" s="63" t="s">
        <v>193</v>
      </c>
      <c r="AI113" s="41"/>
      <c r="AJ113" s="41"/>
      <c r="AK113" s="132">
        <v>42018.0</v>
      </c>
      <c r="AL113" s="56" t="s">
        <v>965</v>
      </c>
    </row>
    <row r="114" ht="22.5" customHeight="1">
      <c r="A114" s="238" t="s">
        <v>1784</v>
      </c>
      <c r="B114" s="63" t="s">
        <v>1228</v>
      </c>
      <c r="C114" s="32" t="s">
        <v>1229</v>
      </c>
      <c r="D114" s="34" t="s">
        <v>75</v>
      </c>
      <c r="E114" s="38" t="s">
        <v>1230</v>
      </c>
      <c r="F114" s="34" t="s">
        <v>93</v>
      </c>
      <c r="G114" s="34" t="s">
        <v>85</v>
      </c>
      <c r="H114" s="154">
        <v>42039.0</v>
      </c>
      <c r="I114" s="154">
        <v>42031.0</v>
      </c>
      <c r="J114" s="48">
        <v>42039.0</v>
      </c>
      <c r="K114" s="32" t="s">
        <v>70</v>
      </c>
      <c r="L114" s="41" t="s">
        <v>115</v>
      </c>
      <c r="M114" s="63" t="s">
        <v>218</v>
      </c>
      <c r="N114" s="38" t="s">
        <v>89</v>
      </c>
      <c r="O114" s="32" t="s">
        <v>116</v>
      </c>
      <c r="P114" s="38"/>
      <c r="Q114" s="32" t="s">
        <v>117</v>
      </c>
      <c r="R114" s="232"/>
      <c r="S114" s="32" t="s">
        <v>116</v>
      </c>
      <c r="T114" s="45" t="s">
        <v>1787</v>
      </c>
      <c r="U114" s="56" t="s">
        <v>1788</v>
      </c>
      <c r="V114" s="34" t="s">
        <v>80</v>
      </c>
      <c r="W114" s="60" t="s">
        <v>1237</v>
      </c>
      <c r="X114" s="60" t="s">
        <v>1238</v>
      </c>
      <c r="Y114" s="109" t="s">
        <v>1239</v>
      </c>
      <c r="Z114" s="32" t="s">
        <v>112</v>
      </c>
      <c r="AA114" s="32"/>
      <c r="AB114" s="60" t="s">
        <v>575</v>
      </c>
      <c r="AC114" s="60" t="s">
        <v>1789</v>
      </c>
      <c r="AD114" s="257">
        <v>42039.0</v>
      </c>
      <c r="AE114" s="30" t="s">
        <v>1791</v>
      </c>
      <c r="AF114" s="34" t="s">
        <v>80</v>
      </c>
      <c r="AG114" s="56" t="s">
        <v>1245</v>
      </c>
      <c r="AH114" s="42" t="s">
        <v>727</v>
      </c>
      <c r="AI114" s="41"/>
      <c r="AJ114" s="41"/>
      <c r="AK114" s="58">
        <v>41677.0</v>
      </c>
      <c r="AL114" s="63"/>
    </row>
    <row r="115" ht="22.5" customHeight="1">
      <c r="A115" s="238" t="s">
        <v>1793</v>
      </c>
      <c r="B115" s="60" t="s">
        <v>1795</v>
      </c>
      <c r="C115" s="32" t="s">
        <v>1796</v>
      </c>
      <c r="D115" s="34" t="s">
        <v>75</v>
      </c>
      <c r="E115" s="38" t="s">
        <v>1797</v>
      </c>
      <c r="F115" s="34" t="s">
        <v>140</v>
      </c>
      <c r="G115" s="34" t="s">
        <v>85</v>
      </c>
      <c r="H115" s="48">
        <v>42046.0</v>
      </c>
      <c r="I115" s="48">
        <v>42046.0</v>
      </c>
      <c r="J115" s="36"/>
      <c r="K115" s="32" t="s">
        <v>70</v>
      </c>
      <c r="L115" s="41" t="s">
        <v>115</v>
      </c>
      <c r="M115" s="42" t="s">
        <v>88</v>
      </c>
      <c r="N115" s="38" t="s">
        <v>89</v>
      </c>
      <c r="O115" s="32" t="s">
        <v>1798</v>
      </c>
      <c r="P115" s="38"/>
      <c r="Q115" s="38" t="s">
        <v>1799</v>
      </c>
      <c r="R115" s="36"/>
      <c r="S115" s="32" t="s">
        <v>1798</v>
      </c>
      <c r="T115" s="45" t="s">
        <v>1800</v>
      </c>
      <c r="U115" s="45" t="s">
        <v>1803</v>
      </c>
      <c r="V115" s="34" t="s">
        <v>80</v>
      </c>
      <c r="W115" s="60" t="s">
        <v>1804</v>
      </c>
      <c r="X115" s="149" t="s">
        <v>1805</v>
      </c>
      <c r="Y115" s="109" t="s">
        <v>1806</v>
      </c>
      <c r="Z115" s="32" t="s">
        <v>112</v>
      </c>
      <c r="AA115" s="32"/>
      <c r="AB115" s="123" t="s">
        <v>113</v>
      </c>
      <c r="AC115" s="60" t="s">
        <v>1809</v>
      </c>
      <c r="AD115" s="136">
        <v>42111.0</v>
      </c>
      <c r="AE115" s="53"/>
      <c r="AF115" s="34" t="s">
        <v>80</v>
      </c>
      <c r="AG115" s="56" t="s">
        <v>1810</v>
      </c>
      <c r="AH115" s="63" t="s">
        <v>193</v>
      </c>
      <c r="AI115" s="41"/>
      <c r="AJ115" s="41"/>
      <c r="AK115" s="58">
        <v>41925.0</v>
      </c>
      <c r="AL115" s="56" t="s">
        <v>1813</v>
      </c>
    </row>
    <row r="116" ht="22.5" customHeight="1">
      <c r="A116" s="238" t="s">
        <v>1816</v>
      </c>
      <c r="B116" s="60" t="s">
        <v>1795</v>
      </c>
      <c r="C116" s="32" t="s">
        <v>1796</v>
      </c>
      <c r="D116" s="34" t="s">
        <v>75</v>
      </c>
      <c r="E116" s="38" t="s">
        <v>1797</v>
      </c>
      <c r="F116" s="34" t="s">
        <v>140</v>
      </c>
      <c r="G116" s="34" t="s">
        <v>168</v>
      </c>
      <c r="H116" s="48">
        <v>42166.0</v>
      </c>
      <c r="I116" s="48">
        <v>42072.0</v>
      </c>
      <c r="J116" s="48">
        <v>42166.0</v>
      </c>
      <c r="K116" s="32" t="s">
        <v>86</v>
      </c>
      <c r="L116" s="41" t="s">
        <v>115</v>
      </c>
      <c r="M116" s="42" t="s">
        <v>88</v>
      </c>
      <c r="N116" s="38" t="s">
        <v>89</v>
      </c>
      <c r="O116" s="32" t="s">
        <v>142</v>
      </c>
      <c r="P116" s="38" t="s">
        <v>1050</v>
      </c>
      <c r="Q116" s="38" t="s">
        <v>1462</v>
      </c>
      <c r="R116" s="36">
        <v>43168.0</v>
      </c>
      <c r="S116" s="32" t="s">
        <v>1798</v>
      </c>
      <c r="T116" s="45" t="s">
        <v>1800</v>
      </c>
      <c r="U116" s="56" t="s">
        <v>1819</v>
      </c>
      <c r="V116" s="34" t="s">
        <v>80</v>
      </c>
      <c r="W116" s="60" t="s">
        <v>1804</v>
      </c>
      <c r="X116" s="149" t="s">
        <v>1805</v>
      </c>
      <c r="Y116" s="109" t="s">
        <v>1806</v>
      </c>
      <c r="Z116" s="32" t="s">
        <v>112</v>
      </c>
      <c r="AA116" s="32"/>
      <c r="AB116" s="123" t="s">
        <v>113</v>
      </c>
      <c r="AC116" s="60"/>
      <c r="AD116" s="66"/>
      <c r="AE116" s="53"/>
      <c r="AF116" s="34" t="s">
        <v>80</v>
      </c>
      <c r="AG116" s="56" t="s">
        <v>1810</v>
      </c>
      <c r="AH116" s="41"/>
      <c r="AI116" s="41"/>
      <c r="AJ116" s="41"/>
      <c r="AK116" s="58">
        <v>41925.0</v>
      </c>
      <c r="AL116" s="56" t="s">
        <v>262</v>
      </c>
    </row>
    <row r="117" ht="22.5" customHeight="1">
      <c r="A117" s="238" t="s">
        <v>1823</v>
      </c>
      <c r="B117" s="60" t="s">
        <v>1795</v>
      </c>
      <c r="C117" s="32" t="s">
        <v>1796</v>
      </c>
      <c r="D117" s="34" t="s">
        <v>75</v>
      </c>
      <c r="E117" s="38" t="s">
        <v>1797</v>
      </c>
      <c r="F117" s="34" t="s">
        <v>140</v>
      </c>
      <c r="G117" s="34" t="s">
        <v>168</v>
      </c>
      <c r="H117" s="48">
        <v>42277.0</v>
      </c>
      <c r="I117" s="36"/>
      <c r="J117" s="48">
        <v>42277.0</v>
      </c>
      <c r="K117" s="32" t="s">
        <v>70</v>
      </c>
      <c r="L117" s="41" t="s">
        <v>115</v>
      </c>
      <c r="M117" s="42" t="s">
        <v>88</v>
      </c>
      <c r="N117" s="38" t="s">
        <v>89</v>
      </c>
      <c r="O117" s="32" t="s">
        <v>196</v>
      </c>
      <c r="P117" s="32" t="s">
        <v>1826</v>
      </c>
      <c r="Q117" s="38" t="s">
        <v>1827</v>
      </c>
      <c r="R117" s="36">
        <v>43373.0</v>
      </c>
      <c r="S117" s="32" t="s">
        <v>1798</v>
      </c>
      <c r="T117" s="45" t="s">
        <v>1800</v>
      </c>
      <c r="U117" s="56" t="s">
        <v>1828</v>
      </c>
      <c r="V117" s="34" t="s">
        <v>80</v>
      </c>
      <c r="W117" s="60" t="s">
        <v>1804</v>
      </c>
      <c r="X117" s="149" t="s">
        <v>1805</v>
      </c>
      <c r="Y117" s="109" t="s">
        <v>1806</v>
      </c>
      <c r="Z117" s="32" t="s">
        <v>112</v>
      </c>
      <c r="AA117" s="32"/>
      <c r="AB117" s="123" t="s">
        <v>113</v>
      </c>
      <c r="AC117" s="60"/>
      <c r="AD117" s="66"/>
      <c r="AE117" s="53"/>
      <c r="AF117" s="34" t="s">
        <v>80</v>
      </c>
      <c r="AG117" s="56" t="s">
        <v>1810</v>
      </c>
      <c r="AH117" s="41"/>
      <c r="AI117" s="41"/>
      <c r="AJ117" s="41"/>
      <c r="AK117" s="58">
        <v>41925.0</v>
      </c>
      <c r="AL117" s="56" t="s">
        <v>208</v>
      </c>
    </row>
    <row r="118" ht="22.5" customHeight="1">
      <c r="A118" s="238" t="s">
        <v>1831</v>
      </c>
      <c r="B118" s="63" t="s">
        <v>1251</v>
      </c>
      <c r="C118" s="32" t="s">
        <v>1832</v>
      </c>
      <c r="D118" s="41" t="s">
        <v>75</v>
      </c>
      <c r="E118" s="103" t="s">
        <v>1833</v>
      </c>
      <c r="F118" s="34" t="s">
        <v>93</v>
      </c>
      <c r="G118" s="34" t="s">
        <v>85</v>
      </c>
      <c r="H118" s="48">
        <v>42221.0</v>
      </c>
      <c r="I118" s="48">
        <v>42202.0</v>
      </c>
      <c r="J118" s="48">
        <v>42221.0</v>
      </c>
      <c r="K118" s="32" t="s">
        <v>70</v>
      </c>
      <c r="L118" s="41" t="s">
        <v>115</v>
      </c>
      <c r="M118" s="103" t="s">
        <v>88</v>
      </c>
      <c r="N118" s="38" t="s">
        <v>89</v>
      </c>
      <c r="O118" s="32" t="s">
        <v>116</v>
      </c>
      <c r="P118" s="38"/>
      <c r="Q118" s="32" t="s">
        <v>117</v>
      </c>
      <c r="R118" s="34"/>
      <c r="S118" s="32" t="s">
        <v>116</v>
      </c>
      <c r="T118" s="45" t="s">
        <v>1835</v>
      </c>
      <c r="U118" s="109" t="s">
        <v>1836</v>
      </c>
      <c r="V118" s="34" t="s">
        <v>80</v>
      </c>
      <c r="W118" s="60" t="s">
        <v>1838</v>
      </c>
      <c r="X118" s="60" t="s">
        <v>1839</v>
      </c>
      <c r="Y118" s="109" t="s">
        <v>1841</v>
      </c>
      <c r="Z118" s="32" t="s">
        <v>112</v>
      </c>
      <c r="AA118" s="32"/>
      <c r="AB118" s="123" t="s">
        <v>113</v>
      </c>
      <c r="AC118" s="60" t="s">
        <v>1842</v>
      </c>
      <c r="AD118" s="66">
        <v>42202.0</v>
      </c>
      <c r="AE118" s="53"/>
      <c r="AF118" s="34" t="s">
        <v>80</v>
      </c>
      <c r="AG118" s="56" t="s">
        <v>1845</v>
      </c>
      <c r="AH118" s="41"/>
      <c r="AI118" s="41"/>
      <c r="AJ118" s="41"/>
      <c r="AK118" s="58">
        <v>41340.0</v>
      </c>
      <c r="AL118" s="63"/>
    </row>
    <row r="119" ht="22.5" customHeight="1">
      <c r="A119" s="238" t="s">
        <v>1847</v>
      </c>
      <c r="B119" s="63" t="s">
        <v>1251</v>
      </c>
      <c r="C119" s="32" t="s">
        <v>1252</v>
      </c>
      <c r="D119" s="41" t="s">
        <v>91</v>
      </c>
      <c r="E119" s="38" t="s">
        <v>1253</v>
      </c>
      <c r="F119" s="34" t="s">
        <v>93</v>
      </c>
      <c r="G119" s="34" t="s">
        <v>168</v>
      </c>
      <c r="H119" s="48">
        <v>42089.0</v>
      </c>
      <c r="I119" s="48">
        <v>42089.0</v>
      </c>
      <c r="J119" s="48">
        <v>42089.0</v>
      </c>
      <c r="K119" s="32" t="s">
        <v>86</v>
      </c>
      <c r="L119" s="41" t="s">
        <v>115</v>
      </c>
      <c r="M119" s="63" t="s">
        <v>218</v>
      </c>
      <c r="N119" s="38" t="s">
        <v>89</v>
      </c>
      <c r="O119" s="32" t="s">
        <v>142</v>
      </c>
      <c r="P119" s="38" t="s">
        <v>1050</v>
      </c>
      <c r="Q119" s="38" t="s">
        <v>1462</v>
      </c>
      <c r="R119" s="36">
        <v>42681.0</v>
      </c>
      <c r="S119" s="32" t="s">
        <v>116</v>
      </c>
      <c r="T119" s="45" t="s">
        <v>1850</v>
      </c>
      <c r="U119" s="56" t="s">
        <v>1851</v>
      </c>
      <c r="V119" s="34" t="s">
        <v>80</v>
      </c>
      <c r="W119" s="60" t="s">
        <v>1261</v>
      </c>
      <c r="X119" s="32" t="s">
        <v>1262</v>
      </c>
      <c r="Y119" s="109" t="s">
        <v>1263</v>
      </c>
      <c r="Z119" s="32" t="s">
        <v>112</v>
      </c>
      <c r="AA119" s="32"/>
      <c r="AB119" s="32" t="s">
        <v>113</v>
      </c>
      <c r="AC119" s="60"/>
      <c r="AD119" s="66"/>
      <c r="AE119" s="53"/>
      <c r="AF119" s="34" t="s">
        <v>80</v>
      </c>
      <c r="AG119" s="56" t="s">
        <v>1269</v>
      </c>
      <c r="AH119" s="41"/>
      <c r="AI119" s="41"/>
      <c r="AJ119" s="41"/>
      <c r="AK119" s="58">
        <v>41162.0</v>
      </c>
      <c r="AL119" s="56" t="s">
        <v>262</v>
      </c>
    </row>
    <row r="120" ht="22.5" customHeight="1">
      <c r="A120" s="238" t="s">
        <v>1855</v>
      </c>
      <c r="B120" s="63" t="s">
        <v>1856</v>
      </c>
      <c r="C120" s="32" t="s">
        <v>1857</v>
      </c>
      <c r="D120" s="41" t="s">
        <v>91</v>
      </c>
      <c r="E120" s="103" t="s">
        <v>1858</v>
      </c>
      <c r="F120" s="34" t="s">
        <v>93</v>
      </c>
      <c r="G120" s="34" t="s">
        <v>85</v>
      </c>
      <c r="H120" s="48">
        <v>42208.0</v>
      </c>
      <c r="I120" s="48">
        <v>42202.0</v>
      </c>
      <c r="J120" s="48">
        <v>42208.0</v>
      </c>
      <c r="K120" s="32" t="s">
        <v>70</v>
      </c>
      <c r="L120" s="41" t="s">
        <v>115</v>
      </c>
      <c r="M120" s="60" t="s">
        <v>313</v>
      </c>
      <c r="N120" s="32" t="s">
        <v>1860</v>
      </c>
      <c r="O120" s="32" t="s">
        <v>116</v>
      </c>
      <c r="P120" s="38"/>
      <c r="Q120" s="32" t="s">
        <v>117</v>
      </c>
      <c r="R120" s="36"/>
      <c r="S120" s="32" t="s">
        <v>116</v>
      </c>
      <c r="T120" s="203" t="s">
        <v>1862</v>
      </c>
      <c r="U120" s="109" t="s">
        <v>1863</v>
      </c>
      <c r="V120" s="34" t="s">
        <v>80</v>
      </c>
      <c r="W120" s="60" t="s">
        <v>1866</v>
      </c>
      <c r="X120" s="60" t="s">
        <v>1868</v>
      </c>
      <c r="Y120" s="109" t="s">
        <v>1869</v>
      </c>
      <c r="Z120" s="32" t="s">
        <v>112</v>
      </c>
      <c r="AA120" s="32"/>
      <c r="AB120" s="60" t="s">
        <v>113</v>
      </c>
      <c r="AC120" s="60" t="s">
        <v>1870</v>
      </c>
      <c r="AD120" s="66">
        <v>42208.0</v>
      </c>
      <c r="AE120" s="53"/>
      <c r="AF120" s="34" t="s">
        <v>80</v>
      </c>
      <c r="AG120" s="56" t="s">
        <v>1872</v>
      </c>
      <c r="AH120" s="41"/>
      <c r="AI120" s="41"/>
      <c r="AJ120" s="41"/>
      <c r="AK120" s="58">
        <v>41703.0</v>
      </c>
      <c r="AL120" s="63"/>
    </row>
    <row r="121" ht="22.5" customHeight="1">
      <c r="A121" s="238" t="s">
        <v>1874</v>
      </c>
      <c r="B121" s="63" t="s">
        <v>768</v>
      </c>
      <c r="C121" s="32" t="s">
        <v>769</v>
      </c>
      <c r="D121" s="41" t="s">
        <v>91</v>
      </c>
      <c r="E121" s="38" t="s">
        <v>773</v>
      </c>
      <c r="F121" s="34" t="s">
        <v>140</v>
      </c>
      <c r="G121" s="34" t="s">
        <v>168</v>
      </c>
      <c r="H121" s="48">
        <v>42089.0</v>
      </c>
      <c r="I121" s="48">
        <v>42089.0</v>
      </c>
      <c r="J121" s="48">
        <v>42089.0</v>
      </c>
      <c r="K121" s="32" t="s">
        <v>86</v>
      </c>
      <c r="L121" s="41" t="s">
        <v>115</v>
      </c>
      <c r="M121" s="63" t="s">
        <v>218</v>
      </c>
      <c r="N121" s="38" t="s">
        <v>89</v>
      </c>
      <c r="O121" s="32" t="s">
        <v>142</v>
      </c>
      <c r="P121" s="38" t="s">
        <v>1050</v>
      </c>
      <c r="Q121" s="38" t="s">
        <v>1462</v>
      </c>
      <c r="R121" s="36">
        <v>42526.0</v>
      </c>
      <c r="S121" s="32" t="s">
        <v>116</v>
      </c>
      <c r="T121" s="45" t="s">
        <v>784</v>
      </c>
      <c r="U121" s="56" t="s">
        <v>1877</v>
      </c>
      <c r="V121" s="34" t="s">
        <v>80</v>
      </c>
      <c r="W121" s="60" t="s">
        <v>790</v>
      </c>
      <c r="X121" s="60" t="s">
        <v>791</v>
      </c>
      <c r="Y121" s="109" t="s">
        <v>792</v>
      </c>
      <c r="Z121" s="32" t="s">
        <v>112</v>
      </c>
      <c r="AA121" s="32"/>
      <c r="AB121" s="123" t="s">
        <v>113</v>
      </c>
      <c r="AC121" s="60"/>
      <c r="AD121" s="66"/>
      <c r="AE121" s="30" t="s">
        <v>1880</v>
      </c>
      <c r="AF121" s="34" t="s">
        <v>74</v>
      </c>
      <c r="AG121" s="63"/>
      <c r="AH121" s="41"/>
      <c r="AI121" s="41"/>
      <c r="AJ121" s="41"/>
      <c r="AK121" s="58">
        <v>41172.0</v>
      </c>
      <c r="AL121" s="56" t="s">
        <v>262</v>
      </c>
    </row>
    <row r="122" ht="22.5" customHeight="1">
      <c r="A122" s="238" t="s">
        <v>1882</v>
      </c>
      <c r="B122" s="63" t="s">
        <v>843</v>
      </c>
      <c r="C122" s="32" t="s">
        <v>844</v>
      </c>
      <c r="D122" s="34" t="s">
        <v>845</v>
      </c>
      <c r="E122" s="38" t="s">
        <v>846</v>
      </c>
      <c r="F122" s="34" t="s">
        <v>140</v>
      </c>
      <c r="G122" s="34" t="s">
        <v>168</v>
      </c>
      <c r="H122" s="48">
        <v>42086.0</v>
      </c>
      <c r="I122" s="36"/>
      <c r="J122" s="48">
        <v>42086.0</v>
      </c>
      <c r="K122" s="32" t="s">
        <v>86</v>
      </c>
      <c r="L122" s="41" t="s">
        <v>115</v>
      </c>
      <c r="M122" s="42" t="s">
        <v>88</v>
      </c>
      <c r="N122" s="38" t="s">
        <v>89</v>
      </c>
      <c r="O122" s="32" t="s">
        <v>1195</v>
      </c>
      <c r="P122" s="32" t="s">
        <v>1884</v>
      </c>
      <c r="Q122" s="38" t="s">
        <v>1885</v>
      </c>
      <c r="R122" s="48">
        <v>43182.0</v>
      </c>
      <c r="S122" s="32" t="s">
        <v>220</v>
      </c>
      <c r="T122" s="45" t="s">
        <v>855</v>
      </c>
      <c r="U122" s="45" t="s">
        <v>1888</v>
      </c>
      <c r="V122" s="34" t="s">
        <v>80</v>
      </c>
      <c r="W122" s="32" t="s">
        <v>561</v>
      </c>
      <c r="X122" s="32" t="s">
        <v>561</v>
      </c>
      <c r="Y122" s="45" t="s">
        <v>859</v>
      </c>
      <c r="Z122" s="32" t="s">
        <v>112</v>
      </c>
      <c r="AA122" s="32"/>
      <c r="AB122" s="60" t="s">
        <v>860</v>
      </c>
      <c r="AC122" s="60"/>
      <c r="AD122" s="66"/>
      <c r="AE122" s="53"/>
      <c r="AF122" s="34" t="s">
        <v>74</v>
      </c>
      <c r="AG122" s="56" t="s">
        <v>865</v>
      </c>
      <c r="AH122" s="41"/>
      <c r="AI122" s="41"/>
      <c r="AJ122" s="58">
        <v>41779.0</v>
      </c>
      <c r="AK122" s="58">
        <v>41612.0</v>
      </c>
      <c r="AL122" s="56" t="s">
        <v>1215</v>
      </c>
    </row>
    <row r="123" ht="22.5" customHeight="1">
      <c r="A123" s="238" t="s">
        <v>1891</v>
      </c>
      <c r="B123" s="63" t="s">
        <v>843</v>
      </c>
      <c r="C123" s="32" t="s">
        <v>844</v>
      </c>
      <c r="D123" s="34" t="s">
        <v>845</v>
      </c>
      <c r="E123" s="38" t="s">
        <v>846</v>
      </c>
      <c r="F123" s="34" t="s">
        <v>140</v>
      </c>
      <c r="G123" s="34" t="s">
        <v>168</v>
      </c>
      <c r="H123" s="48">
        <v>42089.0</v>
      </c>
      <c r="I123" s="48">
        <v>42089.0</v>
      </c>
      <c r="J123" s="48">
        <v>42089.0</v>
      </c>
      <c r="K123" s="32" t="s">
        <v>86</v>
      </c>
      <c r="L123" s="41" t="s">
        <v>115</v>
      </c>
      <c r="M123" s="42" t="s">
        <v>88</v>
      </c>
      <c r="N123" s="38" t="s">
        <v>89</v>
      </c>
      <c r="O123" s="32" t="s">
        <v>142</v>
      </c>
      <c r="P123" s="38" t="s">
        <v>1050</v>
      </c>
      <c r="Q123" s="38" t="s">
        <v>1462</v>
      </c>
      <c r="R123" s="36">
        <v>42892.0</v>
      </c>
      <c r="S123" s="32" t="s">
        <v>220</v>
      </c>
      <c r="T123" s="45" t="s">
        <v>855</v>
      </c>
      <c r="U123" s="56" t="s">
        <v>1893</v>
      </c>
      <c r="V123" s="34" t="s">
        <v>80</v>
      </c>
      <c r="W123" s="32" t="s">
        <v>561</v>
      </c>
      <c r="X123" s="32" t="s">
        <v>561</v>
      </c>
      <c r="Y123" s="45" t="s">
        <v>859</v>
      </c>
      <c r="Z123" s="32" t="s">
        <v>112</v>
      </c>
      <c r="AA123" s="32"/>
      <c r="AB123" s="60" t="s">
        <v>860</v>
      </c>
      <c r="AC123" s="60"/>
      <c r="AD123" s="66"/>
      <c r="AE123" s="53"/>
      <c r="AF123" s="34" t="s">
        <v>74</v>
      </c>
      <c r="AG123" s="56" t="s">
        <v>865</v>
      </c>
      <c r="AH123" s="41"/>
      <c r="AI123" s="41"/>
      <c r="AJ123" s="58">
        <v>41779.0</v>
      </c>
      <c r="AK123" s="58">
        <v>41612.0</v>
      </c>
      <c r="AL123" s="56" t="s">
        <v>262</v>
      </c>
    </row>
    <row r="124" ht="22.5" customHeight="1">
      <c r="A124" s="238" t="s">
        <v>1895</v>
      </c>
      <c r="B124" s="63" t="s">
        <v>843</v>
      </c>
      <c r="C124" s="32" t="s">
        <v>844</v>
      </c>
      <c r="D124" s="34" t="s">
        <v>845</v>
      </c>
      <c r="E124" s="38" t="s">
        <v>846</v>
      </c>
      <c r="F124" s="34" t="s">
        <v>140</v>
      </c>
      <c r="G124" s="34" t="s">
        <v>85</v>
      </c>
      <c r="H124" s="48">
        <v>42213.0</v>
      </c>
      <c r="I124" s="48">
        <v>42213.0</v>
      </c>
      <c r="J124" s="36"/>
      <c r="K124" s="32" t="s">
        <v>70</v>
      </c>
      <c r="L124" s="41" t="s">
        <v>115</v>
      </c>
      <c r="M124" s="42" t="s">
        <v>88</v>
      </c>
      <c r="N124" s="38" t="s">
        <v>89</v>
      </c>
      <c r="O124" s="38" t="s">
        <v>220</v>
      </c>
      <c r="P124" s="38"/>
      <c r="Q124" s="38" t="s">
        <v>1273</v>
      </c>
      <c r="R124" s="48"/>
      <c r="S124" s="32" t="s">
        <v>220</v>
      </c>
      <c r="T124" s="45" t="s">
        <v>855</v>
      </c>
      <c r="U124" s="56" t="s">
        <v>1896</v>
      </c>
      <c r="V124" s="34" t="s">
        <v>80</v>
      </c>
      <c r="W124" s="32" t="s">
        <v>561</v>
      </c>
      <c r="X124" s="32" t="s">
        <v>561</v>
      </c>
      <c r="Y124" s="45" t="s">
        <v>859</v>
      </c>
      <c r="Z124" s="32" t="s">
        <v>112</v>
      </c>
      <c r="AA124" s="32"/>
      <c r="AB124" s="60" t="s">
        <v>860</v>
      </c>
      <c r="AC124" s="60" t="s">
        <v>1898</v>
      </c>
      <c r="AD124" s="66"/>
      <c r="AE124" s="53"/>
      <c r="AF124" s="34" t="s">
        <v>80</v>
      </c>
      <c r="AG124" s="56" t="s">
        <v>865</v>
      </c>
      <c r="AH124" s="41"/>
      <c r="AI124" s="41"/>
      <c r="AJ124" s="58">
        <v>41779.0</v>
      </c>
      <c r="AK124" s="58">
        <v>41612.0</v>
      </c>
      <c r="AL124" s="56" t="s">
        <v>232</v>
      </c>
    </row>
    <row r="125" ht="22.5" customHeight="1">
      <c r="A125" s="238" t="s">
        <v>1900</v>
      </c>
      <c r="B125" s="63" t="s">
        <v>888</v>
      </c>
      <c r="C125" s="32" t="s">
        <v>1281</v>
      </c>
      <c r="D125" s="41" t="s">
        <v>75</v>
      </c>
      <c r="E125" s="38" t="s">
        <v>1282</v>
      </c>
      <c r="F125" s="34" t="s">
        <v>140</v>
      </c>
      <c r="G125" s="34" t="s">
        <v>85</v>
      </c>
      <c r="H125" s="48">
        <v>41956.0</v>
      </c>
      <c r="I125" s="36"/>
      <c r="J125" s="48">
        <v>41956.0</v>
      </c>
      <c r="K125" s="32" t="s">
        <v>86</v>
      </c>
      <c r="L125" s="41" t="s">
        <v>115</v>
      </c>
      <c r="M125" s="63" t="s">
        <v>88</v>
      </c>
      <c r="N125" s="38" t="s">
        <v>89</v>
      </c>
      <c r="O125" s="32" t="s">
        <v>196</v>
      </c>
      <c r="P125" s="32" t="s">
        <v>1903</v>
      </c>
      <c r="Q125" s="38" t="s">
        <v>1904</v>
      </c>
      <c r="R125" s="48">
        <v>43052.0</v>
      </c>
      <c r="S125" s="32" t="s">
        <v>196</v>
      </c>
      <c r="T125" s="45" t="s">
        <v>1285</v>
      </c>
      <c r="U125" s="45" t="s">
        <v>1905</v>
      </c>
      <c r="V125" s="34" t="s">
        <v>80</v>
      </c>
      <c r="W125" s="32" t="s">
        <v>561</v>
      </c>
      <c r="X125" s="60" t="s">
        <v>1287</v>
      </c>
      <c r="Y125" s="45" t="s">
        <v>1288</v>
      </c>
      <c r="Z125" s="32" t="s">
        <v>112</v>
      </c>
      <c r="AA125" s="32"/>
      <c r="AB125" s="32" t="s">
        <v>113</v>
      </c>
      <c r="AC125" s="60" t="s">
        <v>1907</v>
      </c>
      <c r="AD125" s="136">
        <v>41963.0</v>
      </c>
      <c r="AE125" s="53"/>
      <c r="AF125" s="34" t="s">
        <v>74</v>
      </c>
      <c r="AG125" s="56" t="s">
        <v>900</v>
      </c>
      <c r="AH125" s="60"/>
      <c r="AI125" s="41"/>
      <c r="AJ125" s="41"/>
      <c r="AK125" s="155">
        <v>41770.0</v>
      </c>
      <c r="AL125" s="56" t="s">
        <v>208</v>
      </c>
    </row>
    <row r="126" ht="22.5" customHeight="1">
      <c r="A126" s="238" t="s">
        <v>1910</v>
      </c>
      <c r="B126" s="63" t="s">
        <v>888</v>
      </c>
      <c r="C126" s="32" t="s">
        <v>1281</v>
      </c>
      <c r="D126" s="41" t="s">
        <v>75</v>
      </c>
      <c r="E126" s="38" t="s">
        <v>1282</v>
      </c>
      <c r="F126" s="34" t="s">
        <v>140</v>
      </c>
      <c r="G126" s="34" t="s">
        <v>168</v>
      </c>
      <c r="H126" s="48">
        <v>42087.0</v>
      </c>
      <c r="I126" s="48">
        <v>42087.0</v>
      </c>
      <c r="J126" s="36"/>
      <c r="K126" s="32" t="s">
        <v>86</v>
      </c>
      <c r="L126" s="41" t="s">
        <v>115</v>
      </c>
      <c r="M126" s="63" t="s">
        <v>88</v>
      </c>
      <c r="N126" s="38" t="s">
        <v>89</v>
      </c>
      <c r="O126" s="32" t="s">
        <v>954</v>
      </c>
      <c r="P126" s="38" t="s">
        <v>1283</v>
      </c>
      <c r="Q126" s="38" t="s">
        <v>1284</v>
      </c>
      <c r="R126" s="48">
        <v>43183.0</v>
      </c>
      <c r="S126" s="32" t="s">
        <v>196</v>
      </c>
      <c r="T126" s="45" t="s">
        <v>1285</v>
      </c>
      <c r="U126" s="45" t="s">
        <v>1912</v>
      </c>
      <c r="V126" s="34" t="s">
        <v>80</v>
      </c>
      <c r="W126" s="32" t="s">
        <v>561</v>
      </c>
      <c r="X126" s="60" t="s">
        <v>1287</v>
      </c>
      <c r="Y126" s="45" t="s">
        <v>1288</v>
      </c>
      <c r="Z126" s="32" t="s">
        <v>112</v>
      </c>
      <c r="AA126" s="32"/>
      <c r="AB126" s="32" t="s">
        <v>113</v>
      </c>
      <c r="AC126" s="60"/>
      <c r="AD126" s="66"/>
      <c r="AE126" s="53"/>
      <c r="AF126" s="34" t="s">
        <v>74</v>
      </c>
      <c r="AG126" s="56" t="s">
        <v>900</v>
      </c>
      <c r="AH126" s="41"/>
      <c r="AI126" s="41"/>
      <c r="AJ126" s="41"/>
      <c r="AK126" s="155">
        <v>41770.0</v>
      </c>
      <c r="AL126" s="56" t="s">
        <v>965</v>
      </c>
    </row>
    <row r="127" ht="22.5" customHeight="1">
      <c r="A127" s="238" t="s">
        <v>1914</v>
      </c>
      <c r="B127" s="63" t="s">
        <v>888</v>
      </c>
      <c r="C127" s="32" t="s">
        <v>1281</v>
      </c>
      <c r="D127" s="41" t="s">
        <v>75</v>
      </c>
      <c r="E127" s="38" t="s">
        <v>1282</v>
      </c>
      <c r="F127" s="34" t="s">
        <v>140</v>
      </c>
      <c r="G127" s="34" t="s">
        <v>168</v>
      </c>
      <c r="H127" s="48">
        <v>42089.0</v>
      </c>
      <c r="I127" s="48">
        <v>42089.0</v>
      </c>
      <c r="J127" s="48">
        <v>42089.0</v>
      </c>
      <c r="K127" s="32" t="s">
        <v>86</v>
      </c>
      <c r="L127" s="41" t="s">
        <v>115</v>
      </c>
      <c r="M127" s="63" t="s">
        <v>88</v>
      </c>
      <c r="N127" s="38" t="s">
        <v>89</v>
      </c>
      <c r="O127" s="32" t="s">
        <v>142</v>
      </c>
      <c r="P127" s="38" t="s">
        <v>1050</v>
      </c>
      <c r="Q127" s="38" t="s">
        <v>1462</v>
      </c>
      <c r="R127" s="36">
        <v>43052.0</v>
      </c>
      <c r="S127" s="32" t="s">
        <v>196</v>
      </c>
      <c r="T127" s="45" t="s">
        <v>1285</v>
      </c>
      <c r="U127" s="56" t="s">
        <v>1915</v>
      </c>
      <c r="V127" s="34" t="s">
        <v>80</v>
      </c>
      <c r="W127" s="32" t="s">
        <v>561</v>
      </c>
      <c r="X127" s="60" t="s">
        <v>1287</v>
      </c>
      <c r="Y127" s="45" t="s">
        <v>1288</v>
      </c>
      <c r="Z127" s="32" t="s">
        <v>112</v>
      </c>
      <c r="AA127" s="32"/>
      <c r="AB127" s="32" t="s">
        <v>113</v>
      </c>
      <c r="AC127" s="60"/>
      <c r="AD127" s="66"/>
      <c r="AE127" s="53"/>
      <c r="AF127" s="34" t="s">
        <v>80</v>
      </c>
      <c r="AG127" s="56" t="s">
        <v>900</v>
      </c>
      <c r="AH127" s="41"/>
      <c r="AI127" s="41"/>
      <c r="AJ127" s="41"/>
      <c r="AK127" s="155">
        <v>41770.0</v>
      </c>
      <c r="AL127" s="56" t="s">
        <v>262</v>
      </c>
    </row>
    <row r="128" ht="22.5" customHeight="1">
      <c r="A128" s="238" t="s">
        <v>1918</v>
      </c>
      <c r="B128" s="63" t="s">
        <v>888</v>
      </c>
      <c r="C128" s="32" t="s">
        <v>1281</v>
      </c>
      <c r="D128" s="41" t="s">
        <v>75</v>
      </c>
      <c r="E128" s="38" t="s">
        <v>1282</v>
      </c>
      <c r="F128" s="34" t="s">
        <v>140</v>
      </c>
      <c r="G128" s="34" t="s">
        <v>168</v>
      </c>
      <c r="H128" s="48">
        <v>42179.0</v>
      </c>
      <c r="I128" s="48">
        <v>42179.0</v>
      </c>
      <c r="J128" s="36"/>
      <c r="K128" s="32" t="s">
        <v>86</v>
      </c>
      <c r="L128" s="41" t="s">
        <v>115</v>
      </c>
      <c r="M128" s="63" t="s">
        <v>88</v>
      </c>
      <c r="N128" s="38" t="s">
        <v>89</v>
      </c>
      <c r="O128" s="32" t="s">
        <v>1547</v>
      </c>
      <c r="P128" s="38"/>
      <c r="Q128" s="38" t="s">
        <v>1548</v>
      </c>
      <c r="R128" s="48">
        <v>43275.0</v>
      </c>
      <c r="S128" s="32" t="s">
        <v>196</v>
      </c>
      <c r="T128" s="45" t="s">
        <v>1285</v>
      </c>
      <c r="U128" s="45" t="s">
        <v>1920</v>
      </c>
      <c r="V128" s="34" t="s">
        <v>74</v>
      </c>
      <c r="W128" s="32" t="s">
        <v>561</v>
      </c>
      <c r="X128" s="60" t="s">
        <v>1287</v>
      </c>
      <c r="Y128" s="45" t="s">
        <v>1288</v>
      </c>
      <c r="Z128" s="32" t="s">
        <v>112</v>
      </c>
      <c r="AA128" s="32"/>
      <c r="AB128" s="32" t="s">
        <v>113</v>
      </c>
      <c r="AC128" s="60"/>
      <c r="AD128" s="66"/>
      <c r="AE128" s="53"/>
      <c r="AF128" s="34" t="s">
        <v>80</v>
      </c>
      <c r="AG128" s="56" t="s">
        <v>900</v>
      </c>
      <c r="AH128" s="41"/>
      <c r="AI128" s="41"/>
      <c r="AJ128" s="41"/>
      <c r="AK128" s="155">
        <v>41770.0</v>
      </c>
      <c r="AL128" s="56" t="s">
        <v>1552</v>
      </c>
    </row>
    <row r="129" ht="22.5" customHeight="1">
      <c r="A129" s="238" t="s">
        <v>1923</v>
      </c>
      <c r="B129" s="63" t="s">
        <v>888</v>
      </c>
      <c r="C129" s="32" t="s">
        <v>1281</v>
      </c>
      <c r="D129" s="41" t="s">
        <v>75</v>
      </c>
      <c r="E129" s="38" t="s">
        <v>1282</v>
      </c>
      <c r="F129" s="34" t="s">
        <v>140</v>
      </c>
      <c r="G129" s="34" t="s">
        <v>168</v>
      </c>
      <c r="H129" s="48">
        <v>42236.0</v>
      </c>
      <c r="I129" s="48">
        <v>42236.0</v>
      </c>
      <c r="J129" s="36"/>
      <c r="K129" s="32" t="s">
        <v>70</v>
      </c>
      <c r="L129" s="41" t="s">
        <v>115</v>
      </c>
      <c r="M129" s="63" t="s">
        <v>88</v>
      </c>
      <c r="N129" s="38" t="s">
        <v>89</v>
      </c>
      <c r="O129" s="32" t="s">
        <v>1731</v>
      </c>
      <c r="P129" s="32"/>
      <c r="Q129" s="32" t="s">
        <v>1924</v>
      </c>
      <c r="R129" s="48">
        <v>43332.0</v>
      </c>
      <c r="S129" s="32" t="s">
        <v>196</v>
      </c>
      <c r="T129" s="45" t="s">
        <v>1285</v>
      </c>
      <c r="U129" s="56" t="s">
        <v>1926</v>
      </c>
      <c r="V129" s="34" t="s">
        <v>74</v>
      </c>
      <c r="W129" s="32" t="s">
        <v>561</v>
      </c>
      <c r="X129" s="60" t="s">
        <v>1287</v>
      </c>
      <c r="Y129" s="45" t="s">
        <v>1288</v>
      </c>
      <c r="Z129" s="32" t="s">
        <v>112</v>
      </c>
      <c r="AA129" s="32"/>
      <c r="AB129" s="32" t="s">
        <v>113</v>
      </c>
      <c r="AC129" s="60"/>
      <c r="AD129" s="66"/>
      <c r="AE129" s="53"/>
      <c r="AF129" s="34" t="s">
        <v>80</v>
      </c>
      <c r="AG129" s="56" t="s">
        <v>900</v>
      </c>
      <c r="AH129" s="41"/>
      <c r="AI129" s="41"/>
      <c r="AJ129" s="41"/>
      <c r="AK129" s="155">
        <v>41770.0</v>
      </c>
      <c r="AL129" s="109" t="s">
        <v>1927</v>
      </c>
    </row>
    <row r="130" ht="22.5" customHeight="1">
      <c r="A130" s="238" t="s">
        <v>1929</v>
      </c>
      <c r="B130" s="63" t="s">
        <v>888</v>
      </c>
      <c r="C130" s="32" t="s">
        <v>889</v>
      </c>
      <c r="D130" s="34" t="s">
        <v>752</v>
      </c>
      <c r="E130" s="38" t="s">
        <v>892</v>
      </c>
      <c r="F130" s="34" t="s">
        <v>93</v>
      </c>
      <c r="G130" s="34" t="s">
        <v>168</v>
      </c>
      <c r="H130" s="48">
        <v>41974.0</v>
      </c>
      <c r="I130" s="48">
        <v>41968.0</v>
      </c>
      <c r="J130" s="48">
        <v>41974.0</v>
      </c>
      <c r="K130" s="32" t="s">
        <v>70</v>
      </c>
      <c r="L130" s="41" t="s">
        <v>115</v>
      </c>
      <c r="M130" s="42" t="s">
        <v>88</v>
      </c>
      <c r="N130" s="38" t="s">
        <v>89</v>
      </c>
      <c r="O130" s="32" t="s">
        <v>1574</v>
      </c>
      <c r="P130" s="38"/>
      <c r="Q130" s="38" t="s">
        <v>1575</v>
      </c>
      <c r="R130" s="48"/>
      <c r="S130" s="32" t="s">
        <v>116</v>
      </c>
      <c r="T130" s="45" t="s">
        <v>1931</v>
      </c>
      <c r="U130" s="45" t="s">
        <v>1932</v>
      </c>
      <c r="V130" s="34" t="s">
        <v>74</v>
      </c>
      <c r="W130" s="60" t="s">
        <v>1934</v>
      </c>
      <c r="X130" s="109" t="s">
        <v>1935</v>
      </c>
      <c r="Y130" s="109" t="s">
        <v>899</v>
      </c>
      <c r="Z130" s="32" t="s">
        <v>112</v>
      </c>
      <c r="AA130" s="32"/>
      <c r="AB130" s="60" t="s">
        <v>481</v>
      </c>
      <c r="AC130" s="68"/>
      <c r="AD130" s="66"/>
      <c r="AE130" s="53"/>
      <c r="AF130" s="34" t="s">
        <v>80</v>
      </c>
      <c r="AG130" s="56" t="s">
        <v>900</v>
      </c>
      <c r="AH130" s="41"/>
      <c r="AI130" s="41"/>
      <c r="AJ130" s="41"/>
      <c r="AK130" s="41"/>
      <c r="AL130" s="56" t="s">
        <v>1579</v>
      </c>
    </row>
    <row r="131" ht="22.5" customHeight="1">
      <c r="A131" s="238" t="s">
        <v>1938</v>
      </c>
      <c r="B131" s="63" t="s">
        <v>888</v>
      </c>
      <c r="C131" s="32" t="s">
        <v>889</v>
      </c>
      <c r="D131" s="34" t="s">
        <v>752</v>
      </c>
      <c r="E131" s="38" t="s">
        <v>892</v>
      </c>
      <c r="F131" s="34" t="s">
        <v>93</v>
      </c>
      <c r="G131" s="34" t="s">
        <v>168</v>
      </c>
      <c r="H131" s="48">
        <v>42089.0</v>
      </c>
      <c r="I131" s="48">
        <v>42089.0</v>
      </c>
      <c r="J131" s="48">
        <v>42089.0</v>
      </c>
      <c r="K131" s="32" t="s">
        <v>86</v>
      </c>
      <c r="L131" s="41" t="s">
        <v>115</v>
      </c>
      <c r="M131" s="42" t="s">
        <v>88</v>
      </c>
      <c r="N131" s="38" t="s">
        <v>89</v>
      </c>
      <c r="O131" s="32" t="s">
        <v>142</v>
      </c>
      <c r="P131" s="38" t="s">
        <v>1050</v>
      </c>
      <c r="Q131" s="38" t="s">
        <v>1462</v>
      </c>
      <c r="R131" s="36">
        <v>42643.0</v>
      </c>
      <c r="S131" s="32" t="s">
        <v>116</v>
      </c>
      <c r="T131" s="45" t="s">
        <v>1931</v>
      </c>
      <c r="U131" s="56" t="s">
        <v>1939</v>
      </c>
      <c r="V131" s="34" t="s">
        <v>80</v>
      </c>
      <c r="W131" s="60" t="s">
        <v>1934</v>
      </c>
      <c r="X131" s="109" t="s">
        <v>1935</v>
      </c>
      <c r="Y131" s="109" t="s">
        <v>899</v>
      </c>
      <c r="Z131" s="32" t="s">
        <v>112</v>
      </c>
      <c r="AA131" s="32"/>
      <c r="AB131" s="60" t="s">
        <v>481</v>
      </c>
      <c r="AC131" s="68"/>
      <c r="AD131" s="66"/>
      <c r="AE131" s="53"/>
      <c r="AF131" s="34" t="s">
        <v>74</v>
      </c>
      <c r="AG131" s="56" t="s">
        <v>900</v>
      </c>
      <c r="AH131" s="41"/>
      <c r="AI131" s="41"/>
      <c r="AJ131" s="41"/>
      <c r="AK131" s="41"/>
      <c r="AL131" s="56" t="s">
        <v>262</v>
      </c>
    </row>
    <row r="132" ht="22.5" customHeight="1">
      <c r="A132" s="238" t="s">
        <v>1942</v>
      </c>
      <c r="B132" s="63" t="s">
        <v>888</v>
      </c>
      <c r="C132" s="32" t="s">
        <v>889</v>
      </c>
      <c r="D132" s="34" t="s">
        <v>752</v>
      </c>
      <c r="E132" s="38" t="s">
        <v>892</v>
      </c>
      <c r="F132" s="34" t="s">
        <v>93</v>
      </c>
      <c r="G132" s="34" t="s">
        <v>168</v>
      </c>
      <c r="H132" s="48">
        <v>42181.0</v>
      </c>
      <c r="I132" s="48">
        <v>42181.0</v>
      </c>
      <c r="J132" s="36"/>
      <c r="K132" s="32" t="s">
        <v>86</v>
      </c>
      <c r="L132" s="41" t="s">
        <v>115</v>
      </c>
      <c r="M132" s="42" t="s">
        <v>88</v>
      </c>
      <c r="N132" s="38" t="s">
        <v>89</v>
      </c>
      <c r="O132" s="32" t="s">
        <v>1547</v>
      </c>
      <c r="P132" s="38"/>
      <c r="Q132" s="38" t="s">
        <v>1548</v>
      </c>
      <c r="R132" s="48"/>
      <c r="S132" s="32" t="s">
        <v>116</v>
      </c>
      <c r="T132" s="45" t="s">
        <v>1931</v>
      </c>
      <c r="U132" s="45" t="s">
        <v>1944</v>
      </c>
      <c r="V132" s="34" t="s">
        <v>74</v>
      </c>
      <c r="W132" s="60" t="s">
        <v>1934</v>
      </c>
      <c r="X132" s="109" t="s">
        <v>1935</v>
      </c>
      <c r="Y132" s="109" t="s">
        <v>899</v>
      </c>
      <c r="Z132" s="32" t="s">
        <v>112</v>
      </c>
      <c r="AA132" s="32"/>
      <c r="AB132" s="60" t="s">
        <v>481</v>
      </c>
      <c r="AC132" s="68"/>
      <c r="AD132" s="66"/>
      <c r="AE132" s="53"/>
      <c r="AF132" s="34" t="s">
        <v>80</v>
      </c>
      <c r="AG132" s="56" t="s">
        <v>900</v>
      </c>
      <c r="AH132" s="41"/>
      <c r="AI132" s="41"/>
      <c r="AJ132" s="41"/>
      <c r="AK132" s="41"/>
      <c r="AL132" s="56" t="s">
        <v>1552</v>
      </c>
    </row>
    <row r="133" ht="22.5" customHeight="1">
      <c r="A133" s="238" t="s">
        <v>1947</v>
      </c>
      <c r="B133" s="63" t="s">
        <v>888</v>
      </c>
      <c r="C133" s="32" t="s">
        <v>889</v>
      </c>
      <c r="D133" s="34" t="s">
        <v>752</v>
      </c>
      <c r="E133" s="38" t="s">
        <v>892</v>
      </c>
      <c r="F133" s="34" t="s">
        <v>93</v>
      </c>
      <c r="G133" s="34" t="s">
        <v>168</v>
      </c>
      <c r="H133" s="48">
        <v>42236.0</v>
      </c>
      <c r="I133" s="48"/>
      <c r="J133" s="48">
        <v>42236.0</v>
      </c>
      <c r="K133" s="32" t="s">
        <v>70</v>
      </c>
      <c r="L133" s="41" t="s">
        <v>115</v>
      </c>
      <c r="M133" s="42" t="s">
        <v>88</v>
      </c>
      <c r="N133" s="38" t="s">
        <v>89</v>
      </c>
      <c r="O133" s="32" t="s">
        <v>743</v>
      </c>
      <c r="P133" s="38"/>
      <c r="Q133" s="38" t="s">
        <v>1948</v>
      </c>
      <c r="R133" s="48">
        <v>43332.0</v>
      </c>
      <c r="S133" s="32" t="s">
        <v>116</v>
      </c>
      <c r="T133" s="56" t="s">
        <v>1950</v>
      </c>
      <c r="U133" s="45" t="s">
        <v>1951</v>
      </c>
      <c r="V133" s="34" t="s">
        <v>80</v>
      </c>
      <c r="W133" s="60" t="s">
        <v>1934</v>
      </c>
      <c r="X133" s="109" t="s">
        <v>1935</v>
      </c>
      <c r="Y133" s="109" t="s">
        <v>899</v>
      </c>
      <c r="Z133" s="32" t="s">
        <v>112</v>
      </c>
      <c r="AA133" s="32"/>
      <c r="AB133" s="60" t="s">
        <v>481</v>
      </c>
      <c r="AC133" s="68"/>
      <c r="AD133" s="66"/>
      <c r="AE133" s="53"/>
      <c r="AF133" s="34" t="s">
        <v>80</v>
      </c>
      <c r="AG133" s="56" t="s">
        <v>900</v>
      </c>
      <c r="AH133" s="41"/>
      <c r="AI133" s="41"/>
      <c r="AJ133" s="41"/>
      <c r="AK133" s="41"/>
      <c r="AL133" s="56" t="s">
        <v>1953</v>
      </c>
    </row>
    <row r="134" ht="22.5" customHeight="1">
      <c r="A134" s="238" t="s">
        <v>1955</v>
      </c>
      <c r="B134" s="63" t="s">
        <v>888</v>
      </c>
      <c r="C134" s="32" t="s">
        <v>1956</v>
      </c>
      <c r="D134" s="41" t="s">
        <v>75</v>
      </c>
      <c r="E134" s="38" t="s">
        <v>1957</v>
      </c>
      <c r="F134" s="34" t="s">
        <v>93</v>
      </c>
      <c r="G134" s="34" t="s">
        <v>168</v>
      </c>
      <c r="H134" s="48">
        <v>42202.0</v>
      </c>
      <c r="I134" s="48">
        <v>42202.0</v>
      </c>
      <c r="J134" s="36"/>
      <c r="K134" s="32" t="s">
        <v>70</v>
      </c>
      <c r="L134" s="41" t="s">
        <v>115</v>
      </c>
      <c r="M134" s="63" t="s">
        <v>218</v>
      </c>
      <c r="N134" s="32" t="s">
        <v>434</v>
      </c>
      <c r="O134" s="32" t="s">
        <v>1012</v>
      </c>
      <c r="P134" s="38"/>
      <c r="Q134" s="38" t="s">
        <v>1958</v>
      </c>
      <c r="R134" s="48"/>
      <c r="S134" s="32" t="s">
        <v>116</v>
      </c>
      <c r="T134" s="45" t="s">
        <v>1959</v>
      </c>
      <c r="U134" s="109" t="s">
        <v>1960</v>
      </c>
      <c r="V134" s="34" t="s">
        <v>80</v>
      </c>
      <c r="W134" s="60" t="s">
        <v>1961</v>
      </c>
      <c r="X134" s="198" t="s">
        <v>1962</v>
      </c>
      <c r="Y134" s="109" t="s">
        <v>1963</v>
      </c>
      <c r="Z134" s="32" t="s">
        <v>112</v>
      </c>
      <c r="AA134" s="32"/>
      <c r="AB134" s="32" t="s">
        <v>113</v>
      </c>
      <c r="AC134" s="68"/>
      <c r="AD134" s="136"/>
      <c r="AE134" s="30" t="s">
        <v>1964</v>
      </c>
      <c r="AF134" s="34" t="s">
        <v>80</v>
      </c>
      <c r="AG134" s="56" t="s">
        <v>900</v>
      </c>
      <c r="AH134" s="60"/>
      <c r="AI134" s="41"/>
      <c r="AJ134" s="41"/>
      <c r="AK134" s="155">
        <v>42138.0</v>
      </c>
      <c r="AL134" s="56" t="s">
        <v>1021</v>
      </c>
    </row>
    <row r="135" ht="22.5" customHeight="1">
      <c r="A135" s="238" t="s">
        <v>1965</v>
      </c>
      <c r="B135" s="63" t="s">
        <v>1966</v>
      </c>
      <c r="C135" s="68" t="s">
        <v>1967</v>
      </c>
      <c r="D135" s="41" t="s">
        <v>75</v>
      </c>
      <c r="E135" s="42" t="s">
        <v>1969</v>
      </c>
      <c r="F135" s="34" t="s">
        <v>140</v>
      </c>
      <c r="G135" s="34" t="s">
        <v>85</v>
      </c>
      <c r="H135" s="48">
        <v>42268.0</v>
      </c>
      <c r="I135" s="36"/>
      <c r="J135" s="48">
        <v>42268.0</v>
      </c>
      <c r="K135" s="32" t="s">
        <v>70</v>
      </c>
      <c r="L135" s="41" t="s">
        <v>115</v>
      </c>
      <c r="M135" s="63" t="s">
        <v>218</v>
      </c>
      <c r="N135" s="38" t="s">
        <v>89</v>
      </c>
      <c r="O135" s="32" t="s">
        <v>196</v>
      </c>
      <c r="P135" s="32" t="s">
        <v>1826</v>
      </c>
      <c r="Q135" s="38" t="s">
        <v>1970</v>
      </c>
      <c r="R135" s="36">
        <v>43361.0</v>
      </c>
      <c r="S135" s="32" t="s">
        <v>196</v>
      </c>
      <c r="T135" s="45" t="s">
        <v>1971</v>
      </c>
      <c r="U135" s="56" t="s">
        <v>1972</v>
      </c>
      <c r="V135" s="34" t="s">
        <v>80</v>
      </c>
      <c r="W135" s="60" t="s">
        <v>1973</v>
      </c>
      <c r="X135" s="60" t="s">
        <v>1974</v>
      </c>
      <c r="Y135" s="109" t="s">
        <v>1975</v>
      </c>
      <c r="Z135" s="32" t="s">
        <v>112</v>
      </c>
      <c r="AA135" s="32"/>
      <c r="AB135" s="32" t="s">
        <v>113</v>
      </c>
      <c r="AC135" s="60" t="s">
        <v>1977</v>
      </c>
      <c r="AD135" s="136">
        <v>42384.0</v>
      </c>
      <c r="AE135" s="53"/>
      <c r="AF135" s="34" t="s">
        <v>80</v>
      </c>
      <c r="AG135" s="56" t="s">
        <v>1978</v>
      </c>
      <c r="AH135" s="139" t="s">
        <v>947</v>
      </c>
      <c r="AI135" s="41"/>
      <c r="AJ135" s="41"/>
      <c r="AK135" s="58">
        <v>42253.0</v>
      </c>
      <c r="AL135" s="56" t="s">
        <v>208</v>
      </c>
    </row>
    <row r="136" ht="22.5" customHeight="1">
      <c r="A136" s="238" t="s">
        <v>1980</v>
      </c>
      <c r="B136" s="63" t="s">
        <v>1293</v>
      </c>
      <c r="C136" s="32" t="s">
        <v>1294</v>
      </c>
      <c r="D136" s="41" t="s">
        <v>91</v>
      </c>
      <c r="E136" s="38" t="s">
        <v>1295</v>
      </c>
      <c r="F136" s="34" t="s">
        <v>140</v>
      </c>
      <c r="G136" s="34" t="s">
        <v>168</v>
      </c>
      <c r="H136" s="48">
        <v>42089.0</v>
      </c>
      <c r="I136" s="48">
        <v>42089.0</v>
      </c>
      <c r="J136" s="48">
        <v>42089.0</v>
      </c>
      <c r="K136" s="32" t="s">
        <v>86</v>
      </c>
      <c r="L136" s="41" t="s">
        <v>115</v>
      </c>
      <c r="M136" s="63" t="s">
        <v>313</v>
      </c>
      <c r="N136" s="38" t="s">
        <v>89</v>
      </c>
      <c r="O136" s="32" t="s">
        <v>142</v>
      </c>
      <c r="P136" s="38" t="s">
        <v>1050</v>
      </c>
      <c r="Q136" s="38" t="s">
        <v>1462</v>
      </c>
      <c r="R136" s="48">
        <v>42895.0</v>
      </c>
      <c r="S136" s="38" t="s">
        <v>1296</v>
      </c>
      <c r="T136" s="203" t="s">
        <v>1299</v>
      </c>
      <c r="U136" s="45" t="s">
        <v>1982</v>
      </c>
      <c r="V136" s="34" t="s">
        <v>80</v>
      </c>
      <c r="W136" s="32" t="s">
        <v>1301</v>
      </c>
      <c r="X136" s="60" t="s">
        <v>1302</v>
      </c>
      <c r="Y136" s="45" t="s">
        <v>1303</v>
      </c>
      <c r="Z136" s="32" t="s">
        <v>112</v>
      </c>
      <c r="AA136" s="32"/>
      <c r="AB136" s="60" t="s">
        <v>270</v>
      </c>
      <c r="AC136" s="60"/>
      <c r="AD136" s="66"/>
      <c r="AE136" s="53"/>
      <c r="AF136" s="34" t="s">
        <v>74</v>
      </c>
      <c r="AG136" s="56" t="s">
        <v>1305</v>
      </c>
      <c r="AH136" s="41"/>
      <c r="AI136" s="41"/>
      <c r="AJ136" s="41"/>
      <c r="AK136" s="58">
        <v>41611.0</v>
      </c>
      <c r="AL136" s="56" t="s">
        <v>262</v>
      </c>
    </row>
    <row r="137" ht="22.5" customHeight="1">
      <c r="A137" s="238" t="s">
        <v>1984</v>
      </c>
      <c r="B137" s="63" t="s">
        <v>1293</v>
      </c>
      <c r="C137" s="32" t="s">
        <v>1308</v>
      </c>
      <c r="D137" s="34" t="s">
        <v>845</v>
      </c>
      <c r="E137" s="38" t="s">
        <v>1309</v>
      </c>
      <c r="F137" s="34" t="s">
        <v>140</v>
      </c>
      <c r="G137" s="34" t="s">
        <v>168</v>
      </c>
      <c r="H137" s="48">
        <v>42089.0</v>
      </c>
      <c r="I137" s="48">
        <v>42089.0</v>
      </c>
      <c r="J137" s="48">
        <v>42089.0</v>
      </c>
      <c r="K137" s="32" t="s">
        <v>86</v>
      </c>
      <c r="L137" s="41" t="s">
        <v>115</v>
      </c>
      <c r="M137" s="63" t="s">
        <v>218</v>
      </c>
      <c r="N137" s="38" t="s">
        <v>89</v>
      </c>
      <c r="O137" s="32" t="s">
        <v>142</v>
      </c>
      <c r="P137" s="38" t="s">
        <v>1050</v>
      </c>
      <c r="Q137" s="38" t="s">
        <v>1462</v>
      </c>
      <c r="R137" s="48">
        <v>42895.0</v>
      </c>
      <c r="S137" s="38" t="s">
        <v>1296</v>
      </c>
      <c r="T137" s="203" t="s">
        <v>1310</v>
      </c>
      <c r="U137" s="45" t="s">
        <v>1985</v>
      </c>
      <c r="V137" s="34" t="s">
        <v>80</v>
      </c>
      <c r="W137" s="32" t="s">
        <v>1301</v>
      </c>
      <c r="X137" s="60" t="s">
        <v>1302</v>
      </c>
      <c r="Y137" s="45" t="s">
        <v>1303</v>
      </c>
      <c r="Z137" s="32" t="s">
        <v>112</v>
      </c>
      <c r="AA137" s="32"/>
      <c r="AB137" s="60" t="s">
        <v>270</v>
      </c>
      <c r="AC137" s="60"/>
      <c r="AD137" s="66"/>
      <c r="AE137" s="53"/>
      <c r="AF137" s="34" t="s">
        <v>74</v>
      </c>
      <c r="AG137" s="56" t="s">
        <v>1305</v>
      </c>
      <c r="AH137" s="41"/>
      <c r="AI137" s="41"/>
      <c r="AJ137" s="41"/>
      <c r="AK137" s="58">
        <v>41611.0</v>
      </c>
      <c r="AL137" s="56" t="s">
        <v>262</v>
      </c>
    </row>
    <row r="138" ht="22.5" customHeight="1">
      <c r="A138" s="238" t="s">
        <v>1988</v>
      </c>
      <c r="B138" s="63" t="s">
        <v>901</v>
      </c>
      <c r="C138" s="32" t="s">
        <v>967</v>
      </c>
      <c r="D138" s="34" t="s">
        <v>584</v>
      </c>
      <c r="E138" s="103" t="s">
        <v>968</v>
      </c>
      <c r="F138" s="34" t="s">
        <v>93</v>
      </c>
      <c r="G138" s="34" t="s">
        <v>168</v>
      </c>
      <c r="H138" s="48">
        <v>42089.0</v>
      </c>
      <c r="I138" s="48">
        <v>42089.0</v>
      </c>
      <c r="J138" s="48">
        <v>42089.0</v>
      </c>
      <c r="K138" s="32" t="s">
        <v>70</v>
      </c>
      <c r="L138" s="41" t="s">
        <v>115</v>
      </c>
      <c r="M138" s="42" t="s">
        <v>313</v>
      </c>
      <c r="N138" s="38" t="s">
        <v>89</v>
      </c>
      <c r="O138" s="32" t="s">
        <v>142</v>
      </c>
      <c r="P138" s="38" t="s">
        <v>1050</v>
      </c>
      <c r="Q138" s="38" t="s">
        <v>1462</v>
      </c>
      <c r="R138" s="36"/>
      <c r="S138" s="32" t="s">
        <v>116</v>
      </c>
      <c r="T138" s="45" t="s">
        <v>974</v>
      </c>
      <c r="U138" s="109" t="s">
        <v>1990</v>
      </c>
      <c r="V138" s="34" t="s">
        <v>80</v>
      </c>
      <c r="W138" s="60" t="s">
        <v>976</v>
      </c>
      <c r="X138" s="60" t="s">
        <v>977</v>
      </c>
      <c r="Y138" s="109" t="s">
        <v>906</v>
      </c>
      <c r="Z138" s="32" t="s">
        <v>112</v>
      </c>
      <c r="AA138" s="32"/>
      <c r="AB138" s="123" t="s">
        <v>113</v>
      </c>
      <c r="AC138" s="60"/>
      <c r="AD138" s="66"/>
      <c r="AE138" s="30" t="s">
        <v>1992</v>
      </c>
      <c r="AF138" s="34" t="s">
        <v>80</v>
      </c>
      <c r="AG138" s="56" t="s">
        <v>911</v>
      </c>
      <c r="AH138" s="41"/>
      <c r="AI138" s="41"/>
      <c r="AJ138" s="41"/>
      <c r="AK138" s="58">
        <v>41368.0</v>
      </c>
      <c r="AL138" s="56" t="s">
        <v>262</v>
      </c>
    </row>
    <row r="139" ht="22.5" customHeight="1">
      <c r="A139" s="238" t="s">
        <v>1994</v>
      </c>
      <c r="B139" s="63" t="s">
        <v>901</v>
      </c>
      <c r="C139" s="32" t="s">
        <v>1995</v>
      </c>
      <c r="D139" s="41" t="s">
        <v>75</v>
      </c>
      <c r="E139" s="38" t="s">
        <v>1996</v>
      </c>
      <c r="F139" s="34" t="s">
        <v>93</v>
      </c>
      <c r="G139" s="34" t="s">
        <v>85</v>
      </c>
      <c r="H139" s="48">
        <v>41978.0</v>
      </c>
      <c r="I139" s="48">
        <v>41978.0</v>
      </c>
      <c r="J139" s="36"/>
      <c r="K139" s="32" t="s">
        <v>70</v>
      </c>
      <c r="L139" s="41" t="s">
        <v>115</v>
      </c>
      <c r="M139" s="63" t="s">
        <v>218</v>
      </c>
      <c r="N139" s="38" t="s">
        <v>89</v>
      </c>
      <c r="O139" s="32" t="s">
        <v>116</v>
      </c>
      <c r="P139" s="38"/>
      <c r="Q139" s="32" t="s">
        <v>117</v>
      </c>
      <c r="R139" s="36"/>
      <c r="S139" s="32" t="s">
        <v>116</v>
      </c>
      <c r="T139" s="45" t="s">
        <v>1318</v>
      </c>
      <c r="U139" s="109" t="s">
        <v>1998</v>
      </c>
      <c r="V139" s="34" t="s">
        <v>80</v>
      </c>
      <c r="W139" s="60" t="s">
        <v>904</v>
      </c>
      <c r="X139" s="60" t="s">
        <v>905</v>
      </c>
      <c r="Y139" s="109" t="s">
        <v>1999</v>
      </c>
      <c r="Z139" s="32" t="s">
        <v>112</v>
      </c>
      <c r="AA139" s="32"/>
      <c r="AB139" s="123" t="s">
        <v>113</v>
      </c>
      <c r="AC139" s="60" t="s">
        <v>2001</v>
      </c>
      <c r="AD139" s="66">
        <v>41978.0</v>
      </c>
      <c r="AE139" s="53"/>
      <c r="AF139" s="34" t="s">
        <v>80</v>
      </c>
      <c r="AG139" s="56" t="s">
        <v>911</v>
      </c>
      <c r="AH139" s="139" t="s">
        <v>2002</v>
      </c>
      <c r="AI139" s="41"/>
      <c r="AJ139" s="41"/>
      <c r="AK139" s="58">
        <v>41530.0</v>
      </c>
      <c r="AL139" s="63"/>
    </row>
    <row r="140" ht="22.5" customHeight="1">
      <c r="A140" s="238" t="s">
        <v>2003</v>
      </c>
      <c r="B140" s="63" t="s">
        <v>901</v>
      </c>
      <c r="C140" s="32" t="s">
        <v>1995</v>
      </c>
      <c r="D140" s="41" t="s">
        <v>75</v>
      </c>
      <c r="E140" s="38" t="s">
        <v>1996</v>
      </c>
      <c r="F140" s="34" t="s">
        <v>93</v>
      </c>
      <c r="G140" s="34" t="s">
        <v>168</v>
      </c>
      <c r="H140" s="48">
        <v>42089.0</v>
      </c>
      <c r="I140" s="48">
        <v>42089.0</v>
      </c>
      <c r="J140" s="48">
        <v>42089.0</v>
      </c>
      <c r="K140" s="32" t="s">
        <v>70</v>
      </c>
      <c r="L140" s="41" t="s">
        <v>115</v>
      </c>
      <c r="M140" s="63" t="s">
        <v>218</v>
      </c>
      <c r="N140" s="38" t="s">
        <v>89</v>
      </c>
      <c r="O140" s="32" t="s">
        <v>142</v>
      </c>
      <c r="P140" s="38" t="s">
        <v>1050</v>
      </c>
      <c r="Q140" s="38" t="s">
        <v>1462</v>
      </c>
      <c r="R140" s="36"/>
      <c r="S140" s="32" t="s">
        <v>116</v>
      </c>
      <c r="T140" s="45" t="s">
        <v>1318</v>
      </c>
      <c r="U140" s="56" t="s">
        <v>2005</v>
      </c>
      <c r="V140" s="34" t="s">
        <v>80</v>
      </c>
      <c r="W140" s="60" t="s">
        <v>904</v>
      </c>
      <c r="X140" s="60" t="s">
        <v>905</v>
      </c>
      <c r="Y140" s="109" t="s">
        <v>1999</v>
      </c>
      <c r="Z140" s="32" t="s">
        <v>112</v>
      </c>
      <c r="AA140" s="32"/>
      <c r="AB140" s="123" t="s">
        <v>113</v>
      </c>
      <c r="AC140" s="60"/>
      <c r="AD140" s="66"/>
      <c r="AE140" s="53"/>
      <c r="AF140" s="34" t="s">
        <v>80</v>
      </c>
      <c r="AG140" s="56" t="s">
        <v>911</v>
      </c>
      <c r="AH140" s="41"/>
      <c r="AI140" s="41"/>
      <c r="AJ140" s="41"/>
      <c r="AK140" s="58">
        <v>41530.0</v>
      </c>
      <c r="AL140" s="56" t="s">
        <v>262</v>
      </c>
    </row>
    <row r="141" ht="22.5" customHeight="1">
      <c r="A141" s="238" t="s">
        <v>2008</v>
      </c>
      <c r="B141" s="63" t="s">
        <v>1321</v>
      </c>
      <c r="C141" s="32" t="s">
        <v>1322</v>
      </c>
      <c r="D141" s="34" t="s">
        <v>845</v>
      </c>
      <c r="E141" s="38" t="s">
        <v>1323</v>
      </c>
      <c r="F141" s="34" t="s">
        <v>140</v>
      </c>
      <c r="G141" s="34" t="s">
        <v>168</v>
      </c>
      <c r="H141" s="48">
        <v>41968.0</v>
      </c>
      <c r="I141" s="48">
        <v>41968.0</v>
      </c>
      <c r="J141" s="36"/>
      <c r="K141" s="32" t="s">
        <v>70</v>
      </c>
      <c r="L141" s="41" t="s">
        <v>115</v>
      </c>
      <c r="M141" s="42" t="s">
        <v>88</v>
      </c>
      <c r="N141" s="38" t="s">
        <v>89</v>
      </c>
      <c r="O141" s="32" t="s">
        <v>994</v>
      </c>
      <c r="P141" s="32" t="s">
        <v>1501</v>
      </c>
      <c r="Q141" s="38" t="s">
        <v>1488</v>
      </c>
      <c r="R141" s="36">
        <v>43052.0</v>
      </c>
      <c r="S141" s="32" t="s">
        <v>196</v>
      </c>
      <c r="T141" s="45" t="s">
        <v>1324</v>
      </c>
      <c r="U141" s="45" t="s">
        <v>2010</v>
      </c>
      <c r="V141" s="34" t="s">
        <v>80</v>
      </c>
      <c r="W141" s="32" t="s">
        <v>561</v>
      </c>
      <c r="X141" s="32" t="s">
        <v>1326</v>
      </c>
      <c r="Y141" s="109" t="s">
        <v>1327</v>
      </c>
      <c r="Z141" s="32" t="s">
        <v>112</v>
      </c>
      <c r="AA141" s="32"/>
      <c r="AB141" s="32" t="s">
        <v>113</v>
      </c>
      <c r="AC141" s="60"/>
      <c r="AD141" s="66"/>
      <c r="AE141" s="53"/>
      <c r="AF141" s="34" t="s">
        <v>80</v>
      </c>
      <c r="AG141" s="56" t="s">
        <v>1329</v>
      </c>
      <c r="AH141" s="41"/>
      <c r="AI141" s="41"/>
      <c r="AJ141" s="41"/>
      <c r="AK141" s="58">
        <v>41619.0</v>
      </c>
      <c r="AL141" s="56" t="s">
        <v>1006</v>
      </c>
    </row>
    <row r="142" ht="22.5" customHeight="1">
      <c r="A142" s="238" t="s">
        <v>2013</v>
      </c>
      <c r="B142" s="63" t="s">
        <v>1321</v>
      </c>
      <c r="C142" s="32" t="s">
        <v>1322</v>
      </c>
      <c r="D142" s="34" t="s">
        <v>845</v>
      </c>
      <c r="E142" s="38" t="s">
        <v>1323</v>
      </c>
      <c r="F142" s="34" t="s">
        <v>140</v>
      </c>
      <c r="G142" s="34" t="s">
        <v>168</v>
      </c>
      <c r="H142" s="48">
        <v>42089.0</v>
      </c>
      <c r="I142" s="48">
        <v>42089.0</v>
      </c>
      <c r="J142" s="48">
        <v>42089.0</v>
      </c>
      <c r="K142" s="32" t="s">
        <v>86</v>
      </c>
      <c r="L142" s="41" t="s">
        <v>115</v>
      </c>
      <c r="M142" s="42" t="s">
        <v>88</v>
      </c>
      <c r="N142" s="38" t="s">
        <v>89</v>
      </c>
      <c r="O142" s="32" t="s">
        <v>142</v>
      </c>
      <c r="P142" s="38" t="s">
        <v>1050</v>
      </c>
      <c r="Q142" s="38" t="s">
        <v>1462</v>
      </c>
      <c r="R142" s="36">
        <v>42878.0</v>
      </c>
      <c r="S142" s="32" t="s">
        <v>196</v>
      </c>
      <c r="T142" s="45" t="s">
        <v>1324</v>
      </c>
      <c r="U142" s="56" t="s">
        <v>2015</v>
      </c>
      <c r="V142" s="34" t="s">
        <v>80</v>
      </c>
      <c r="W142" s="32" t="s">
        <v>561</v>
      </c>
      <c r="X142" s="32" t="s">
        <v>1326</v>
      </c>
      <c r="Y142" s="109" t="s">
        <v>1327</v>
      </c>
      <c r="Z142" s="32" t="s">
        <v>112</v>
      </c>
      <c r="AA142" s="32"/>
      <c r="AB142" s="32" t="s">
        <v>113</v>
      </c>
      <c r="AC142" s="60"/>
      <c r="AD142" s="66"/>
      <c r="AE142" s="53"/>
      <c r="AF142" s="34" t="s">
        <v>80</v>
      </c>
      <c r="AG142" s="56" t="s">
        <v>1329</v>
      </c>
      <c r="AH142" s="41"/>
      <c r="AI142" s="41"/>
      <c r="AJ142" s="41"/>
      <c r="AK142" s="58">
        <v>41619.0</v>
      </c>
      <c r="AL142" s="56" t="s">
        <v>262</v>
      </c>
    </row>
    <row r="143" ht="22.5" customHeight="1">
      <c r="A143" s="238" t="s">
        <v>2018</v>
      </c>
      <c r="B143" s="63" t="s">
        <v>1321</v>
      </c>
      <c r="C143" s="32" t="s">
        <v>1322</v>
      </c>
      <c r="D143" s="34" t="s">
        <v>845</v>
      </c>
      <c r="E143" s="38" t="s">
        <v>1323</v>
      </c>
      <c r="F143" s="34" t="s">
        <v>140</v>
      </c>
      <c r="G143" s="34" t="s">
        <v>168</v>
      </c>
      <c r="H143" s="48">
        <v>42172.0</v>
      </c>
      <c r="I143" s="48">
        <v>42172.0</v>
      </c>
      <c r="J143" s="36"/>
      <c r="K143" s="32" t="s">
        <v>86</v>
      </c>
      <c r="L143" s="41" t="s">
        <v>115</v>
      </c>
      <c r="M143" s="42" t="s">
        <v>88</v>
      </c>
      <c r="N143" s="38" t="s">
        <v>89</v>
      </c>
      <c r="O143" s="32" t="s">
        <v>989</v>
      </c>
      <c r="P143" s="32" t="s">
        <v>2019</v>
      </c>
      <c r="Q143" s="38" t="s">
        <v>2021</v>
      </c>
      <c r="R143" s="36">
        <v>43268.0</v>
      </c>
      <c r="S143" s="32" t="s">
        <v>196</v>
      </c>
      <c r="T143" s="45" t="s">
        <v>1324</v>
      </c>
      <c r="U143" s="45" t="s">
        <v>2022</v>
      </c>
      <c r="V143" s="34" t="s">
        <v>80</v>
      </c>
      <c r="W143" s="32" t="s">
        <v>561</v>
      </c>
      <c r="X143" s="32" t="s">
        <v>1326</v>
      </c>
      <c r="Y143" s="109" t="s">
        <v>1327</v>
      </c>
      <c r="Z143" s="32" t="s">
        <v>112</v>
      </c>
      <c r="AA143" s="32"/>
      <c r="AB143" s="32" t="s">
        <v>113</v>
      </c>
      <c r="AC143" s="60"/>
      <c r="AD143" s="66"/>
      <c r="AE143" s="53"/>
      <c r="AF143" s="34" t="s">
        <v>74</v>
      </c>
      <c r="AG143" s="56" t="s">
        <v>1329</v>
      </c>
      <c r="AH143" s="41"/>
      <c r="AI143" s="41"/>
      <c r="AJ143" s="41"/>
      <c r="AK143" s="58">
        <v>41619.0</v>
      </c>
      <c r="AL143" s="56" t="s">
        <v>1004</v>
      </c>
    </row>
    <row r="144" ht="22.5" customHeight="1">
      <c r="A144" s="238" t="s">
        <v>2025</v>
      </c>
      <c r="B144" s="63" t="s">
        <v>2026</v>
      </c>
      <c r="C144" s="32" t="s">
        <v>2027</v>
      </c>
      <c r="D144" s="41" t="s">
        <v>75</v>
      </c>
      <c r="E144" s="103" t="s">
        <v>2028</v>
      </c>
      <c r="F144" s="34" t="s">
        <v>93</v>
      </c>
      <c r="G144" s="34" t="s">
        <v>85</v>
      </c>
      <c r="H144" s="48">
        <v>41978.0</v>
      </c>
      <c r="I144" s="48">
        <v>41978.0</v>
      </c>
      <c r="J144" s="36"/>
      <c r="K144" s="32" t="s">
        <v>86</v>
      </c>
      <c r="L144" s="41" t="s">
        <v>115</v>
      </c>
      <c r="M144" s="63" t="s">
        <v>218</v>
      </c>
      <c r="N144" s="38" t="s">
        <v>89</v>
      </c>
      <c r="O144" s="32" t="s">
        <v>116</v>
      </c>
      <c r="P144" s="38"/>
      <c r="Q144" s="32" t="s">
        <v>117</v>
      </c>
      <c r="R144" s="34"/>
      <c r="S144" s="32" t="s">
        <v>116</v>
      </c>
      <c r="T144" s="45" t="s">
        <v>2030</v>
      </c>
      <c r="U144" s="109" t="s">
        <v>2031</v>
      </c>
      <c r="V144" s="34" t="s">
        <v>80</v>
      </c>
      <c r="W144" s="60" t="s">
        <v>2032</v>
      </c>
      <c r="X144" s="32" t="s">
        <v>2033</v>
      </c>
      <c r="Y144" s="109" t="s">
        <v>2034</v>
      </c>
      <c r="Z144" s="32" t="s">
        <v>112</v>
      </c>
      <c r="AA144" s="32"/>
      <c r="AB144" s="32" t="s">
        <v>113</v>
      </c>
      <c r="AC144" s="60"/>
      <c r="AD144" s="66">
        <v>41978.0</v>
      </c>
      <c r="AE144" s="30" t="s">
        <v>2036</v>
      </c>
      <c r="AF144" s="34" t="s">
        <v>74</v>
      </c>
      <c r="AG144" s="63"/>
      <c r="AH144" s="41"/>
      <c r="AI144" s="41"/>
      <c r="AJ144" s="41"/>
      <c r="AK144" s="58">
        <v>41770.0</v>
      </c>
      <c r="AL144" s="63"/>
    </row>
    <row r="145" ht="22.5" customHeight="1">
      <c r="A145" s="238" t="s">
        <v>2037</v>
      </c>
      <c r="B145" s="63" t="s">
        <v>2026</v>
      </c>
      <c r="C145" s="32" t="s">
        <v>2027</v>
      </c>
      <c r="D145" s="41" t="s">
        <v>75</v>
      </c>
      <c r="E145" s="103" t="s">
        <v>2028</v>
      </c>
      <c r="F145" s="34" t="s">
        <v>140</v>
      </c>
      <c r="G145" s="34" t="s">
        <v>168</v>
      </c>
      <c r="H145" s="48">
        <v>42089.0</v>
      </c>
      <c r="I145" s="48">
        <v>42089.0</v>
      </c>
      <c r="J145" s="48">
        <v>42089.0</v>
      </c>
      <c r="K145" s="32" t="s">
        <v>86</v>
      </c>
      <c r="L145" s="41" t="s">
        <v>115</v>
      </c>
      <c r="M145" s="63" t="s">
        <v>218</v>
      </c>
      <c r="N145" s="38" t="s">
        <v>89</v>
      </c>
      <c r="O145" s="32" t="s">
        <v>142</v>
      </c>
      <c r="P145" s="38" t="s">
        <v>1050</v>
      </c>
      <c r="Q145" s="38" t="s">
        <v>1462</v>
      </c>
      <c r="R145" s="36">
        <v>43074.0</v>
      </c>
      <c r="S145" s="32" t="s">
        <v>402</v>
      </c>
      <c r="T145" s="45" t="s">
        <v>2030</v>
      </c>
      <c r="U145" s="56" t="s">
        <v>2039</v>
      </c>
      <c r="V145" s="34" t="s">
        <v>80</v>
      </c>
      <c r="W145" s="60" t="s">
        <v>2032</v>
      </c>
      <c r="X145" s="32" t="s">
        <v>2033</v>
      </c>
      <c r="Y145" s="109" t="s">
        <v>2034</v>
      </c>
      <c r="Z145" s="32" t="s">
        <v>112</v>
      </c>
      <c r="AA145" s="32"/>
      <c r="AB145" s="32" t="s">
        <v>113</v>
      </c>
      <c r="AC145" s="60"/>
      <c r="AD145" s="66"/>
      <c r="AE145" s="30" t="s">
        <v>2041</v>
      </c>
      <c r="AF145" s="34" t="s">
        <v>74</v>
      </c>
      <c r="AG145" s="63"/>
      <c r="AH145" s="41"/>
      <c r="AI145" s="41"/>
      <c r="AJ145" s="41"/>
      <c r="AK145" s="41"/>
      <c r="AL145" s="56" t="s">
        <v>262</v>
      </c>
    </row>
    <row r="146" ht="22.5" customHeight="1">
      <c r="A146" s="238" t="s">
        <v>2043</v>
      </c>
      <c r="B146" s="63" t="s">
        <v>2044</v>
      </c>
      <c r="C146" s="32" t="s">
        <v>2045</v>
      </c>
      <c r="D146" s="41" t="s">
        <v>91</v>
      </c>
      <c r="E146" s="38" t="s">
        <v>2046</v>
      </c>
      <c r="F146" s="34" t="s">
        <v>140</v>
      </c>
      <c r="G146" s="34" t="s">
        <v>168</v>
      </c>
      <c r="H146" s="48">
        <v>42171.0</v>
      </c>
      <c r="I146" s="48">
        <v>42171.0</v>
      </c>
      <c r="J146" s="36"/>
      <c r="K146" s="32" t="s">
        <v>70</v>
      </c>
      <c r="L146" s="41" t="s">
        <v>115</v>
      </c>
      <c r="M146" s="38" t="s">
        <v>313</v>
      </c>
      <c r="N146" s="38" t="s">
        <v>89</v>
      </c>
      <c r="O146" s="32" t="s">
        <v>1570</v>
      </c>
      <c r="P146" s="38"/>
      <c r="Q146" s="38" t="s">
        <v>2047</v>
      </c>
      <c r="R146" s="48"/>
      <c r="S146" s="32" t="s">
        <v>1570</v>
      </c>
      <c r="T146" s="203" t="s">
        <v>2049</v>
      </c>
      <c r="U146" s="45" t="s">
        <v>2050</v>
      </c>
      <c r="V146" s="34" t="s">
        <v>74</v>
      </c>
      <c r="W146" s="60" t="s">
        <v>2051</v>
      </c>
      <c r="X146" s="57" t="s">
        <v>2052</v>
      </c>
      <c r="Y146" s="109" t="s">
        <v>2053</v>
      </c>
      <c r="Z146" s="32" t="s">
        <v>112</v>
      </c>
      <c r="AA146" s="68"/>
      <c r="AB146" s="123" t="s">
        <v>113</v>
      </c>
      <c r="AC146" s="60"/>
      <c r="AD146" s="136"/>
      <c r="AE146" s="30"/>
      <c r="AF146" s="34" t="s">
        <v>80</v>
      </c>
      <c r="AG146" s="56" t="s">
        <v>2054</v>
      </c>
      <c r="AH146" s="41"/>
      <c r="AI146" s="41"/>
      <c r="AJ146" s="41"/>
      <c r="AK146" s="58">
        <v>42173.0</v>
      </c>
      <c r="AL146" s="109" t="s">
        <v>2055</v>
      </c>
    </row>
    <row r="147" ht="22.5" customHeight="1">
      <c r="A147" s="238" t="s">
        <v>2056</v>
      </c>
      <c r="B147" s="63" t="s">
        <v>932</v>
      </c>
      <c r="C147" s="32" t="s">
        <v>2057</v>
      </c>
      <c r="D147" s="41" t="s">
        <v>584</v>
      </c>
      <c r="E147" s="38" t="s">
        <v>2058</v>
      </c>
      <c r="F147" s="34" t="s">
        <v>140</v>
      </c>
      <c r="G147" s="34" t="s">
        <v>85</v>
      </c>
      <c r="H147" s="48">
        <v>42139.0</v>
      </c>
      <c r="I147" s="48">
        <v>42139.0</v>
      </c>
      <c r="J147" s="36"/>
      <c r="K147" s="32" t="s">
        <v>86</v>
      </c>
      <c r="L147" s="41" t="s">
        <v>115</v>
      </c>
      <c r="M147" s="63" t="s">
        <v>218</v>
      </c>
      <c r="N147" s="38" t="s">
        <v>89</v>
      </c>
      <c r="O147" s="32" t="s">
        <v>850</v>
      </c>
      <c r="P147" s="32" t="s">
        <v>2059</v>
      </c>
      <c r="Q147" s="38" t="s">
        <v>2060</v>
      </c>
      <c r="R147" s="48"/>
      <c r="S147" s="32" t="s">
        <v>850</v>
      </c>
      <c r="T147" s="45" t="s">
        <v>1335</v>
      </c>
      <c r="U147" s="45" t="s">
        <v>2062</v>
      </c>
      <c r="V147" s="34" t="s">
        <v>80</v>
      </c>
      <c r="W147" s="60" t="s">
        <v>2063</v>
      </c>
      <c r="X147" s="32" t="s">
        <v>2064</v>
      </c>
      <c r="Y147" s="109" t="s">
        <v>2065</v>
      </c>
      <c r="Z147" s="32" t="s">
        <v>112</v>
      </c>
      <c r="AA147" s="32"/>
      <c r="AB147" s="60" t="s">
        <v>2067</v>
      </c>
      <c r="AC147" s="68" t="s">
        <v>2068</v>
      </c>
      <c r="AD147" s="136">
        <v>42139.0</v>
      </c>
      <c r="AE147" s="30" t="s">
        <v>2069</v>
      </c>
      <c r="AF147" s="34" t="s">
        <v>74</v>
      </c>
      <c r="AG147" s="56" t="s">
        <v>945</v>
      </c>
      <c r="AH147" s="41"/>
      <c r="AI147" s="41"/>
      <c r="AJ147" s="41"/>
      <c r="AK147" s="58">
        <v>41255.0</v>
      </c>
      <c r="AL147" s="56" t="s">
        <v>870</v>
      </c>
    </row>
    <row r="148" ht="22.5" customHeight="1">
      <c r="A148" s="238" t="s">
        <v>2070</v>
      </c>
      <c r="B148" s="63" t="s">
        <v>932</v>
      </c>
      <c r="C148" s="32" t="s">
        <v>933</v>
      </c>
      <c r="D148" s="34" t="s">
        <v>752</v>
      </c>
      <c r="E148" s="38" t="s">
        <v>935</v>
      </c>
      <c r="F148" s="34" t="s">
        <v>140</v>
      </c>
      <c r="G148" s="34" t="s">
        <v>168</v>
      </c>
      <c r="H148" s="48">
        <v>42089.0</v>
      </c>
      <c r="I148" s="48">
        <v>42089.0</v>
      </c>
      <c r="J148" s="48">
        <v>42089.0</v>
      </c>
      <c r="K148" s="32" t="s">
        <v>86</v>
      </c>
      <c r="L148" s="41" t="s">
        <v>115</v>
      </c>
      <c r="M148" s="42" t="s">
        <v>383</v>
      </c>
      <c r="N148" s="38" t="s">
        <v>89</v>
      </c>
      <c r="O148" s="32" t="s">
        <v>142</v>
      </c>
      <c r="P148" s="38" t="s">
        <v>1050</v>
      </c>
      <c r="Q148" s="38" t="s">
        <v>1462</v>
      </c>
      <c r="R148" s="36">
        <v>42545.0</v>
      </c>
      <c r="S148" s="32" t="s">
        <v>850</v>
      </c>
      <c r="T148" s="45" t="s">
        <v>1335</v>
      </c>
      <c r="U148" s="56" t="s">
        <v>2073</v>
      </c>
      <c r="V148" s="34" t="s">
        <v>80</v>
      </c>
      <c r="W148" s="32" t="s">
        <v>561</v>
      </c>
      <c r="X148" s="32" t="s">
        <v>941</v>
      </c>
      <c r="Y148" s="45" t="s">
        <v>942</v>
      </c>
      <c r="Z148" s="32" t="s">
        <v>112</v>
      </c>
      <c r="AA148" s="32"/>
      <c r="AB148" s="60" t="s">
        <v>240</v>
      </c>
      <c r="AC148" s="68"/>
      <c r="AD148" s="66"/>
      <c r="AE148" s="30" t="s">
        <v>2075</v>
      </c>
      <c r="AF148" s="34" t="s">
        <v>80</v>
      </c>
      <c r="AG148" s="56" t="s">
        <v>945</v>
      </c>
      <c r="AH148" s="41"/>
      <c r="AI148" s="41"/>
      <c r="AJ148" s="41"/>
      <c r="AK148" s="58">
        <v>41255.0</v>
      </c>
      <c r="AL148" s="56" t="s">
        <v>262</v>
      </c>
    </row>
    <row r="149" ht="22.5" customHeight="1">
      <c r="A149" s="238" t="s">
        <v>2078</v>
      </c>
      <c r="B149" s="63" t="s">
        <v>1331</v>
      </c>
      <c r="C149" s="32" t="s">
        <v>1332</v>
      </c>
      <c r="D149" s="34" t="s">
        <v>845</v>
      </c>
      <c r="E149" s="103" t="s">
        <v>1333</v>
      </c>
      <c r="F149" s="34" t="s">
        <v>140</v>
      </c>
      <c r="G149" s="34" t="s">
        <v>168</v>
      </c>
      <c r="H149" s="48">
        <v>42024.0</v>
      </c>
      <c r="I149" s="48">
        <v>41962.0</v>
      </c>
      <c r="J149" s="48">
        <v>42024.0</v>
      </c>
      <c r="K149" s="32" t="s">
        <v>70</v>
      </c>
      <c r="L149" s="41" t="s">
        <v>115</v>
      </c>
      <c r="M149" s="63" t="s">
        <v>218</v>
      </c>
      <c r="N149" s="38" t="s">
        <v>89</v>
      </c>
      <c r="O149" s="32" t="s">
        <v>1023</v>
      </c>
      <c r="P149" s="38"/>
      <c r="Q149" s="38" t="s">
        <v>1334</v>
      </c>
      <c r="R149" s="48">
        <v>43120.0</v>
      </c>
      <c r="S149" s="32" t="s">
        <v>1023</v>
      </c>
      <c r="T149" s="45" t="s">
        <v>1335</v>
      </c>
      <c r="U149" s="45" t="s">
        <v>2080</v>
      </c>
      <c r="V149" s="34" t="s">
        <v>80</v>
      </c>
      <c r="W149" s="32" t="s">
        <v>561</v>
      </c>
      <c r="X149" s="32" t="s">
        <v>561</v>
      </c>
      <c r="Y149" s="109" t="s">
        <v>1337</v>
      </c>
      <c r="Z149" s="32" t="s">
        <v>112</v>
      </c>
      <c r="AA149" s="32"/>
      <c r="AB149" s="32" t="s">
        <v>575</v>
      </c>
      <c r="AC149" s="60"/>
      <c r="AD149" s="66"/>
      <c r="AE149" s="53"/>
      <c r="AF149" s="34" t="s">
        <v>80</v>
      </c>
      <c r="AG149" s="56" t="s">
        <v>1339</v>
      </c>
      <c r="AH149" s="41"/>
      <c r="AI149" s="41"/>
      <c r="AJ149" s="41"/>
      <c r="AK149" s="58">
        <v>41589.0</v>
      </c>
      <c r="AL149" s="56" t="s">
        <v>1028</v>
      </c>
    </row>
    <row r="150" ht="22.5" customHeight="1">
      <c r="A150" s="238" t="s">
        <v>2083</v>
      </c>
      <c r="B150" s="63" t="s">
        <v>1331</v>
      </c>
      <c r="C150" s="32" t="s">
        <v>1332</v>
      </c>
      <c r="D150" s="34" t="s">
        <v>845</v>
      </c>
      <c r="E150" s="103" t="s">
        <v>1333</v>
      </c>
      <c r="F150" s="34" t="s">
        <v>140</v>
      </c>
      <c r="G150" s="34" t="s">
        <v>168</v>
      </c>
      <c r="H150" s="48">
        <v>42089.0</v>
      </c>
      <c r="I150" s="48">
        <v>42089.0</v>
      </c>
      <c r="J150" s="48">
        <v>42089.0</v>
      </c>
      <c r="K150" s="32" t="s">
        <v>86</v>
      </c>
      <c r="L150" s="41" t="s">
        <v>115</v>
      </c>
      <c r="M150" s="63" t="s">
        <v>218</v>
      </c>
      <c r="N150" s="38" t="s">
        <v>89</v>
      </c>
      <c r="O150" s="32" t="s">
        <v>142</v>
      </c>
      <c r="P150" s="38" t="s">
        <v>1050</v>
      </c>
      <c r="Q150" s="38" t="s">
        <v>1462</v>
      </c>
      <c r="R150" s="36">
        <v>42861.0</v>
      </c>
      <c r="S150" s="32" t="s">
        <v>1023</v>
      </c>
      <c r="T150" s="45" t="s">
        <v>1335</v>
      </c>
      <c r="U150" s="56" t="s">
        <v>2085</v>
      </c>
      <c r="V150" s="34" t="s">
        <v>80</v>
      </c>
      <c r="W150" s="32" t="s">
        <v>561</v>
      </c>
      <c r="X150" s="32" t="s">
        <v>561</v>
      </c>
      <c r="Y150" s="109" t="s">
        <v>1337</v>
      </c>
      <c r="Z150" s="32" t="s">
        <v>112</v>
      </c>
      <c r="AA150" s="32"/>
      <c r="AB150" s="32" t="s">
        <v>575</v>
      </c>
      <c r="AC150" s="60"/>
      <c r="AD150" s="66"/>
      <c r="AE150" s="53"/>
      <c r="AF150" s="34" t="s">
        <v>80</v>
      </c>
      <c r="AG150" s="56" t="s">
        <v>1339</v>
      </c>
      <c r="AH150" s="41"/>
      <c r="AI150" s="41"/>
      <c r="AJ150" s="41"/>
      <c r="AK150" s="58">
        <v>41589.0</v>
      </c>
      <c r="AL150" s="56" t="s">
        <v>262</v>
      </c>
    </row>
    <row r="151" ht="22.5" customHeight="1">
      <c r="A151" s="238" t="s">
        <v>2087</v>
      </c>
      <c r="B151" s="63" t="s">
        <v>1251</v>
      </c>
      <c r="C151" s="32" t="s">
        <v>2088</v>
      </c>
      <c r="D151" s="41" t="s">
        <v>91</v>
      </c>
      <c r="E151" s="32" t="s">
        <v>2089</v>
      </c>
      <c r="F151" s="34" t="s">
        <v>140</v>
      </c>
      <c r="G151" s="34" t="s">
        <v>85</v>
      </c>
      <c r="H151" s="48">
        <v>41927.0</v>
      </c>
      <c r="I151" s="36"/>
      <c r="J151" s="48">
        <v>41927.0</v>
      </c>
      <c r="K151" s="32" t="s">
        <v>86</v>
      </c>
      <c r="L151" s="41" t="s">
        <v>115</v>
      </c>
      <c r="M151" s="63" t="s">
        <v>218</v>
      </c>
      <c r="N151" s="38" t="s">
        <v>89</v>
      </c>
      <c r="O151" s="32" t="s">
        <v>196</v>
      </c>
      <c r="P151" s="38"/>
      <c r="Q151" s="38" t="s">
        <v>2090</v>
      </c>
      <c r="R151" s="36"/>
      <c r="S151" s="32" t="s">
        <v>196</v>
      </c>
      <c r="T151" s="45" t="s">
        <v>2091</v>
      </c>
      <c r="U151" s="45" t="s">
        <v>2092</v>
      </c>
      <c r="V151" s="34" t="s">
        <v>80</v>
      </c>
      <c r="W151" s="32" t="s">
        <v>2094</v>
      </c>
      <c r="X151" s="60" t="s">
        <v>2095</v>
      </c>
      <c r="Y151" s="45" t="s">
        <v>2096</v>
      </c>
      <c r="Z151" s="32" t="s">
        <v>112</v>
      </c>
      <c r="AA151" s="32"/>
      <c r="AB151" s="60" t="s">
        <v>113</v>
      </c>
      <c r="AC151" s="60" t="s">
        <v>2098</v>
      </c>
      <c r="AD151" s="66">
        <v>41927.0</v>
      </c>
      <c r="AE151" s="30" t="s">
        <v>2099</v>
      </c>
      <c r="AF151" s="34" t="s">
        <v>80</v>
      </c>
      <c r="AG151" s="56" t="s">
        <v>1269</v>
      </c>
      <c r="AH151" s="41"/>
      <c r="AI151" s="41"/>
      <c r="AJ151" s="41"/>
      <c r="AK151" s="58">
        <v>41770.0</v>
      </c>
      <c r="AL151" s="56" t="s">
        <v>208</v>
      </c>
    </row>
    <row r="152" ht="22.5" customHeight="1">
      <c r="A152" s="238" t="s">
        <v>2101</v>
      </c>
      <c r="B152" s="63" t="s">
        <v>1251</v>
      </c>
      <c r="C152" s="32" t="s">
        <v>2088</v>
      </c>
      <c r="D152" s="41" t="s">
        <v>91</v>
      </c>
      <c r="E152" s="32" t="s">
        <v>2089</v>
      </c>
      <c r="F152" s="34" t="s">
        <v>140</v>
      </c>
      <c r="G152" s="34" t="s">
        <v>168</v>
      </c>
      <c r="H152" s="48">
        <v>42089.0</v>
      </c>
      <c r="I152" s="48">
        <v>42089.0</v>
      </c>
      <c r="J152" s="48">
        <v>42089.0</v>
      </c>
      <c r="K152" s="32" t="s">
        <v>86</v>
      </c>
      <c r="L152" s="41" t="s">
        <v>115</v>
      </c>
      <c r="M152" s="63" t="s">
        <v>218</v>
      </c>
      <c r="N152" s="38" t="s">
        <v>89</v>
      </c>
      <c r="O152" s="32" t="s">
        <v>142</v>
      </c>
      <c r="P152" s="38" t="s">
        <v>1050</v>
      </c>
      <c r="Q152" s="38" t="s">
        <v>1462</v>
      </c>
      <c r="R152" s="36">
        <v>43023.0</v>
      </c>
      <c r="S152" s="32" t="s">
        <v>196</v>
      </c>
      <c r="T152" s="45" t="s">
        <v>2091</v>
      </c>
      <c r="U152" s="56" t="s">
        <v>2104</v>
      </c>
      <c r="V152" s="34" t="s">
        <v>80</v>
      </c>
      <c r="W152" s="32" t="s">
        <v>2094</v>
      </c>
      <c r="X152" s="60" t="s">
        <v>2095</v>
      </c>
      <c r="Y152" s="45" t="s">
        <v>2096</v>
      </c>
      <c r="Z152" s="32" t="s">
        <v>112</v>
      </c>
      <c r="AA152" s="32"/>
      <c r="AB152" s="60" t="s">
        <v>113</v>
      </c>
      <c r="AC152" s="60"/>
      <c r="AD152" s="66"/>
      <c r="AE152" s="53"/>
      <c r="AF152" s="34" t="s">
        <v>80</v>
      </c>
      <c r="AG152" s="56" t="s">
        <v>1269</v>
      </c>
      <c r="AH152" s="41"/>
      <c r="AI152" s="41"/>
      <c r="AJ152" s="41"/>
      <c r="AK152" s="41"/>
      <c r="AL152" s="56" t="s">
        <v>262</v>
      </c>
    </row>
    <row r="153" ht="22.5" customHeight="1">
      <c r="A153" s="238" t="s">
        <v>2107</v>
      </c>
      <c r="B153" s="63" t="s">
        <v>2108</v>
      </c>
      <c r="C153" s="32" t="s">
        <v>2109</v>
      </c>
      <c r="D153" s="41" t="s">
        <v>91</v>
      </c>
      <c r="E153" s="103" t="s">
        <v>2110</v>
      </c>
      <c r="F153" s="34" t="s">
        <v>93</v>
      </c>
      <c r="G153" s="34" t="s">
        <v>85</v>
      </c>
      <c r="H153" s="48">
        <v>42164.0</v>
      </c>
      <c r="I153" s="48">
        <v>42150.0</v>
      </c>
      <c r="J153" s="48">
        <v>42164.0</v>
      </c>
      <c r="K153" s="32" t="s">
        <v>70</v>
      </c>
      <c r="L153" s="41" t="s">
        <v>115</v>
      </c>
      <c r="M153" s="63" t="s">
        <v>218</v>
      </c>
      <c r="N153" s="38" t="s">
        <v>89</v>
      </c>
      <c r="O153" s="32" t="s">
        <v>116</v>
      </c>
      <c r="P153" s="38"/>
      <c r="Q153" s="32" t="s">
        <v>117</v>
      </c>
      <c r="R153" s="36"/>
      <c r="S153" s="32" t="s">
        <v>116</v>
      </c>
      <c r="T153" s="45" t="s">
        <v>2112</v>
      </c>
      <c r="U153" s="109" t="s">
        <v>2113</v>
      </c>
      <c r="V153" s="34" t="s">
        <v>80</v>
      </c>
      <c r="W153" s="60" t="s">
        <v>2114</v>
      </c>
      <c r="X153" s="60" t="s">
        <v>2115</v>
      </c>
      <c r="Y153" s="109" t="s">
        <v>2116</v>
      </c>
      <c r="Z153" s="32" t="s">
        <v>112</v>
      </c>
      <c r="AA153" s="32"/>
      <c r="AB153" s="123" t="s">
        <v>113</v>
      </c>
      <c r="AC153" s="60" t="s">
        <v>2118</v>
      </c>
      <c r="AD153" s="66">
        <v>42164.0</v>
      </c>
      <c r="AE153" s="53"/>
      <c r="AF153" s="34" t="s">
        <v>80</v>
      </c>
      <c r="AG153" s="56" t="s">
        <v>2120</v>
      </c>
      <c r="AH153" s="41"/>
      <c r="AI153" s="41"/>
      <c r="AJ153" s="41"/>
      <c r="AK153" s="58">
        <v>41689.0</v>
      </c>
      <c r="AL153" s="63"/>
    </row>
    <row r="154" ht="22.5" customHeight="1">
      <c r="A154" s="238" t="s">
        <v>2121</v>
      </c>
      <c r="B154" s="63" t="s">
        <v>2122</v>
      </c>
      <c r="C154" s="32" t="s">
        <v>2123</v>
      </c>
      <c r="D154" s="41" t="s">
        <v>91</v>
      </c>
      <c r="E154" s="103" t="s">
        <v>2124</v>
      </c>
      <c r="F154" s="34" t="s">
        <v>93</v>
      </c>
      <c r="G154" s="34" t="s">
        <v>85</v>
      </c>
      <c r="H154" s="48">
        <v>42039.0</v>
      </c>
      <c r="I154" s="48">
        <v>42025.0</v>
      </c>
      <c r="J154" s="48">
        <v>42039.0</v>
      </c>
      <c r="K154" s="32" t="s">
        <v>70</v>
      </c>
      <c r="L154" s="41" t="s">
        <v>115</v>
      </c>
      <c r="M154" s="63" t="s">
        <v>218</v>
      </c>
      <c r="N154" s="38" t="s">
        <v>89</v>
      </c>
      <c r="O154" s="32" t="s">
        <v>116</v>
      </c>
      <c r="P154" s="38"/>
      <c r="Q154" s="32" t="s">
        <v>117</v>
      </c>
      <c r="R154" s="36"/>
      <c r="S154" s="32" t="s">
        <v>116</v>
      </c>
      <c r="T154" s="45" t="s">
        <v>2112</v>
      </c>
      <c r="U154" s="109" t="s">
        <v>2127</v>
      </c>
      <c r="V154" s="34" t="s">
        <v>80</v>
      </c>
      <c r="W154" s="60" t="s">
        <v>2128</v>
      </c>
      <c r="X154" s="60" t="s">
        <v>2130</v>
      </c>
      <c r="Y154" s="109" t="s">
        <v>2131</v>
      </c>
      <c r="Z154" s="32" t="s">
        <v>112</v>
      </c>
      <c r="AA154" s="32"/>
      <c r="AB154" s="123" t="s">
        <v>113</v>
      </c>
      <c r="AC154" s="60" t="s">
        <v>2133</v>
      </c>
      <c r="AD154" s="66">
        <v>42039.0</v>
      </c>
      <c r="AE154" s="30" t="s">
        <v>2134</v>
      </c>
      <c r="AF154" s="34" t="s">
        <v>80</v>
      </c>
      <c r="AG154" s="56" t="s">
        <v>2136</v>
      </c>
      <c r="AH154" s="41"/>
      <c r="AI154" s="41"/>
      <c r="AJ154" s="41"/>
      <c r="AK154" s="58">
        <v>41808.0</v>
      </c>
      <c r="AL154" s="63"/>
    </row>
    <row r="155" ht="22.5" customHeight="1">
      <c r="A155" s="238" t="s">
        <v>2137</v>
      </c>
      <c r="B155" s="63" t="s">
        <v>2122</v>
      </c>
      <c r="C155" s="32" t="s">
        <v>2123</v>
      </c>
      <c r="D155" s="41" t="s">
        <v>91</v>
      </c>
      <c r="E155" s="103" t="s">
        <v>2124</v>
      </c>
      <c r="F155" s="34" t="s">
        <v>93</v>
      </c>
      <c r="G155" s="34" t="s">
        <v>168</v>
      </c>
      <c r="H155" s="48">
        <v>42166.0</v>
      </c>
      <c r="I155" s="48">
        <v>42166.0</v>
      </c>
      <c r="J155" s="36"/>
      <c r="K155" s="32" t="s">
        <v>70</v>
      </c>
      <c r="L155" s="41" t="s">
        <v>115</v>
      </c>
      <c r="M155" s="63" t="s">
        <v>218</v>
      </c>
      <c r="N155" s="38" t="s">
        <v>89</v>
      </c>
      <c r="O155" s="32" t="s">
        <v>142</v>
      </c>
      <c r="P155" s="38" t="s">
        <v>1050</v>
      </c>
      <c r="Q155" s="38" t="s">
        <v>1462</v>
      </c>
      <c r="R155" s="36"/>
      <c r="S155" s="32" t="s">
        <v>116</v>
      </c>
      <c r="T155" s="203" t="s">
        <v>2140</v>
      </c>
      <c r="U155" s="56" t="s">
        <v>2142</v>
      </c>
      <c r="V155" s="34" t="s">
        <v>80</v>
      </c>
      <c r="W155" s="60" t="s">
        <v>2128</v>
      </c>
      <c r="X155" s="60" t="s">
        <v>2130</v>
      </c>
      <c r="Y155" s="109" t="s">
        <v>2131</v>
      </c>
      <c r="Z155" s="32" t="s">
        <v>112</v>
      </c>
      <c r="AA155" s="32"/>
      <c r="AB155" s="123" t="s">
        <v>113</v>
      </c>
      <c r="AC155" s="60"/>
      <c r="AD155" s="66"/>
      <c r="AE155" s="53"/>
      <c r="AF155" s="34" t="s">
        <v>80</v>
      </c>
      <c r="AG155" s="56" t="s">
        <v>2136</v>
      </c>
      <c r="AH155" s="41"/>
      <c r="AI155" s="41"/>
      <c r="AJ155" s="41"/>
      <c r="AK155" s="58">
        <v>41861.0</v>
      </c>
      <c r="AL155" s="56" t="s">
        <v>262</v>
      </c>
    </row>
    <row r="156" ht="22.5" customHeight="1">
      <c r="A156" s="238" t="s">
        <v>2146</v>
      </c>
      <c r="B156" s="63" t="s">
        <v>987</v>
      </c>
      <c r="C156" s="32" t="s">
        <v>988</v>
      </c>
      <c r="D156" s="41" t="s">
        <v>75</v>
      </c>
      <c r="E156" s="60" t="s">
        <v>990</v>
      </c>
      <c r="F156" s="34" t="s">
        <v>93</v>
      </c>
      <c r="G156" s="34" t="s">
        <v>168</v>
      </c>
      <c r="H156" s="48">
        <v>41963.0</v>
      </c>
      <c r="I156" s="48">
        <v>41963.0</v>
      </c>
      <c r="J156" s="48">
        <v>41963.0</v>
      </c>
      <c r="K156" s="32" t="s">
        <v>86</v>
      </c>
      <c r="L156" s="41" t="s">
        <v>115</v>
      </c>
      <c r="M156" s="63" t="s">
        <v>218</v>
      </c>
      <c r="N156" s="38" t="s">
        <v>89</v>
      </c>
      <c r="O156" s="32" t="s">
        <v>1520</v>
      </c>
      <c r="P156" s="38"/>
      <c r="Q156" s="32" t="s">
        <v>2149</v>
      </c>
      <c r="R156" s="48">
        <v>43059.0</v>
      </c>
      <c r="S156" s="32" t="s">
        <v>116</v>
      </c>
      <c r="T156" s="203" t="s">
        <v>997</v>
      </c>
      <c r="U156" s="109" t="s">
        <v>2151</v>
      </c>
      <c r="V156" s="34" t="s">
        <v>80</v>
      </c>
      <c r="W156" s="60" t="s">
        <v>1001</v>
      </c>
      <c r="X156" s="60" t="s">
        <v>1002</v>
      </c>
      <c r="Y156" s="109" t="s">
        <v>1003</v>
      </c>
      <c r="Z156" s="32" t="s">
        <v>112</v>
      </c>
      <c r="AA156" s="32"/>
      <c r="AB156" s="32" t="s">
        <v>113</v>
      </c>
      <c r="AC156" s="60"/>
      <c r="AD156" s="66"/>
      <c r="AE156" s="30" t="s">
        <v>2153</v>
      </c>
      <c r="AF156" s="34" t="s">
        <v>80</v>
      </c>
      <c r="AG156" s="56" t="s">
        <v>1005</v>
      </c>
      <c r="AH156" s="41"/>
      <c r="AI156" s="41"/>
      <c r="AJ156" s="41"/>
      <c r="AK156" s="83">
        <v>41736.0</v>
      </c>
      <c r="AL156" s="56" t="s">
        <v>1530</v>
      </c>
    </row>
    <row r="157" ht="22.5" customHeight="1">
      <c r="A157" s="238" t="s">
        <v>2156</v>
      </c>
      <c r="B157" s="63" t="s">
        <v>2157</v>
      </c>
      <c r="C157" s="63" t="s">
        <v>2158</v>
      </c>
      <c r="D157" s="34" t="s">
        <v>2159</v>
      </c>
      <c r="E157" s="201" t="s">
        <v>2160</v>
      </c>
      <c r="F157" s="39" t="s">
        <v>140</v>
      </c>
      <c r="G157" s="34" t="s">
        <v>85</v>
      </c>
      <c r="H157" s="36">
        <v>42230.0</v>
      </c>
      <c r="I157" s="36">
        <v>42230.0</v>
      </c>
      <c r="J157" s="36"/>
      <c r="K157" s="32" t="s">
        <v>86</v>
      </c>
      <c r="L157" s="34" t="s">
        <v>115</v>
      </c>
      <c r="M157" s="32" t="s">
        <v>313</v>
      </c>
      <c r="N157" s="38" t="s">
        <v>89</v>
      </c>
      <c r="O157" s="121" t="s">
        <v>1901</v>
      </c>
      <c r="P157" s="38"/>
      <c r="Q157" s="38" t="s">
        <v>2162</v>
      </c>
      <c r="R157" s="48">
        <v>43326.0</v>
      </c>
      <c r="S157" s="121" t="s">
        <v>1901</v>
      </c>
      <c r="T157" s="56" t="s">
        <v>2164</v>
      </c>
      <c r="U157" s="45" t="s">
        <v>2165</v>
      </c>
      <c r="V157" s="34" t="s">
        <v>80</v>
      </c>
      <c r="W157" s="63" t="s">
        <v>2166</v>
      </c>
      <c r="X157" s="63" t="s">
        <v>2167</v>
      </c>
      <c r="Y157" s="56" t="s">
        <v>2169</v>
      </c>
      <c r="Z157" s="32" t="s">
        <v>112</v>
      </c>
      <c r="AA157" s="32"/>
      <c r="AB157" s="60" t="s">
        <v>113</v>
      </c>
      <c r="AC157" s="60"/>
      <c r="AD157" s="136"/>
      <c r="AE157" s="30"/>
      <c r="AF157" s="34" t="s">
        <v>74</v>
      </c>
      <c r="AG157" s="56" t="s">
        <v>2171</v>
      </c>
      <c r="AH157" s="63"/>
      <c r="AI157" s="41"/>
      <c r="AJ157" s="41"/>
      <c r="AK157" s="58">
        <v>42209.0</v>
      </c>
      <c r="AL157" s="56" t="s">
        <v>2172</v>
      </c>
    </row>
    <row r="158" ht="22.5" customHeight="1">
      <c r="A158" s="238" t="s">
        <v>2174</v>
      </c>
      <c r="B158" s="63" t="s">
        <v>983</v>
      </c>
      <c r="C158" s="63" t="s">
        <v>2175</v>
      </c>
      <c r="D158" s="41" t="s">
        <v>75</v>
      </c>
      <c r="E158" s="259" t="s">
        <v>2177</v>
      </c>
      <c r="F158" s="39" t="s">
        <v>140</v>
      </c>
      <c r="G158" s="34" t="s">
        <v>85</v>
      </c>
      <c r="H158" s="48">
        <v>42277.0</v>
      </c>
      <c r="I158" s="36">
        <v>42276.0</v>
      </c>
      <c r="J158" s="48">
        <v>42277.0</v>
      </c>
      <c r="K158" s="32" t="s">
        <v>70</v>
      </c>
      <c r="L158" s="34" t="s">
        <v>115</v>
      </c>
      <c r="M158" s="63" t="s">
        <v>383</v>
      </c>
      <c r="N158" s="38" t="s">
        <v>89</v>
      </c>
      <c r="O158" s="121" t="s">
        <v>850</v>
      </c>
      <c r="P158" s="38"/>
      <c r="Q158" s="38" t="s">
        <v>2183</v>
      </c>
      <c r="R158" s="48">
        <v>43373.0</v>
      </c>
      <c r="S158" s="121" t="s">
        <v>850</v>
      </c>
      <c r="T158" s="56" t="s">
        <v>2184</v>
      </c>
      <c r="U158" s="45" t="s">
        <v>2186</v>
      </c>
      <c r="V158" s="34" t="s">
        <v>80</v>
      </c>
      <c r="W158" s="63" t="s">
        <v>2188</v>
      </c>
      <c r="X158" s="63" t="s">
        <v>2189</v>
      </c>
      <c r="Y158" s="56" t="s">
        <v>2190</v>
      </c>
      <c r="Z158" s="32" t="s">
        <v>112</v>
      </c>
      <c r="AA158" s="32"/>
      <c r="AB158" s="60" t="s">
        <v>66</v>
      </c>
      <c r="AC158" s="60" t="s">
        <v>2193</v>
      </c>
      <c r="AD158" s="136">
        <v>42495.0</v>
      </c>
      <c r="AE158" s="30"/>
      <c r="AF158" s="34" t="s">
        <v>80</v>
      </c>
      <c r="AG158" s="56" t="s">
        <v>2195</v>
      </c>
      <c r="AH158" s="63" t="s">
        <v>193</v>
      </c>
      <c r="AI158" s="41"/>
      <c r="AJ158" s="41"/>
      <c r="AK158" s="132">
        <v>42278.0</v>
      </c>
      <c r="AL158" s="56" t="s">
        <v>870</v>
      </c>
    </row>
    <row r="159" ht="22.5" customHeight="1">
      <c r="A159" s="238" t="s">
        <v>2198</v>
      </c>
      <c r="B159" s="63" t="s">
        <v>888</v>
      </c>
      <c r="C159" s="57" t="s">
        <v>2199</v>
      </c>
      <c r="D159" s="41" t="s">
        <v>75</v>
      </c>
      <c r="E159" s="201" t="s">
        <v>963</v>
      </c>
      <c r="F159" s="39" t="s">
        <v>140</v>
      </c>
      <c r="G159" s="34" t="s">
        <v>85</v>
      </c>
      <c r="H159" s="36">
        <v>42137.0</v>
      </c>
      <c r="I159" s="36">
        <v>42137.0</v>
      </c>
      <c r="J159" s="36"/>
      <c r="K159" s="32" t="s">
        <v>86</v>
      </c>
      <c r="L159" s="34" t="s">
        <v>141</v>
      </c>
      <c r="M159" s="63" t="s">
        <v>383</v>
      </c>
      <c r="N159" s="38" t="s">
        <v>89</v>
      </c>
      <c r="O159" s="121" t="s">
        <v>969</v>
      </c>
      <c r="P159" s="38"/>
      <c r="Q159" s="38" t="s">
        <v>2201</v>
      </c>
      <c r="R159" s="48">
        <v>42503.0</v>
      </c>
      <c r="S159" s="121" t="s">
        <v>969</v>
      </c>
      <c r="T159" s="56" t="s">
        <v>2203</v>
      </c>
      <c r="U159" s="45" t="s">
        <v>2204</v>
      </c>
      <c r="V159" s="34" t="s">
        <v>80</v>
      </c>
      <c r="W159" s="139" t="s">
        <v>970</v>
      </c>
      <c r="X159" s="139" t="s">
        <v>868</v>
      </c>
      <c r="Y159" s="202" t="s">
        <v>971</v>
      </c>
      <c r="Z159" s="32" t="s">
        <v>112</v>
      </c>
      <c r="AA159" s="32"/>
      <c r="AB159" s="32" t="s">
        <v>113</v>
      </c>
      <c r="AC159" s="60" t="s">
        <v>978</v>
      </c>
      <c r="AD159" s="136"/>
      <c r="AE159" s="30"/>
      <c r="AF159" s="34" t="s">
        <v>80</v>
      </c>
      <c r="AG159" s="56" t="s">
        <v>900</v>
      </c>
      <c r="AH159" s="41"/>
      <c r="AI159" s="41"/>
      <c r="AJ159" s="41"/>
      <c r="AK159" s="58">
        <v>42065.0</v>
      </c>
      <c r="AL159" s="56" t="s">
        <v>1043</v>
      </c>
    </row>
    <row r="160" ht="22.5" customHeight="1">
      <c r="A160" s="238" t="s">
        <v>2210</v>
      </c>
      <c r="B160" s="63" t="s">
        <v>888</v>
      </c>
      <c r="C160" s="32" t="s">
        <v>1281</v>
      </c>
      <c r="D160" s="41" t="s">
        <v>75</v>
      </c>
      <c r="E160" s="38" t="s">
        <v>1282</v>
      </c>
      <c r="F160" s="34" t="s">
        <v>140</v>
      </c>
      <c r="G160" s="34" t="s">
        <v>168</v>
      </c>
      <c r="H160" s="36">
        <v>41995.0</v>
      </c>
      <c r="I160" s="36">
        <v>41995.0</v>
      </c>
      <c r="J160" s="36"/>
      <c r="K160" s="32" t="s">
        <v>70</v>
      </c>
      <c r="L160" s="41" t="s">
        <v>115</v>
      </c>
      <c r="M160" s="259" t="s">
        <v>88</v>
      </c>
      <c r="N160" s="38" t="s">
        <v>89</v>
      </c>
      <c r="O160" s="121" t="s">
        <v>1012</v>
      </c>
      <c r="P160" s="38"/>
      <c r="Q160" s="38" t="s">
        <v>1958</v>
      </c>
      <c r="R160" s="48"/>
      <c r="S160" s="32" t="s">
        <v>196</v>
      </c>
      <c r="T160" s="45" t="s">
        <v>1285</v>
      </c>
      <c r="U160" s="56" t="s">
        <v>2213</v>
      </c>
      <c r="V160" s="34" t="s">
        <v>80</v>
      </c>
      <c r="W160" s="32" t="s">
        <v>561</v>
      </c>
      <c r="X160" s="60" t="s">
        <v>1287</v>
      </c>
      <c r="Y160" s="45" t="s">
        <v>1288</v>
      </c>
      <c r="Z160" s="32" t="s">
        <v>112</v>
      </c>
      <c r="AA160" s="32"/>
      <c r="AB160" s="32" t="s">
        <v>113</v>
      </c>
      <c r="AC160" s="60"/>
      <c r="AD160" s="74"/>
      <c r="AE160" s="260"/>
      <c r="AF160" s="34" t="s">
        <v>80</v>
      </c>
      <c r="AG160" s="56" t="s">
        <v>900</v>
      </c>
      <c r="AH160" s="41"/>
      <c r="AI160" s="41"/>
      <c r="AJ160" s="41"/>
      <c r="AK160" s="155">
        <v>41770.0</v>
      </c>
      <c r="AL160" s="56" t="s">
        <v>1021</v>
      </c>
    </row>
    <row r="161" ht="22.5" customHeight="1">
      <c r="A161" s="238" t="s">
        <v>2218</v>
      </c>
      <c r="B161" s="63" t="s">
        <v>2219</v>
      </c>
      <c r="C161" s="139" t="s">
        <v>2220</v>
      </c>
      <c r="D161" s="41" t="s">
        <v>75</v>
      </c>
      <c r="E161" s="139" t="s">
        <v>2221</v>
      </c>
      <c r="F161" s="39" t="s">
        <v>140</v>
      </c>
      <c r="G161" s="34" t="s">
        <v>85</v>
      </c>
      <c r="H161" s="36">
        <v>42257.0</v>
      </c>
      <c r="I161" s="48">
        <v>42251.0</v>
      </c>
      <c r="J161" s="36">
        <v>42257.0</v>
      </c>
      <c r="K161" s="32" t="s">
        <v>70</v>
      </c>
      <c r="L161" s="34" t="s">
        <v>115</v>
      </c>
      <c r="M161" s="32" t="s">
        <v>383</v>
      </c>
      <c r="N161" s="38" t="s">
        <v>89</v>
      </c>
      <c r="O161" s="32" t="s">
        <v>1798</v>
      </c>
      <c r="P161" s="38"/>
      <c r="Q161" s="38" t="s">
        <v>1799</v>
      </c>
      <c r="R161" s="48">
        <v>43353.0</v>
      </c>
      <c r="S161" s="32" t="s">
        <v>1798</v>
      </c>
      <c r="T161" s="56" t="s">
        <v>2222</v>
      </c>
      <c r="U161" s="56" t="s">
        <v>2223</v>
      </c>
      <c r="V161" s="34" t="s">
        <v>80</v>
      </c>
      <c r="W161" s="139" t="s">
        <v>2224</v>
      </c>
      <c r="X161" s="63" t="s">
        <v>2225</v>
      </c>
      <c r="Y161" s="202" t="s">
        <v>2226</v>
      </c>
      <c r="Z161" s="32" t="s">
        <v>112</v>
      </c>
      <c r="AA161" s="32"/>
      <c r="AB161" s="139" t="s">
        <v>389</v>
      </c>
      <c r="AC161" s="60" t="s">
        <v>2227</v>
      </c>
      <c r="AD161" s="136">
        <v>42492.0</v>
      </c>
      <c r="AE161" s="30"/>
      <c r="AF161" s="34" t="s">
        <v>80</v>
      </c>
      <c r="AG161" s="56" t="s">
        <v>2228</v>
      </c>
      <c r="AH161" s="63" t="s">
        <v>193</v>
      </c>
      <c r="AI161" s="41"/>
      <c r="AJ161" s="41"/>
      <c r="AK161" s="58">
        <v>42332.0</v>
      </c>
      <c r="AL161" s="56" t="s">
        <v>1813</v>
      </c>
    </row>
    <row r="162" ht="22.5" customHeight="1">
      <c r="A162" s="238" t="s">
        <v>2229</v>
      </c>
      <c r="B162" s="32" t="s">
        <v>932</v>
      </c>
      <c r="C162" s="32" t="s">
        <v>933</v>
      </c>
      <c r="D162" s="34" t="s">
        <v>752</v>
      </c>
      <c r="E162" s="38" t="s">
        <v>935</v>
      </c>
      <c r="F162" s="34" t="s">
        <v>140</v>
      </c>
      <c r="G162" s="34" t="s">
        <v>168</v>
      </c>
      <c r="H162" s="48">
        <v>42213.0</v>
      </c>
      <c r="I162" s="48">
        <v>42208.0</v>
      </c>
      <c r="J162" s="48">
        <v>42213.0</v>
      </c>
      <c r="K162" s="32" t="s">
        <v>70</v>
      </c>
      <c r="L162" s="34" t="s">
        <v>115</v>
      </c>
      <c r="M162" s="63" t="s">
        <v>383</v>
      </c>
      <c r="N162" s="38" t="s">
        <v>89</v>
      </c>
      <c r="O162" s="32" t="s">
        <v>2230</v>
      </c>
      <c r="P162" s="38"/>
      <c r="Q162" s="38" t="s">
        <v>2231</v>
      </c>
      <c r="R162" s="48">
        <v>43309.0</v>
      </c>
      <c r="S162" s="32" t="s">
        <v>850</v>
      </c>
      <c r="T162" s="45" t="s">
        <v>1335</v>
      </c>
      <c r="U162" s="56" t="s">
        <v>2232</v>
      </c>
      <c r="V162" s="34" t="s">
        <v>80</v>
      </c>
      <c r="W162" s="32" t="s">
        <v>561</v>
      </c>
      <c r="X162" s="32" t="s">
        <v>941</v>
      </c>
      <c r="Y162" s="45" t="s">
        <v>942</v>
      </c>
      <c r="Z162" s="32" t="s">
        <v>112</v>
      </c>
      <c r="AA162" s="32"/>
      <c r="AB162" s="60" t="s">
        <v>240</v>
      </c>
      <c r="AC162" s="68"/>
      <c r="AD162" s="136"/>
      <c r="AE162" s="30" t="s">
        <v>2233</v>
      </c>
      <c r="AF162" s="34" t="s">
        <v>80</v>
      </c>
      <c r="AG162" s="56" t="s">
        <v>945</v>
      </c>
      <c r="AH162" s="41"/>
      <c r="AI162" s="41"/>
      <c r="AJ162" s="41"/>
      <c r="AK162" s="58">
        <v>41255.0</v>
      </c>
      <c r="AL162" s="56" t="s">
        <v>2234</v>
      </c>
    </row>
    <row r="163" ht="22.5" customHeight="1">
      <c r="A163" s="238" t="s">
        <v>2235</v>
      </c>
      <c r="B163" s="37" t="s">
        <v>1393</v>
      </c>
      <c r="C163" s="32" t="s">
        <v>1421</v>
      </c>
      <c r="D163" s="41" t="s">
        <v>75</v>
      </c>
      <c r="E163" s="121" t="s">
        <v>1422</v>
      </c>
      <c r="F163" s="34" t="s">
        <v>140</v>
      </c>
      <c r="G163" s="34" t="s">
        <v>168</v>
      </c>
      <c r="H163" s="48">
        <v>42214.0</v>
      </c>
      <c r="I163" s="48">
        <v>42214.0</v>
      </c>
      <c r="J163" s="48"/>
      <c r="K163" s="32" t="s">
        <v>86</v>
      </c>
      <c r="L163" s="41" t="s">
        <v>115</v>
      </c>
      <c r="M163" s="63" t="s">
        <v>88</v>
      </c>
      <c r="N163" s="38" t="s">
        <v>89</v>
      </c>
      <c r="O163" s="38" t="s">
        <v>175</v>
      </c>
      <c r="P163" s="149" t="s">
        <v>2236</v>
      </c>
      <c r="Q163" s="32" t="s">
        <v>2237</v>
      </c>
      <c r="R163" s="48">
        <v>43310.0</v>
      </c>
      <c r="S163" s="32" t="s">
        <v>196</v>
      </c>
      <c r="T163" s="56" t="s">
        <v>1431</v>
      </c>
      <c r="U163" s="56" t="s">
        <v>2238</v>
      </c>
      <c r="V163" s="34" t="s">
        <v>80</v>
      </c>
      <c r="W163" s="60" t="s">
        <v>1401</v>
      </c>
      <c r="X163" s="149" t="s">
        <v>1402</v>
      </c>
      <c r="Y163" s="109" t="s">
        <v>1403</v>
      </c>
      <c r="Z163" s="32" t="s">
        <v>112</v>
      </c>
      <c r="AA163" s="32"/>
      <c r="AB163" s="32" t="s">
        <v>113</v>
      </c>
      <c r="AC163" s="60"/>
      <c r="AD163" s="136"/>
      <c r="AE163" s="30" t="s">
        <v>2239</v>
      </c>
      <c r="AF163" s="34" t="s">
        <v>80</v>
      </c>
      <c r="AG163" s="56" t="s">
        <v>1407</v>
      </c>
      <c r="AH163" s="41"/>
      <c r="AI163" s="41"/>
      <c r="AJ163" s="41"/>
      <c r="AK163" s="58">
        <v>42307.0</v>
      </c>
      <c r="AL163" s="56" t="s">
        <v>188</v>
      </c>
    </row>
    <row r="164" ht="22.5" customHeight="1">
      <c r="A164" s="238" t="s">
        <v>2240</v>
      </c>
      <c r="B164" s="149" t="s">
        <v>2241</v>
      </c>
      <c r="C164" s="149" t="s">
        <v>2242</v>
      </c>
      <c r="D164" s="41" t="s">
        <v>75</v>
      </c>
      <c r="E164" s="149" t="s">
        <v>2243</v>
      </c>
      <c r="F164" s="34" t="s">
        <v>140</v>
      </c>
      <c r="G164" s="34" t="s">
        <v>85</v>
      </c>
      <c r="H164" s="48">
        <v>42214.0</v>
      </c>
      <c r="I164" s="48">
        <v>42214.0</v>
      </c>
      <c r="J164" s="48"/>
      <c r="K164" s="32" t="s">
        <v>70</v>
      </c>
      <c r="L164" s="34" t="s">
        <v>115</v>
      </c>
      <c r="M164" s="63" t="s">
        <v>88</v>
      </c>
      <c r="N164" s="38" t="s">
        <v>89</v>
      </c>
      <c r="O164" s="38" t="s">
        <v>175</v>
      </c>
      <c r="P164" s="60" t="s">
        <v>2236</v>
      </c>
      <c r="Q164" s="32" t="s">
        <v>2237</v>
      </c>
      <c r="R164" s="48">
        <v>43310.0</v>
      </c>
      <c r="S164" s="38" t="s">
        <v>175</v>
      </c>
      <c r="T164" s="56" t="s">
        <v>2244</v>
      </c>
      <c r="U164" s="56" t="s">
        <v>2245</v>
      </c>
      <c r="V164" s="34" t="s">
        <v>80</v>
      </c>
      <c r="W164" s="149" t="s">
        <v>2246</v>
      </c>
      <c r="X164" s="32" t="s">
        <v>2247</v>
      </c>
      <c r="Y164" s="152" t="s">
        <v>2248</v>
      </c>
      <c r="Z164" s="32" t="s">
        <v>112</v>
      </c>
      <c r="AA164" s="32"/>
      <c r="AB164" s="60" t="s">
        <v>2249</v>
      </c>
      <c r="AC164" s="60" t="s">
        <v>2250</v>
      </c>
      <c r="AD164" s="136">
        <v>42907.0</v>
      </c>
      <c r="AE164" s="30" t="s">
        <v>2239</v>
      </c>
      <c r="AF164" s="34" t="s">
        <v>80</v>
      </c>
      <c r="AG164" s="56" t="s">
        <v>2251</v>
      </c>
      <c r="AH164" s="41"/>
      <c r="AI164" s="58"/>
      <c r="AJ164" s="41"/>
      <c r="AK164" s="58">
        <v>41164.0</v>
      </c>
      <c r="AL164" s="56" t="s">
        <v>188</v>
      </c>
    </row>
    <row r="165" ht="22.5" customHeight="1">
      <c r="A165" s="238" t="s">
        <v>2252</v>
      </c>
      <c r="B165" s="63" t="s">
        <v>1321</v>
      </c>
      <c r="C165" s="32" t="s">
        <v>1322</v>
      </c>
      <c r="D165" s="34" t="s">
        <v>845</v>
      </c>
      <c r="E165" s="38" t="s">
        <v>1323</v>
      </c>
      <c r="F165" s="34" t="s">
        <v>140</v>
      </c>
      <c r="G165" s="34" t="s">
        <v>168</v>
      </c>
      <c r="H165" s="48">
        <v>42214.0</v>
      </c>
      <c r="I165" s="48">
        <v>42214.0</v>
      </c>
      <c r="J165" s="48"/>
      <c r="K165" s="32" t="s">
        <v>70</v>
      </c>
      <c r="L165" s="41" t="s">
        <v>115</v>
      </c>
      <c r="M165" s="42" t="s">
        <v>88</v>
      </c>
      <c r="N165" s="38" t="s">
        <v>89</v>
      </c>
      <c r="O165" s="38" t="s">
        <v>175</v>
      </c>
      <c r="P165" s="149" t="s">
        <v>2236</v>
      </c>
      <c r="Q165" s="32" t="s">
        <v>2237</v>
      </c>
      <c r="R165" s="48">
        <v>43310.0</v>
      </c>
      <c r="S165" s="32" t="s">
        <v>196</v>
      </c>
      <c r="T165" s="45" t="s">
        <v>1324</v>
      </c>
      <c r="U165" s="56" t="s">
        <v>2253</v>
      </c>
      <c r="V165" s="34" t="s">
        <v>80</v>
      </c>
      <c r="W165" s="32" t="s">
        <v>561</v>
      </c>
      <c r="X165" s="32" t="s">
        <v>1326</v>
      </c>
      <c r="Y165" s="109" t="s">
        <v>1327</v>
      </c>
      <c r="Z165" s="32" t="s">
        <v>112</v>
      </c>
      <c r="AA165" s="32"/>
      <c r="AB165" s="32" t="s">
        <v>113</v>
      </c>
      <c r="AC165" s="60"/>
      <c r="AD165" s="66"/>
      <c r="AE165" s="30" t="s">
        <v>2239</v>
      </c>
      <c r="AF165" s="34" t="s">
        <v>80</v>
      </c>
      <c r="AG165" s="56" t="s">
        <v>1329</v>
      </c>
      <c r="AH165" s="41"/>
      <c r="AI165" s="41"/>
      <c r="AJ165" s="41"/>
      <c r="AK165" s="58">
        <v>41619.0</v>
      </c>
      <c r="AL165" s="56" t="s">
        <v>188</v>
      </c>
    </row>
    <row r="166" ht="22.5" customHeight="1">
      <c r="A166" s="238" t="s">
        <v>2254</v>
      </c>
      <c r="B166" s="63" t="s">
        <v>1765</v>
      </c>
      <c r="C166" s="32" t="s">
        <v>1766</v>
      </c>
      <c r="D166" s="34" t="s">
        <v>1010</v>
      </c>
      <c r="E166" s="38" t="s">
        <v>1768</v>
      </c>
      <c r="F166" s="34" t="s">
        <v>2</v>
      </c>
      <c r="G166" s="34" t="s">
        <v>85</v>
      </c>
      <c r="H166" s="48">
        <v>42046.0</v>
      </c>
      <c r="I166" s="36"/>
      <c r="J166" s="36"/>
      <c r="K166" s="32" t="s">
        <v>86</v>
      </c>
      <c r="L166" s="41" t="s">
        <v>115</v>
      </c>
      <c r="M166" s="42" t="s">
        <v>88</v>
      </c>
      <c r="N166" s="38" t="s">
        <v>89</v>
      </c>
      <c r="O166" s="32" t="s">
        <v>2255</v>
      </c>
      <c r="P166" s="38"/>
      <c r="Q166" s="38"/>
      <c r="R166" s="36"/>
      <c r="S166" s="32" t="s">
        <v>2255</v>
      </c>
      <c r="T166" s="45" t="s">
        <v>1769</v>
      </c>
      <c r="U166" s="56" t="s">
        <v>1770</v>
      </c>
      <c r="V166" s="34"/>
      <c r="W166" s="63" t="s">
        <v>1772</v>
      </c>
      <c r="X166" s="63" t="s">
        <v>1773</v>
      </c>
      <c r="Y166" s="56" t="s">
        <v>1774</v>
      </c>
      <c r="Z166" s="32" t="s">
        <v>112</v>
      </c>
      <c r="AA166" s="38"/>
      <c r="AB166" s="32" t="s">
        <v>113</v>
      </c>
      <c r="AC166" s="60"/>
      <c r="AD166" s="136"/>
      <c r="AE166" s="30"/>
      <c r="AF166" s="34" t="s">
        <v>80</v>
      </c>
      <c r="AG166" s="56" t="s">
        <v>1775</v>
      </c>
      <c r="AH166" s="41"/>
      <c r="AI166" s="41"/>
      <c r="AJ166" s="41"/>
      <c r="AK166" s="132">
        <v>42018.0</v>
      </c>
      <c r="AL166" s="63"/>
    </row>
    <row r="167" ht="22.5" customHeight="1">
      <c r="A167" s="238" t="s">
        <v>2256</v>
      </c>
      <c r="B167" s="32" t="s">
        <v>2257</v>
      </c>
      <c r="C167" s="32" t="s">
        <v>2258</v>
      </c>
      <c r="D167" s="34" t="s">
        <v>584</v>
      </c>
      <c r="E167" s="42" t="s">
        <v>2259</v>
      </c>
      <c r="F167" s="34" t="s">
        <v>2</v>
      </c>
      <c r="G167" s="34" t="s">
        <v>85</v>
      </c>
      <c r="H167" s="48">
        <v>42277.0</v>
      </c>
      <c r="I167" s="36"/>
      <c r="J167" s="36"/>
      <c r="K167" s="32" t="s">
        <v>86</v>
      </c>
      <c r="L167" s="41" t="s">
        <v>115</v>
      </c>
      <c r="M167" s="32" t="s">
        <v>313</v>
      </c>
      <c r="N167" s="38" t="s">
        <v>89</v>
      </c>
      <c r="O167" s="32" t="s">
        <v>2255</v>
      </c>
      <c r="P167" s="38"/>
      <c r="Q167" s="38"/>
      <c r="R167" s="36"/>
      <c r="S167" s="32" t="s">
        <v>2255</v>
      </c>
      <c r="T167" s="45" t="s">
        <v>2260</v>
      </c>
      <c r="U167" s="56"/>
      <c r="V167" s="41"/>
      <c r="W167" s="139" t="s">
        <v>2261</v>
      </c>
      <c r="X167" s="139" t="s">
        <v>2262</v>
      </c>
      <c r="Y167" s="45" t="s">
        <v>2263</v>
      </c>
      <c r="Z167" s="32" t="s">
        <v>112</v>
      </c>
      <c r="AA167" s="38"/>
      <c r="AB167" s="32" t="s">
        <v>113</v>
      </c>
      <c r="AC167" s="60"/>
      <c r="AD167" s="136"/>
      <c r="AE167" s="30" t="s">
        <v>2264</v>
      </c>
      <c r="AF167" s="34" t="s">
        <v>74</v>
      </c>
      <c r="AG167" s="56" t="s">
        <v>2265</v>
      </c>
      <c r="AH167" s="41"/>
      <c r="AI167" s="41"/>
      <c r="AJ167" s="41"/>
      <c r="AK167" s="155">
        <v>41963.0</v>
      </c>
      <c r="AL167" s="63"/>
    </row>
    <row r="168" ht="22.5" customHeight="1">
      <c r="A168" s="238" t="s">
        <v>2266</v>
      </c>
      <c r="B168" s="32" t="s">
        <v>2122</v>
      </c>
      <c r="C168" s="32" t="s">
        <v>2122</v>
      </c>
      <c r="D168" s="41"/>
      <c r="E168" s="42"/>
      <c r="F168" s="34" t="s">
        <v>2</v>
      </c>
      <c r="G168" s="34" t="s">
        <v>85</v>
      </c>
      <c r="H168" s="48">
        <v>42277.0</v>
      </c>
      <c r="I168" s="36"/>
      <c r="J168" s="36"/>
      <c r="K168" s="32" t="s">
        <v>86</v>
      </c>
      <c r="L168" s="41" t="s">
        <v>115</v>
      </c>
      <c r="M168" s="38"/>
      <c r="N168" s="38" t="s">
        <v>89</v>
      </c>
      <c r="O168" s="32" t="s">
        <v>2255</v>
      </c>
      <c r="P168" s="38"/>
      <c r="Q168" s="38"/>
      <c r="R168" s="36"/>
      <c r="S168" s="32" t="s">
        <v>2255</v>
      </c>
      <c r="T168" s="45" t="s">
        <v>2267</v>
      </c>
      <c r="U168" s="63"/>
      <c r="V168" s="41"/>
      <c r="W168" s="60" t="s">
        <v>2128</v>
      </c>
      <c r="X168" s="60" t="s">
        <v>2130</v>
      </c>
      <c r="Y168" s="38"/>
      <c r="Z168" s="32" t="s">
        <v>112</v>
      </c>
      <c r="AA168" s="38"/>
      <c r="AB168" s="38"/>
      <c r="AC168" s="60" t="s">
        <v>2268</v>
      </c>
      <c r="AD168" s="136"/>
      <c r="AE168" s="30" t="s">
        <v>2269</v>
      </c>
      <c r="AF168" s="34" t="s">
        <v>74</v>
      </c>
      <c r="AG168" s="56" t="s">
        <v>2136</v>
      </c>
      <c r="AH168" s="41"/>
      <c r="AI168" s="41"/>
      <c r="AJ168" s="41"/>
      <c r="AK168" s="41"/>
      <c r="AL168" s="63"/>
    </row>
    <row r="169" ht="22.5" customHeight="1">
      <c r="A169" s="27" t="s">
        <v>2270</v>
      </c>
      <c r="B169" s="63" t="s">
        <v>190</v>
      </c>
      <c r="C169" s="32" t="s">
        <v>191</v>
      </c>
      <c r="D169" s="34" t="s">
        <v>752</v>
      </c>
      <c r="E169" s="38" t="s">
        <v>193</v>
      </c>
      <c r="F169" s="54" t="s">
        <v>93</v>
      </c>
      <c r="G169" s="34" t="s">
        <v>168</v>
      </c>
      <c r="H169" s="48">
        <v>42143.0</v>
      </c>
      <c r="I169" s="48">
        <v>42142.0</v>
      </c>
      <c r="J169" s="48">
        <v>42143.0</v>
      </c>
      <c r="K169" s="32" t="s">
        <v>86</v>
      </c>
      <c r="L169" s="41" t="s">
        <v>115</v>
      </c>
      <c r="M169" s="63" t="s">
        <v>88</v>
      </c>
      <c r="N169" s="38" t="s">
        <v>89</v>
      </c>
      <c r="O169" s="32" t="s">
        <v>2271</v>
      </c>
      <c r="P169" s="38"/>
      <c r="Q169" s="32" t="s">
        <v>2272</v>
      </c>
      <c r="R169" s="48">
        <v>43238.0</v>
      </c>
      <c r="S169" s="57" t="s">
        <v>116</v>
      </c>
      <c r="T169" s="56" t="s">
        <v>198</v>
      </c>
      <c r="U169" s="45" t="s">
        <v>2273</v>
      </c>
      <c r="V169" s="34" t="s">
        <v>80</v>
      </c>
      <c r="W169" s="32" t="s">
        <v>201</v>
      </c>
      <c r="X169" s="32" t="s">
        <v>202</v>
      </c>
      <c r="Y169" s="45" t="s">
        <v>203</v>
      </c>
      <c r="Z169" s="32" t="s">
        <v>112</v>
      </c>
      <c r="AA169" s="32"/>
      <c r="AB169" s="32" t="s">
        <v>113</v>
      </c>
      <c r="AC169" s="60"/>
      <c r="AD169" s="66"/>
      <c r="AE169" s="30" t="s">
        <v>2274</v>
      </c>
      <c r="AF169" s="34" t="s">
        <v>80</v>
      </c>
      <c r="AG169" s="56" t="s">
        <v>206</v>
      </c>
      <c r="AH169" s="41"/>
      <c r="AI169" s="41"/>
      <c r="AJ169" s="41"/>
      <c r="AK169" s="58">
        <v>41215.0</v>
      </c>
      <c r="AL169" s="56" t="s">
        <v>2275</v>
      </c>
    </row>
    <row r="170" ht="22.5" customHeight="1">
      <c r="A170" s="238" t="s">
        <v>2276</v>
      </c>
      <c r="B170" s="63" t="s">
        <v>901</v>
      </c>
      <c r="C170" s="32" t="s">
        <v>1995</v>
      </c>
      <c r="D170" s="41" t="s">
        <v>75</v>
      </c>
      <c r="E170" s="38" t="s">
        <v>1996</v>
      </c>
      <c r="F170" s="34" t="s">
        <v>93</v>
      </c>
      <c r="G170" s="34" t="s">
        <v>168</v>
      </c>
      <c r="H170" s="48">
        <v>42018.0</v>
      </c>
      <c r="I170" s="48">
        <v>42017.0</v>
      </c>
      <c r="J170" s="48">
        <v>42018.0</v>
      </c>
      <c r="K170" s="32" t="s">
        <v>86</v>
      </c>
      <c r="L170" s="41" t="s">
        <v>115</v>
      </c>
      <c r="M170" s="63" t="s">
        <v>218</v>
      </c>
      <c r="N170" s="38" t="s">
        <v>89</v>
      </c>
      <c r="O170" s="32" t="s">
        <v>2271</v>
      </c>
      <c r="P170" s="38"/>
      <c r="Q170" s="32" t="s">
        <v>2272</v>
      </c>
      <c r="R170" s="48">
        <v>43114.0</v>
      </c>
      <c r="S170" s="32" t="s">
        <v>116</v>
      </c>
      <c r="T170" s="45" t="s">
        <v>1318</v>
      </c>
      <c r="U170" s="56" t="s">
        <v>2277</v>
      </c>
      <c r="V170" s="34" t="s">
        <v>80</v>
      </c>
      <c r="W170" s="60" t="s">
        <v>904</v>
      </c>
      <c r="X170" s="60" t="s">
        <v>905</v>
      </c>
      <c r="Y170" s="109" t="s">
        <v>1999</v>
      </c>
      <c r="Z170" s="32" t="s">
        <v>112</v>
      </c>
      <c r="AA170" s="68"/>
      <c r="AB170" s="123" t="s">
        <v>113</v>
      </c>
      <c r="AC170" s="60"/>
      <c r="AD170" s="66"/>
      <c r="AE170" s="30" t="s">
        <v>2278</v>
      </c>
      <c r="AF170" s="34" t="s">
        <v>74</v>
      </c>
      <c r="AG170" s="56" t="s">
        <v>911</v>
      </c>
      <c r="AH170" s="41"/>
      <c r="AI170" s="41"/>
      <c r="AJ170" s="41"/>
      <c r="AK170" s="58">
        <v>41530.0</v>
      </c>
      <c r="AL170" s="56" t="s">
        <v>2275</v>
      </c>
    </row>
    <row r="171" ht="22.5" customHeight="1">
      <c r="A171" s="27" t="s">
        <v>2279</v>
      </c>
      <c r="B171" s="63" t="s">
        <v>1321</v>
      </c>
      <c r="C171" s="32" t="s">
        <v>1322</v>
      </c>
      <c r="D171" s="34" t="s">
        <v>845</v>
      </c>
      <c r="E171" s="38" t="s">
        <v>1323</v>
      </c>
      <c r="F171" s="34" t="s">
        <v>140</v>
      </c>
      <c r="G171" s="34" t="s">
        <v>168</v>
      </c>
      <c r="H171" s="48">
        <v>42219.0</v>
      </c>
      <c r="I171" s="48">
        <v>42219.0</v>
      </c>
      <c r="J171" s="36"/>
      <c r="K171" s="32" t="s">
        <v>70</v>
      </c>
      <c r="L171" s="34" t="s">
        <v>115</v>
      </c>
      <c r="M171" s="32" t="s">
        <v>88</v>
      </c>
      <c r="N171" s="32" t="s">
        <v>89</v>
      </c>
      <c r="O171" s="32" t="s">
        <v>994</v>
      </c>
      <c r="P171" s="32" t="s">
        <v>2280</v>
      </c>
      <c r="Q171" s="32" t="s">
        <v>2281</v>
      </c>
      <c r="R171" s="48"/>
      <c r="S171" s="32" t="s">
        <v>196</v>
      </c>
      <c r="T171" s="45" t="s">
        <v>1324</v>
      </c>
      <c r="U171" s="45" t="s">
        <v>2282</v>
      </c>
      <c r="V171" s="34" t="s">
        <v>80</v>
      </c>
      <c r="W171" s="32" t="s">
        <v>561</v>
      </c>
      <c r="X171" s="32" t="s">
        <v>1326</v>
      </c>
      <c r="Y171" s="109" t="s">
        <v>1327</v>
      </c>
      <c r="Z171" s="32" t="s">
        <v>112</v>
      </c>
      <c r="AA171" s="32"/>
      <c r="AB171" s="32" t="s">
        <v>113</v>
      </c>
      <c r="AC171" s="60"/>
      <c r="AD171" s="192"/>
      <c r="AE171" s="53"/>
      <c r="AF171" s="180" t="s">
        <v>80</v>
      </c>
      <c r="AG171" s="56" t="s">
        <v>1329</v>
      </c>
      <c r="AH171" s="53"/>
      <c r="AI171" s="77"/>
      <c r="AJ171" s="41"/>
      <c r="AK171" s="58">
        <v>41619.0</v>
      </c>
      <c r="AL171" s="56" t="s">
        <v>1006</v>
      </c>
    </row>
    <row r="172" ht="22.5" customHeight="1">
      <c r="A172" s="27" t="s">
        <v>2283</v>
      </c>
      <c r="B172" s="63" t="s">
        <v>1293</v>
      </c>
      <c r="C172" s="32" t="s">
        <v>1308</v>
      </c>
      <c r="D172" s="34" t="s">
        <v>845</v>
      </c>
      <c r="E172" s="38" t="s">
        <v>1309</v>
      </c>
      <c r="F172" s="41" t="s">
        <v>140</v>
      </c>
      <c r="G172" s="34" t="s">
        <v>168</v>
      </c>
      <c r="H172" s="48">
        <v>42213.0</v>
      </c>
      <c r="I172" s="48">
        <v>42208.0</v>
      </c>
      <c r="J172" s="48">
        <v>42213.0</v>
      </c>
      <c r="K172" s="32" t="s">
        <v>70</v>
      </c>
      <c r="L172" s="34" t="s">
        <v>115</v>
      </c>
      <c r="M172" s="63" t="s">
        <v>218</v>
      </c>
      <c r="N172" s="32" t="s">
        <v>89</v>
      </c>
      <c r="O172" s="32" t="s">
        <v>2230</v>
      </c>
      <c r="P172" s="32"/>
      <c r="Q172" s="32" t="s">
        <v>2231</v>
      </c>
      <c r="R172" s="48">
        <v>43309.0</v>
      </c>
      <c r="S172" s="38" t="s">
        <v>1296</v>
      </c>
      <c r="T172" s="203" t="s">
        <v>1310</v>
      </c>
      <c r="U172" s="56" t="s">
        <v>2284</v>
      </c>
      <c r="V172" s="34" t="s">
        <v>74</v>
      </c>
      <c r="W172" s="32" t="s">
        <v>1301</v>
      </c>
      <c r="X172" s="60" t="s">
        <v>1302</v>
      </c>
      <c r="Y172" s="45" t="s">
        <v>1303</v>
      </c>
      <c r="Z172" s="32" t="s">
        <v>112</v>
      </c>
      <c r="AA172" s="32"/>
      <c r="AB172" s="60" t="s">
        <v>270</v>
      </c>
      <c r="AC172" s="60"/>
      <c r="AD172" s="192"/>
      <c r="AE172" s="53"/>
      <c r="AF172" s="180" t="s">
        <v>80</v>
      </c>
      <c r="AG172" s="56" t="s">
        <v>1305</v>
      </c>
      <c r="AH172" s="53"/>
      <c r="AI172" s="77"/>
      <c r="AJ172" s="41"/>
      <c r="AK172" s="58">
        <v>41611.0</v>
      </c>
      <c r="AL172" s="56" t="s">
        <v>2234</v>
      </c>
    </row>
    <row r="173" ht="22.5" customHeight="1">
      <c r="A173" s="27" t="s">
        <v>2285</v>
      </c>
      <c r="B173" s="63" t="s">
        <v>1321</v>
      </c>
      <c r="C173" s="32" t="s">
        <v>1322</v>
      </c>
      <c r="D173" s="34" t="s">
        <v>845</v>
      </c>
      <c r="E173" s="38" t="s">
        <v>1323</v>
      </c>
      <c r="F173" s="34" t="s">
        <v>140</v>
      </c>
      <c r="G173" s="34" t="s">
        <v>168</v>
      </c>
      <c r="H173" s="48">
        <v>42257.0</v>
      </c>
      <c r="I173" s="48">
        <v>42257.0</v>
      </c>
      <c r="J173" s="48"/>
      <c r="K173" s="32" t="s">
        <v>86</v>
      </c>
      <c r="L173" s="34" t="s">
        <v>115</v>
      </c>
      <c r="M173" s="32" t="s">
        <v>88</v>
      </c>
      <c r="N173" s="32" t="s">
        <v>89</v>
      </c>
      <c r="O173" s="121" t="s">
        <v>969</v>
      </c>
      <c r="P173" s="32" t="s">
        <v>2286</v>
      </c>
      <c r="Q173" s="32" t="s">
        <v>2287</v>
      </c>
      <c r="R173" s="48">
        <v>42623.0</v>
      </c>
      <c r="S173" s="32" t="s">
        <v>196</v>
      </c>
      <c r="T173" s="45" t="s">
        <v>1324</v>
      </c>
      <c r="U173" s="56" t="s">
        <v>2288</v>
      </c>
      <c r="V173" s="34" t="s">
        <v>80</v>
      </c>
      <c r="W173" s="32" t="s">
        <v>561</v>
      </c>
      <c r="X173" s="32" t="s">
        <v>1326</v>
      </c>
      <c r="Y173" s="109" t="s">
        <v>1327</v>
      </c>
      <c r="Z173" s="32" t="s">
        <v>112</v>
      </c>
      <c r="AA173" s="32"/>
      <c r="AB173" s="32" t="s">
        <v>113</v>
      </c>
      <c r="AC173" s="60"/>
      <c r="AD173" s="192"/>
      <c r="AE173" s="53"/>
      <c r="AF173" s="180" t="s">
        <v>74</v>
      </c>
      <c r="AG173" s="56" t="s">
        <v>1329</v>
      </c>
      <c r="AH173" s="53"/>
      <c r="AI173" s="77"/>
      <c r="AJ173" s="41"/>
      <c r="AK173" s="58">
        <v>41619.0</v>
      </c>
      <c r="AL173" s="56" t="s">
        <v>1043</v>
      </c>
    </row>
    <row r="174" ht="22.5" customHeight="1">
      <c r="A174" s="27" t="s">
        <v>2289</v>
      </c>
      <c r="B174" s="63" t="s">
        <v>888</v>
      </c>
      <c r="C174" s="32" t="s">
        <v>1281</v>
      </c>
      <c r="D174" s="41" t="s">
        <v>75</v>
      </c>
      <c r="E174" s="38" t="s">
        <v>1282</v>
      </c>
      <c r="F174" s="34" t="s">
        <v>140</v>
      </c>
      <c r="G174" s="34" t="s">
        <v>168</v>
      </c>
      <c r="H174" s="48">
        <v>42125.0</v>
      </c>
      <c r="I174" s="48">
        <v>42125.0</v>
      </c>
      <c r="J174" s="36"/>
      <c r="K174" s="32" t="s">
        <v>86</v>
      </c>
      <c r="L174" s="34" t="s">
        <v>115</v>
      </c>
      <c r="M174" s="32" t="s">
        <v>88</v>
      </c>
      <c r="N174" s="32" t="s">
        <v>89</v>
      </c>
      <c r="O174" s="32" t="s">
        <v>994</v>
      </c>
      <c r="P174" s="38"/>
      <c r="Q174" s="32" t="s">
        <v>2290</v>
      </c>
      <c r="R174" s="48">
        <v>43235.0</v>
      </c>
      <c r="S174" s="32" t="s">
        <v>196</v>
      </c>
      <c r="T174" s="45" t="s">
        <v>1285</v>
      </c>
      <c r="U174" s="45" t="s">
        <v>2291</v>
      </c>
      <c r="V174" s="34" t="s">
        <v>80</v>
      </c>
      <c r="W174" s="32" t="s">
        <v>561</v>
      </c>
      <c r="X174" s="60" t="s">
        <v>1287</v>
      </c>
      <c r="Y174" s="45" t="s">
        <v>1288</v>
      </c>
      <c r="Z174" s="32" t="s">
        <v>112</v>
      </c>
      <c r="AA174" s="32"/>
      <c r="AB174" s="32" t="s">
        <v>113</v>
      </c>
      <c r="AC174" s="60"/>
      <c r="AD174" s="192"/>
      <c r="AE174" s="53"/>
      <c r="AF174" s="180" t="s">
        <v>74</v>
      </c>
      <c r="AG174" s="56" t="s">
        <v>900</v>
      </c>
      <c r="AH174" s="53"/>
      <c r="AI174" s="77"/>
      <c r="AJ174" s="41"/>
      <c r="AK174" s="155">
        <v>41770.0</v>
      </c>
      <c r="AL174" s="56" t="s">
        <v>1006</v>
      </c>
    </row>
    <row r="175" ht="22.5" customHeight="1">
      <c r="A175" s="27" t="s">
        <v>2292</v>
      </c>
      <c r="B175" s="63" t="s">
        <v>1321</v>
      </c>
      <c r="C175" s="32" t="s">
        <v>1322</v>
      </c>
      <c r="D175" s="34" t="s">
        <v>845</v>
      </c>
      <c r="E175" s="38" t="s">
        <v>1323</v>
      </c>
      <c r="F175" s="41" t="s">
        <v>140</v>
      </c>
      <c r="G175" s="34" t="s">
        <v>168</v>
      </c>
      <c r="H175" s="48">
        <v>42034.0</v>
      </c>
      <c r="I175" s="36"/>
      <c r="J175" s="48">
        <v>42034.0</v>
      </c>
      <c r="K175" s="32" t="s">
        <v>86</v>
      </c>
      <c r="L175" s="41" t="s">
        <v>115</v>
      </c>
      <c r="M175" s="42" t="s">
        <v>88</v>
      </c>
      <c r="N175" s="32" t="s">
        <v>89</v>
      </c>
      <c r="O175" s="32" t="s">
        <v>1610</v>
      </c>
      <c r="P175" s="38"/>
      <c r="Q175" s="32" t="s">
        <v>2293</v>
      </c>
      <c r="R175" s="48">
        <v>43080.0</v>
      </c>
      <c r="S175" s="32" t="s">
        <v>196</v>
      </c>
      <c r="T175" s="45" t="s">
        <v>1324</v>
      </c>
      <c r="U175" s="45" t="s">
        <v>2294</v>
      </c>
      <c r="V175" s="34" t="s">
        <v>80</v>
      </c>
      <c r="W175" s="32" t="s">
        <v>561</v>
      </c>
      <c r="X175" s="32" t="s">
        <v>1326</v>
      </c>
      <c r="Y175" s="109" t="s">
        <v>1327</v>
      </c>
      <c r="Z175" s="32" t="s">
        <v>112</v>
      </c>
      <c r="AA175" s="32"/>
      <c r="AB175" s="32" t="s">
        <v>113</v>
      </c>
      <c r="AC175" s="60"/>
      <c r="AD175" s="192"/>
      <c r="AE175" s="53"/>
      <c r="AF175" s="34" t="s">
        <v>80</v>
      </c>
      <c r="AG175" s="56" t="s">
        <v>1329</v>
      </c>
      <c r="AH175" s="41"/>
      <c r="AI175" s="41"/>
      <c r="AJ175" s="41"/>
      <c r="AK175" s="58">
        <v>41619.0</v>
      </c>
      <c r="AL175" s="56" t="s">
        <v>1745</v>
      </c>
    </row>
    <row r="176" ht="22.5" customHeight="1">
      <c r="A176" s="27" t="s">
        <v>2295</v>
      </c>
      <c r="B176" s="63" t="s">
        <v>843</v>
      </c>
      <c r="C176" s="32" t="s">
        <v>844</v>
      </c>
      <c r="D176" s="34" t="s">
        <v>845</v>
      </c>
      <c r="E176" s="38" t="s">
        <v>846</v>
      </c>
      <c r="F176" s="34" t="s">
        <v>140</v>
      </c>
      <c r="G176" s="34" t="s">
        <v>168</v>
      </c>
      <c r="H176" s="48">
        <v>42024.0</v>
      </c>
      <c r="I176" s="48">
        <v>42024.0</v>
      </c>
      <c r="J176" s="48"/>
      <c r="K176" s="32" t="s">
        <v>86</v>
      </c>
      <c r="L176" s="41" t="s">
        <v>115</v>
      </c>
      <c r="M176" s="42" t="s">
        <v>88</v>
      </c>
      <c r="N176" s="38" t="s">
        <v>89</v>
      </c>
      <c r="O176" s="32" t="s">
        <v>1012</v>
      </c>
      <c r="P176" s="38"/>
      <c r="Q176" s="32" t="s">
        <v>2296</v>
      </c>
      <c r="R176" s="48">
        <v>43120.0</v>
      </c>
      <c r="S176" s="32" t="s">
        <v>220</v>
      </c>
      <c r="T176" s="45" t="s">
        <v>855</v>
      </c>
      <c r="U176" s="45" t="s">
        <v>2297</v>
      </c>
      <c r="V176" s="34" t="s">
        <v>80</v>
      </c>
      <c r="W176" s="32" t="s">
        <v>561</v>
      </c>
      <c r="X176" s="32" t="s">
        <v>561</v>
      </c>
      <c r="Y176" s="45" t="s">
        <v>859</v>
      </c>
      <c r="Z176" s="32" t="s">
        <v>112</v>
      </c>
      <c r="AA176" s="149"/>
      <c r="AB176" s="60" t="s">
        <v>860</v>
      </c>
      <c r="AC176" s="60"/>
      <c r="AD176" s="192"/>
      <c r="AE176" s="53"/>
      <c r="AF176" s="34" t="s">
        <v>74</v>
      </c>
      <c r="AG176" s="56" t="s">
        <v>865</v>
      </c>
      <c r="AH176" s="41"/>
      <c r="AI176" s="41"/>
      <c r="AJ176" s="58">
        <v>41779.0</v>
      </c>
      <c r="AK176" s="58">
        <v>41612.0</v>
      </c>
      <c r="AL176" s="56" t="s">
        <v>1021</v>
      </c>
    </row>
    <row r="177" ht="22.5" customHeight="1">
      <c r="A177" s="27" t="s">
        <v>2298</v>
      </c>
      <c r="B177" s="63" t="s">
        <v>2299</v>
      </c>
      <c r="C177" s="32" t="s">
        <v>2300</v>
      </c>
      <c r="D177" s="34" t="s">
        <v>75</v>
      </c>
      <c r="E177" s="32" t="s">
        <v>2301</v>
      </c>
      <c r="F177" s="34" t="s">
        <v>140</v>
      </c>
      <c r="G177" s="34" t="s">
        <v>85</v>
      </c>
      <c r="H177" s="48">
        <v>42277.0</v>
      </c>
      <c r="I177" s="48">
        <v>41991.0</v>
      </c>
      <c r="J177" s="48">
        <v>42277.0</v>
      </c>
      <c r="K177" s="32" t="s">
        <v>70</v>
      </c>
      <c r="L177" s="34" t="s">
        <v>115</v>
      </c>
      <c r="M177" s="63" t="s">
        <v>218</v>
      </c>
      <c r="N177" s="32" t="s">
        <v>89</v>
      </c>
      <c r="O177" s="32" t="s">
        <v>327</v>
      </c>
      <c r="P177" s="32" t="s">
        <v>328</v>
      </c>
      <c r="Q177" s="32" t="s">
        <v>2302</v>
      </c>
      <c r="R177" s="48">
        <v>43373.0</v>
      </c>
      <c r="S177" s="32" t="s">
        <v>327</v>
      </c>
      <c r="T177" s="45" t="s">
        <v>2303</v>
      </c>
      <c r="U177" s="45" t="s">
        <v>2304</v>
      </c>
      <c r="V177" s="34" t="s">
        <v>80</v>
      </c>
      <c r="W177" s="172" t="s">
        <v>2305</v>
      </c>
      <c r="X177" s="172" t="s">
        <v>2306</v>
      </c>
      <c r="Y177" s="45" t="s">
        <v>2307</v>
      </c>
      <c r="Z177" s="32" t="s">
        <v>112</v>
      </c>
      <c r="AA177" s="149"/>
      <c r="AB177" s="60" t="s">
        <v>389</v>
      </c>
      <c r="AC177" s="60" t="s">
        <v>2308</v>
      </c>
      <c r="AD177" s="192">
        <v>42697.0</v>
      </c>
      <c r="AE177" s="53"/>
      <c r="AF177" s="34" t="s">
        <v>80</v>
      </c>
      <c r="AG177" s="56" t="s">
        <v>2309</v>
      </c>
      <c r="AH177" s="41"/>
      <c r="AI177" s="41"/>
      <c r="AJ177" s="41"/>
      <c r="AK177" s="58">
        <v>42342.0</v>
      </c>
      <c r="AL177" s="56" t="s">
        <v>375</v>
      </c>
    </row>
    <row r="178" ht="22.5" customHeight="1">
      <c r="A178" s="27" t="s">
        <v>2310</v>
      </c>
      <c r="B178" s="63" t="s">
        <v>888</v>
      </c>
      <c r="C178" s="32" t="s">
        <v>1281</v>
      </c>
      <c r="D178" s="41" t="s">
        <v>75</v>
      </c>
      <c r="E178" s="38" t="s">
        <v>1282</v>
      </c>
      <c r="F178" s="34" t="s">
        <v>140</v>
      </c>
      <c r="G178" s="34" t="s">
        <v>168</v>
      </c>
      <c r="H178" s="48">
        <v>41992.0</v>
      </c>
      <c r="I178" s="48">
        <v>41992.0</v>
      </c>
      <c r="J178" s="48">
        <v>41992.0</v>
      </c>
      <c r="K178" s="32" t="s">
        <v>86</v>
      </c>
      <c r="L178" s="34" t="s">
        <v>115</v>
      </c>
      <c r="M178" s="32" t="s">
        <v>88</v>
      </c>
      <c r="N178" s="32" t="s">
        <v>89</v>
      </c>
      <c r="O178" s="32" t="s">
        <v>1195</v>
      </c>
      <c r="P178" s="38"/>
      <c r="Q178" s="32" t="s">
        <v>2311</v>
      </c>
      <c r="R178" s="48">
        <v>43088.0</v>
      </c>
      <c r="S178" s="32" t="s">
        <v>196</v>
      </c>
      <c r="T178" s="45" t="s">
        <v>1285</v>
      </c>
      <c r="U178" s="45" t="s">
        <v>2312</v>
      </c>
      <c r="V178" s="34" t="s">
        <v>80</v>
      </c>
      <c r="W178" s="32" t="s">
        <v>561</v>
      </c>
      <c r="X178" s="60" t="s">
        <v>1287</v>
      </c>
      <c r="Y178" s="45" t="s">
        <v>1288</v>
      </c>
      <c r="Z178" s="32" t="s">
        <v>112</v>
      </c>
      <c r="AA178" s="32"/>
      <c r="AB178" s="32" t="s">
        <v>113</v>
      </c>
      <c r="AC178" s="60"/>
      <c r="AD178" s="192"/>
      <c r="AE178" s="53"/>
      <c r="AF178" s="180" t="s">
        <v>74</v>
      </c>
      <c r="AG178" s="56" t="s">
        <v>900</v>
      </c>
      <c r="AH178" s="53"/>
      <c r="AI178" s="77"/>
      <c r="AJ178" s="77"/>
      <c r="AK178" s="155">
        <v>41770.0</v>
      </c>
      <c r="AL178" s="56" t="s">
        <v>1215</v>
      </c>
    </row>
    <row r="179" ht="22.5" customHeight="1">
      <c r="A179" s="27" t="s">
        <v>2313</v>
      </c>
      <c r="B179" s="63" t="s">
        <v>1251</v>
      </c>
      <c r="C179" s="149" t="s">
        <v>1832</v>
      </c>
      <c r="D179" s="41" t="s">
        <v>75</v>
      </c>
      <c r="E179" s="103" t="s">
        <v>1833</v>
      </c>
      <c r="F179" s="41" t="s">
        <v>93</v>
      </c>
      <c r="G179" s="34" t="s">
        <v>168</v>
      </c>
      <c r="H179" s="48">
        <v>41992.0</v>
      </c>
      <c r="I179" s="48">
        <v>41992.0</v>
      </c>
      <c r="J179" s="48">
        <v>41992.0</v>
      </c>
      <c r="K179" s="32" t="s">
        <v>86</v>
      </c>
      <c r="L179" s="41" t="s">
        <v>115</v>
      </c>
      <c r="M179" s="103" t="s">
        <v>88</v>
      </c>
      <c r="N179" s="32" t="s">
        <v>89</v>
      </c>
      <c r="O179" s="32" t="s">
        <v>1195</v>
      </c>
      <c r="P179" s="38"/>
      <c r="Q179" s="32" t="s">
        <v>2311</v>
      </c>
      <c r="R179" s="48">
        <v>43088.0</v>
      </c>
      <c r="S179" s="32" t="s">
        <v>116</v>
      </c>
      <c r="T179" s="45" t="s">
        <v>1835</v>
      </c>
      <c r="U179" s="45" t="s">
        <v>2314</v>
      </c>
      <c r="V179" s="34" t="s">
        <v>80</v>
      </c>
      <c r="W179" s="60" t="s">
        <v>1838</v>
      </c>
      <c r="X179" s="60" t="s">
        <v>1839</v>
      </c>
      <c r="Y179" s="109" t="s">
        <v>1841</v>
      </c>
      <c r="Z179" s="32" t="s">
        <v>112</v>
      </c>
      <c r="AA179" s="32"/>
      <c r="AB179" s="123" t="s">
        <v>113</v>
      </c>
      <c r="AC179" s="60"/>
      <c r="AD179" s="192"/>
      <c r="AE179" s="53"/>
      <c r="AF179" s="34" t="s">
        <v>80</v>
      </c>
      <c r="AG179" s="56" t="s">
        <v>1845</v>
      </c>
      <c r="AH179" s="53"/>
      <c r="AI179" s="77"/>
      <c r="AJ179" s="77"/>
      <c r="AK179" s="58">
        <v>41340.0</v>
      </c>
      <c r="AL179" s="56" t="s">
        <v>1215</v>
      </c>
    </row>
    <row r="180" ht="22.5" customHeight="1">
      <c r="A180" s="27" t="s">
        <v>2315</v>
      </c>
      <c r="B180" s="63" t="s">
        <v>1321</v>
      </c>
      <c r="C180" s="149" t="s">
        <v>1322</v>
      </c>
      <c r="D180" s="34" t="s">
        <v>845</v>
      </c>
      <c r="E180" s="38" t="s">
        <v>1323</v>
      </c>
      <c r="F180" s="41" t="s">
        <v>140</v>
      </c>
      <c r="G180" s="34" t="s">
        <v>168</v>
      </c>
      <c r="H180" s="48">
        <v>42025.0</v>
      </c>
      <c r="I180" s="48">
        <v>42019.0</v>
      </c>
      <c r="J180" s="48">
        <v>42025.0</v>
      </c>
      <c r="K180" s="32" t="s">
        <v>86</v>
      </c>
      <c r="L180" s="41" t="s">
        <v>115</v>
      </c>
      <c r="M180" s="42" t="s">
        <v>88</v>
      </c>
      <c r="N180" s="32" t="s">
        <v>89</v>
      </c>
      <c r="O180" s="32" t="s">
        <v>1798</v>
      </c>
      <c r="P180" s="38"/>
      <c r="Q180" s="32" t="s">
        <v>1799</v>
      </c>
      <c r="R180" s="48">
        <v>42200.0</v>
      </c>
      <c r="S180" s="32" t="s">
        <v>196</v>
      </c>
      <c r="T180" s="45" t="s">
        <v>1324</v>
      </c>
      <c r="U180" s="45" t="s">
        <v>2316</v>
      </c>
      <c r="V180" s="34" t="s">
        <v>80</v>
      </c>
      <c r="W180" s="32" t="s">
        <v>561</v>
      </c>
      <c r="X180" s="32" t="s">
        <v>1326</v>
      </c>
      <c r="Y180" s="109" t="s">
        <v>1327</v>
      </c>
      <c r="Z180" s="32" t="s">
        <v>112</v>
      </c>
      <c r="AA180" s="32"/>
      <c r="AB180" s="32" t="s">
        <v>113</v>
      </c>
      <c r="AC180" s="60"/>
      <c r="AD180" s="192"/>
      <c r="AE180" s="53"/>
      <c r="AF180" s="34" t="s">
        <v>74</v>
      </c>
      <c r="AG180" s="56" t="s">
        <v>1329</v>
      </c>
      <c r="AH180" s="41"/>
      <c r="AI180" s="41"/>
      <c r="AJ180" s="41"/>
      <c r="AK180" s="58">
        <v>41619.0</v>
      </c>
      <c r="AL180" s="56" t="s">
        <v>1813</v>
      </c>
    </row>
    <row r="181" ht="22.5" customHeight="1">
      <c r="A181" s="27" t="s">
        <v>2317</v>
      </c>
      <c r="B181" s="63" t="s">
        <v>355</v>
      </c>
      <c r="C181" s="32" t="s">
        <v>1345</v>
      </c>
      <c r="D181" s="34" t="s">
        <v>75</v>
      </c>
      <c r="E181" s="149" t="s">
        <v>1346</v>
      </c>
      <c r="F181" s="34" t="s">
        <v>140</v>
      </c>
      <c r="G181" s="34" t="s">
        <v>168</v>
      </c>
      <c r="H181" s="48">
        <v>41943.0</v>
      </c>
      <c r="I181" s="48">
        <v>41943.0</v>
      </c>
      <c r="J181" s="48"/>
      <c r="K181" s="32" t="s">
        <v>70</v>
      </c>
      <c r="L181" s="34" t="s">
        <v>115</v>
      </c>
      <c r="M181" s="63" t="s">
        <v>313</v>
      </c>
      <c r="N181" s="32" t="s">
        <v>89</v>
      </c>
      <c r="O181" s="38" t="s">
        <v>220</v>
      </c>
      <c r="P181" s="38"/>
      <c r="Q181" s="32" t="s">
        <v>1478</v>
      </c>
      <c r="R181" s="48"/>
      <c r="S181" s="32" t="s">
        <v>402</v>
      </c>
      <c r="T181" s="56" t="s">
        <v>1349</v>
      </c>
      <c r="U181" s="45" t="s">
        <v>2318</v>
      </c>
      <c r="V181" s="34" t="s">
        <v>80</v>
      </c>
      <c r="W181" s="32" t="s">
        <v>1351</v>
      </c>
      <c r="X181" s="149" t="s">
        <v>1352</v>
      </c>
      <c r="Y181" s="152" t="s">
        <v>1353</v>
      </c>
      <c r="Z181" s="32" t="s">
        <v>112</v>
      </c>
      <c r="AA181" s="32"/>
      <c r="AB181" s="32" t="s">
        <v>113</v>
      </c>
      <c r="AC181" s="68"/>
      <c r="AD181" s="192"/>
      <c r="AE181" s="53"/>
      <c r="AF181" s="34" t="s">
        <v>80</v>
      </c>
      <c r="AG181" s="56" t="s">
        <v>1355</v>
      </c>
      <c r="AH181" s="41"/>
      <c r="AI181" s="41"/>
      <c r="AJ181" s="41"/>
      <c r="AK181" s="58">
        <v>41770.0</v>
      </c>
      <c r="AL181" s="56" t="s">
        <v>232</v>
      </c>
    </row>
    <row r="182" ht="22.5" customHeight="1">
      <c r="A182" s="27" t="s">
        <v>2319</v>
      </c>
      <c r="B182" s="63" t="s">
        <v>1251</v>
      </c>
      <c r="C182" s="149" t="s">
        <v>1832</v>
      </c>
      <c r="D182" s="41" t="s">
        <v>75</v>
      </c>
      <c r="E182" s="103" t="s">
        <v>1833</v>
      </c>
      <c r="F182" s="41" t="s">
        <v>93</v>
      </c>
      <c r="G182" s="34" t="s">
        <v>168</v>
      </c>
      <c r="H182" s="48">
        <v>42251.0</v>
      </c>
      <c r="I182" s="48">
        <v>42251.0</v>
      </c>
      <c r="J182" s="48"/>
      <c r="K182" s="32" t="s">
        <v>70</v>
      </c>
      <c r="L182" s="41" t="s">
        <v>115</v>
      </c>
      <c r="M182" s="103" t="s">
        <v>88</v>
      </c>
      <c r="N182" s="32" t="s">
        <v>89</v>
      </c>
      <c r="O182" s="38" t="s">
        <v>220</v>
      </c>
      <c r="P182" s="38"/>
      <c r="Q182" s="32" t="s">
        <v>1478</v>
      </c>
      <c r="R182" s="48">
        <v>43347.0</v>
      </c>
      <c r="S182" s="32" t="s">
        <v>116</v>
      </c>
      <c r="T182" s="45" t="s">
        <v>1835</v>
      </c>
      <c r="U182" s="45" t="s">
        <v>2320</v>
      </c>
      <c r="V182" s="34" t="s">
        <v>80</v>
      </c>
      <c r="W182" s="60" t="s">
        <v>1838</v>
      </c>
      <c r="X182" s="60" t="s">
        <v>1839</v>
      </c>
      <c r="Y182" s="109" t="s">
        <v>1841</v>
      </c>
      <c r="Z182" s="32" t="s">
        <v>112</v>
      </c>
      <c r="AA182" s="32"/>
      <c r="AB182" s="123" t="s">
        <v>113</v>
      </c>
      <c r="AC182" s="60"/>
      <c r="AD182" s="192"/>
      <c r="AE182" s="53"/>
      <c r="AF182" s="34" t="s">
        <v>80</v>
      </c>
      <c r="AG182" s="56" t="s">
        <v>1845</v>
      </c>
      <c r="AH182" s="41"/>
      <c r="AI182" s="41"/>
      <c r="AJ182" s="41"/>
      <c r="AK182" s="58">
        <v>41340.0</v>
      </c>
      <c r="AL182" s="56" t="s">
        <v>232</v>
      </c>
    </row>
    <row r="183" ht="22.5" customHeight="1">
      <c r="A183" s="27" t="s">
        <v>2321</v>
      </c>
      <c r="B183" s="63" t="s">
        <v>888</v>
      </c>
      <c r="C183" s="32" t="s">
        <v>889</v>
      </c>
      <c r="D183" s="34" t="s">
        <v>752</v>
      </c>
      <c r="E183" s="38" t="s">
        <v>892</v>
      </c>
      <c r="F183" s="34" t="s">
        <v>93</v>
      </c>
      <c r="G183" s="34" t="s">
        <v>168</v>
      </c>
      <c r="H183" s="48">
        <v>42220.0</v>
      </c>
      <c r="I183" s="48">
        <v>42220.0</v>
      </c>
      <c r="J183" s="48"/>
      <c r="K183" s="32" t="s">
        <v>70</v>
      </c>
      <c r="L183" s="34" t="s">
        <v>115</v>
      </c>
      <c r="M183" s="32" t="s">
        <v>88</v>
      </c>
      <c r="N183" s="32" t="s">
        <v>89</v>
      </c>
      <c r="O183" s="32" t="s">
        <v>1012</v>
      </c>
      <c r="P183" s="38"/>
      <c r="Q183" s="32" t="s">
        <v>1958</v>
      </c>
      <c r="R183" s="48">
        <v>43316.0</v>
      </c>
      <c r="S183" s="32" t="s">
        <v>116</v>
      </c>
      <c r="T183" s="56" t="s">
        <v>1950</v>
      </c>
      <c r="U183" s="45" t="s">
        <v>2322</v>
      </c>
      <c r="V183" s="34" t="s">
        <v>80</v>
      </c>
      <c r="W183" s="60" t="s">
        <v>1934</v>
      </c>
      <c r="X183" s="109" t="s">
        <v>1935</v>
      </c>
      <c r="Y183" s="109" t="s">
        <v>899</v>
      </c>
      <c r="Z183" s="32" t="s">
        <v>112</v>
      </c>
      <c r="AA183" s="32"/>
      <c r="AB183" s="149" t="s">
        <v>481</v>
      </c>
      <c r="AC183" s="68"/>
      <c r="AD183" s="192"/>
      <c r="AE183" s="53"/>
      <c r="AF183" s="34" t="s">
        <v>80</v>
      </c>
      <c r="AG183" s="56" t="s">
        <v>900</v>
      </c>
      <c r="AH183" s="41"/>
      <c r="AI183" s="41"/>
      <c r="AJ183" s="41"/>
      <c r="AK183" s="41"/>
      <c r="AL183" s="56" t="s">
        <v>1021</v>
      </c>
    </row>
    <row r="184" ht="22.5" customHeight="1">
      <c r="A184" s="27" t="s">
        <v>2323</v>
      </c>
      <c r="B184" s="57" t="s">
        <v>69</v>
      </c>
      <c r="C184" s="57" t="s">
        <v>90</v>
      </c>
      <c r="D184" s="39" t="s">
        <v>91</v>
      </c>
      <c r="E184" s="38" t="s">
        <v>92</v>
      </c>
      <c r="F184" s="54" t="s">
        <v>93</v>
      </c>
      <c r="G184" s="34" t="s">
        <v>168</v>
      </c>
      <c r="H184" s="155">
        <v>42202.0</v>
      </c>
      <c r="I184" s="155">
        <v>42202.0</v>
      </c>
      <c r="J184" s="47"/>
      <c r="K184" s="32" t="s">
        <v>70</v>
      </c>
      <c r="L184" s="34" t="s">
        <v>115</v>
      </c>
      <c r="M184" s="121" t="s">
        <v>88</v>
      </c>
      <c r="N184" s="32" t="s">
        <v>89</v>
      </c>
      <c r="O184" s="57" t="s">
        <v>402</v>
      </c>
      <c r="P184" s="57"/>
      <c r="Q184" s="57" t="s">
        <v>2324</v>
      </c>
      <c r="R184" s="65"/>
      <c r="S184" s="32" t="s">
        <v>116</v>
      </c>
      <c r="T184" s="56" t="s">
        <v>118</v>
      </c>
      <c r="U184" s="45" t="s">
        <v>2325</v>
      </c>
      <c r="V184" s="54" t="s">
        <v>80</v>
      </c>
      <c r="W184" s="60" t="s">
        <v>122</v>
      </c>
      <c r="X184" s="60" t="s">
        <v>130</v>
      </c>
      <c r="Y184" s="45" t="s">
        <v>131</v>
      </c>
      <c r="Z184" s="32" t="s">
        <v>112</v>
      </c>
      <c r="AA184" s="47"/>
      <c r="AB184" s="60" t="s">
        <v>113</v>
      </c>
      <c r="AC184" s="60"/>
      <c r="AD184" s="261"/>
      <c r="AE184" s="47"/>
      <c r="AF184" s="54" t="s">
        <v>80</v>
      </c>
      <c r="AG184" s="56" t="s">
        <v>159</v>
      </c>
      <c r="AH184" s="47"/>
      <c r="AI184" s="58"/>
      <c r="AJ184" s="77"/>
      <c r="AK184" s="58">
        <v>41100.0</v>
      </c>
      <c r="AL184" s="56" t="s">
        <v>1033</v>
      </c>
    </row>
    <row r="185" ht="22.5" customHeight="1">
      <c r="A185" s="27" t="s">
        <v>2326</v>
      </c>
      <c r="B185" s="57" t="s">
        <v>190</v>
      </c>
      <c r="C185" s="32" t="s">
        <v>191</v>
      </c>
      <c r="D185" s="34" t="s">
        <v>752</v>
      </c>
      <c r="E185" s="38" t="s">
        <v>193</v>
      </c>
      <c r="F185" s="54" t="s">
        <v>93</v>
      </c>
      <c r="G185" s="34" t="s">
        <v>168</v>
      </c>
      <c r="H185" s="155">
        <v>42202.0</v>
      </c>
      <c r="I185" s="155">
        <v>42202.0</v>
      </c>
      <c r="J185" s="47"/>
      <c r="K185" s="32" t="s">
        <v>70</v>
      </c>
      <c r="L185" s="34" t="s">
        <v>115</v>
      </c>
      <c r="M185" s="63" t="s">
        <v>88</v>
      </c>
      <c r="N185" s="32" t="s">
        <v>89</v>
      </c>
      <c r="O185" s="57" t="s">
        <v>402</v>
      </c>
      <c r="P185" s="57"/>
      <c r="Q185" s="57" t="s">
        <v>2324</v>
      </c>
      <c r="R185" s="65"/>
      <c r="S185" s="57" t="s">
        <v>116</v>
      </c>
      <c r="T185" s="56" t="s">
        <v>198</v>
      </c>
      <c r="U185" s="45" t="s">
        <v>2327</v>
      </c>
      <c r="V185" s="34" t="s">
        <v>80</v>
      </c>
      <c r="W185" s="32" t="s">
        <v>201</v>
      </c>
      <c r="X185" s="32" t="s">
        <v>202</v>
      </c>
      <c r="Y185" s="45" t="s">
        <v>203</v>
      </c>
      <c r="Z185" s="32" t="s">
        <v>112</v>
      </c>
      <c r="AA185" s="47"/>
      <c r="AB185" s="32" t="s">
        <v>113</v>
      </c>
      <c r="AC185" s="60"/>
      <c r="AD185" s="261"/>
      <c r="AE185" s="47"/>
      <c r="AF185" s="34" t="s">
        <v>80</v>
      </c>
      <c r="AG185" s="56" t="s">
        <v>206</v>
      </c>
      <c r="AH185" s="47"/>
      <c r="AI185" s="58"/>
      <c r="AJ185" s="77"/>
      <c r="AK185" s="58">
        <v>41215.0</v>
      </c>
      <c r="AL185" s="56" t="s">
        <v>1033</v>
      </c>
    </row>
    <row r="186" ht="22.5" customHeight="1">
      <c r="A186" s="27" t="s">
        <v>2328</v>
      </c>
      <c r="B186" s="57" t="s">
        <v>490</v>
      </c>
      <c r="C186" s="57" t="s">
        <v>494</v>
      </c>
      <c r="D186" s="39" t="s">
        <v>91</v>
      </c>
      <c r="E186" s="38" t="s">
        <v>496</v>
      </c>
      <c r="F186" s="54" t="s">
        <v>93</v>
      </c>
      <c r="G186" s="34" t="s">
        <v>168</v>
      </c>
      <c r="H186" s="155">
        <v>42202.0</v>
      </c>
      <c r="I186" s="155">
        <v>42202.0</v>
      </c>
      <c r="J186" s="47"/>
      <c r="K186" s="32" t="s">
        <v>70</v>
      </c>
      <c r="L186" s="34" t="s">
        <v>115</v>
      </c>
      <c r="M186" s="63" t="s">
        <v>218</v>
      </c>
      <c r="N186" s="32" t="s">
        <v>89</v>
      </c>
      <c r="O186" s="57" t="s">
        <v>402</v>
      </c>
      <c r="P186" s="57"/>
      <c r="Q186" s="57" t="s">
        <v>2324</v>
      </c>
      <c r="R186" s="65"/>
      <c r="S186" s="32" t="s">
        <v>116</v>
      </c>
      <c r="T186" s="226" t="s">
        <v>505</v>
      </c>
      <c r="U186" s="45" t="s">
        <v>2329</v>
      </c>
      <c r="V186" s="54" t="s">
        <v>80</v>
      </c>
      <c r="W186" s="123" t="s">
        <v>508</v>
      </c>
      <c r="X186" s="32" t="s">
        <v>511</v>
      </c>
      <c r="Y186" s="226" t="s">
        <v>512</v>
      </c>
      <c r="Z186" s="32" t="s">
        <v>112</v>
      </c>
      <c r="AA186" s="47"/>
      <c r="AB186" s="149" t="s">
        <v>481</v>
      </c>
      <c r="AC186" s="68"/>
      <c r="AD186" s="261"/>
      <c r="AE186" s="47"/>
      <c r="AF186" s="54" t="s">
        <v>80</v>
      </c>
      <c r="AG186" s="56" t="s">
        <v>515</v>
      </c>
      <c r="AH186" s="47"/>
      <c r="AI186" s="58"/>
      <c r="AJ186" s="77"/>
      <c r="AK186" s="132">
        <v>41074.0</v>
      </c>
      <c r="AL186" s="56" t="s">
        <v>1033</v>
      </c>
    </row>
    <row r="187" ht="22.5" customHeight="1">
      <c r="A187" s="27" t="s">
        <v>2330</v>
      </c>
      <c r="B187" s="57" t="s">
        <v>1251</v>
      </c>
      <c r="C187" s="57" t="s">
        <v>1252</v>
      </c>
      <c r="D187" s="41" t="s">
        <v>91</v>
      </c>
      <c r="E187" s="38" t="s">
        <v>1253</v>
      </c>
      <c r="F187" s="34" t="s">
        <v>93</v>
      </c>
      <c r="G187" s="34" t="s">
        <v>168</v>
      </c>
      <c r="H187" s="155">
        <v>42202.0</v>
      </c>
      <c r="I187" s="155">
        <v>42202.0</v>
      </c>
      <c r="J187" s="47"/>
      <c r="K187" s="32" t="s">
        <v>70</v>
      </c>
      <c r="L187" s="34" t="s">
        <v>115</v>
      </c>
      <c r="M187" s="63" t="s">
        <v>218</v>
      </c>
      <c r="N187" s="32" t="s">
        <v>89</v>
      </c>
      <c r="O187" s="57" t="s">
        <v>402</v>
      </c>
      <c r="P187" s="57"/>
      <c r="Q187" s="57" t="s">
        <v>2324</v>
      </c>
      <c r="R187" s="65"/>
      <c r="S187" s="32" t="s">
        <v>116</v>
      </c>
      <c r="T187" s="45" t="s">
        <v>1256</v>
      </c>
      <c r="U187" s="45" t="s">
        <v>2331</v>
      </c>
      <c r="V187" s="54" t="s">
        <v>80</v>
      </c>
      <c r="W187" s="60" t="s">
        <v>1261</v>
      </c>
      <c r="X187" s="32" t="s">
        <v>1262</v>
      </c>
      <c r="Y187" s="109" t="s">
        <v>1263</v>
      </c>
      <c r="Z187" s="32" t="s">
        <v>112</v>
      </c>
      <c r="AA187" s="47"/>
      <c r="AB187" s="32" t="s">
        <v>113</v>
      </c>
      <c r="AC187" s="60"/>
      <c r="AD187" s="261"/>
      <c r="AE187" s="47"/>
      <c r="AF187" s="54" t="s">
        <v>80</v>
      </c>
      <c r="AG187" s="56" t="s">
        <v>1269</v>
      </c>
      <c r="AH187" s="47"/>
      <c r="AI187" s="58"/>
      <c r="AJ187" s="77"/>
      <c r="AK187" s="58">
        <v>41162.0</v>
      </c>
      <c r="AL187" s="56" t="s">
        <v>1033</v>
      </c>
    </row>
    <row r="188" ht="22.5" customHeight="1">
      <c r="A188" s="27" t="s">
        <v>2332</v>
      </c>
      <c r="B188" s="57" t="s">
        <v>1321</v>
      </c>
      <c r="C188" s="57" t="s">
        <v>1322</v>
      </c>
      <c r="D188" s="34" t="s">
        <v>845</v>
      </c>
      <c r="E188" s="38" t="s">
        <v>1323</v>
      </c>
      <c r="F188" s="54" t="s">
        <v>140</v>
      </c>
      <c r="G188" s="34" t="s">
        <v>168</v>
      </c>
      <c r="H188" s="155">
        <v>42202.0</v>
      </c>
      <c r="I188" s="155">
        <v>42202.0</v>
      </c>
      <c r="J188" s="47"/>
      <c r="K188" s="32" t="s">
        <v>70</v>
      </c>
      <c r="L188" s="34" t="s">
        <v>115</v>
      </c>
      <c r="M188" s="42" t="s">
        <v>88</v>
      </c>
      <c r="N188" s="32" t="s">
        <v>89</v>
      </c>
      <c r="O188" s="57" t="s">
        <v>402</v>
      </c>
      <c r="P188" s="57"/>
      <c r="Q188" s="57" t="s">
        <v>2324</v>
      </c>
      <c r="R188" s="65"/>
      <c r="S188" s="32" t="s">
        <v>196</v>
      </c>
      <c r="T188" s="45" t="s">
        <v>1324</v>
      </c>
      <c r="U188" s="45" t="s">
        <v>2333</v>
      </c>
      <c r="V188" s="54" t="s">
        <v>80</v>
      </c>
      <c r="W188" s="32" t="s">
        <v>561</v>
      </c>
      <c r="X188" s="32" t="s">
        <v>1326</v>
      </c>
      <c r="Y188" s="109" t="s">
        <v>1327</v>
      </c>
      <c r="Z188" s="32" t="s">
        <v>112</v>
      </c>
      <c r="AA188" s="47"/>
      <c r="AB188" s="32" t="s">
        <v>113</v>
      </c>
      <c r="AC188" s="60"/>
      <c r="AD188" s="261"/>
      <c r="AE188" s="47"/>
      <c r="AF188" s="54" t="s">
        <v>80</v>
      </c>
      <c r="AG188" s="56" t="s">
        <v>1329</v>
      </c>
      <c r="AH188" s="47"/>
      <c r="AI188" s="58"/>
      <c r="AJ188" s="77"/>
      <c r="AK188" s="58">
        <v>41619.0</v>
      </c>
      <c r="AL188" s="56" t="s">
        <v>1033</v>
      </c>
    </row>
    <row r="189" ht="22.5" customHeight="1">
      <c r="A189" s="27" t="s">
        <v>2334</v>
      </c>
      <c r="B189" s="57" t="s">
        <v>932</v>
      </c>
      <c r="C189" s="32" t="s">
        <v>933</v>
      </c>
      <c r="D189" s="34" t="s">
        <v>752</v>
      </c>
      <c r="E189" s="38" t="s">
        <v>935</v>
      </c>
      <c r="F189" s="34" t="s">
        <v>140</v>
      </c>
      <c r="G189" s="34" t="s">
        <v>168</v>
      </c>
      <c r="H189" s="155">
        <v>42202.0</v>
      </c>
      <c r="I189" s="155">
        <v>42202.0</v>
      </c>
      <c r="J189" s="47"/>
      <c r="K189" s="32" t="s">
        <v>70</v>
      </c>
      <c r="L189" s="34" t="s">
        <v>115</v>
      </c>
      <c r="M189" s="63" t="s">
        <v>383</v>
      </c>
      <c r="N189" s="32" t="s">
        <v>89</v>
      </c>
      <c r="O189" s="57" t="s">
        <v>402</v>
      </c>
      <c r="P189" s="57"/>
      <c r="Q189" s="57" t="s">
        <v>2324</v>
      </c>
      <c r="R189" s="65"/>
      <c r="S189" s="32" t="s">
        <v>850</v>
      </c>
      <c r="T189" s="45" t="s">
        <v>1335</v>
      </c>
      <c r="U189" s="45" t="s">
        <v>2335</v>
      </c>
      <c r="V189" s="54" t="s">
        <v>80</v>
      </c>
      <c r="W189" s="32" t="s">
        <v>561</v>
      </c>
      <c r="X189" s="32" t="s">
        <v>941</v>
      </c>
      <c r="Y189" s="45" t="s">
        <v>942</v>
      </c>
      <c r="Z189" s="32" t="s">
        <v>112</v>
      </c>
      <c r="AA189" s="47"/>
      <c r="AB189" s="60" t="s">
        <v>240</v>
      </c>
      <c r="AC189" s="68"/>
      <c r="AD189" s="261"/>
      <c r="AE189" s="47"/>
      <c r="AF189" s="54" t="s">
        <v>80</v>
      </c>
      <c r="AG189" s="56" t="s">
        <v>945</v>
      </c>
      <c r="AH189" s="47"/>
      <c r="AI189" s="58"/>
      <c r="AJ189" s="77"/>
      <c r="AK189" s="58">
        <v>41255.0</v>
      </c>
      <c r="AL189" s="56" t="s">
        <v>1033</v>
      </c>
    </row>
    <row r="190" ht="22.5" customHeight="1">
      <c r="A190" s="27" t="s">
        <v>2336</v>
      </c>
      <c r="B190" s="57" t="s">
        <v>843</v>
      </c>
      <c r="C190" s="32" t="s">
        <v>844</v>
      </c>
      <c r="D190" s="34" t="s">
        <v>845</v>
      </c>
      <c r="E190" s="38" t="s">
        <v>846</v>
      </c>
      <c r="F190" s="34" t="s">
        <v>140</v>
      </c>
      <c r="G190" s="34" t="s">
        <v>168</v>
      </c>
      <c r="H190" s="155">
        <v>42047.0</v>
      </c>
      <c r="I190" s="155"/>
      <c r="J190" s="155">
        <v>42047.0</v>
      </c>
      <c r="K190" s="32" t="s">
        <v>70</v>
      </c>
      <c r="L190" s="41" t="s">
        <v>115</v>
      </c>
      <c r="M190" s="42" t="s">
        <v>88</v>
      </c>
      <c r="N190" s="38" t="s">
        <v>89</v>
      </c>
      <c r="O190" s="38" t="s">
        <v>175</v>
      </c>
      <c r="P190" s="32" t="s">
        <v>876</v>
      </c>
      <c r="Q190" s="57" t="s">
        <v>2337</v>
      </c>
      <c r="R190" s="65"/>
      <c r="S190" s="32" t="s">
        <v>220</v>
      </c>
      <c r="T190" s="45" t="s">
        <v>855</v>
      </c>
      <c r="U190" s="45" t="s">
        <v>2338</v>
      </c>
      <c r="V190" s="34" t="s">
        <v>80</v>
      </c>
      <c r="W190" s="32" t="s">
        <v>561</v>
      </c>
      <c r="X190" s="32" t="s">
        <v>561</v>
      </c>
      <c r="Y190" s="45" t="s">
        <v>859</v>
      </c>
      <c r="Z190" s="32" t="s">
        <v>112</v>
      </c>
      <c r="AA190" s="47"/>
      <c r="AB190" s="60" t="s">
        <v>860</v>
      </c>
      <c r="AC190" s="60"/>
      <c r="AD190" s="261"/>
      <c r="AE190" s="47"/>
      <c r="AF190" s="34" t="s">
        <v>80</v>
      </c>
      <c r="AG190" s="56" t="s">
        <v>865</v>
      </c>
      <c r="AH190" s="47"/>
      <c r="AI190" s="58"/>
      <c r="AJ190" s="58">
        <v>41779.0</v>
      </c>
      <c r="AK190" s="58">
        <v>41612.0</v>
      </c>
      <c r="AL190" s="56" t="s">
        <v>188</v>
      </c>
    </row>
    <row r="191" ht="22.5" customHeight="1">
      <c r="A191" s="27" t="s">
        <v>2339</v>
      </c>
      <c r="B191" s="57" t="s">
        <v>69</v>
      </c>
      <c r="C191" s="32" t="s">
        <v>90</v>
      </c>
      <c r="D191" s="39" t="s">
        <v>91</v>
      </c>
      <c r="E191" s="38" t="s">
        <v>92</v>
      </c>
      <c r="F191" s="34" t="s">
        <v>93</v>
      </c>
      <c r="G191" s="34" t="s">
        <v>168</v>
      </c>
      <c r="H191" s="155">
        <v>42090.0</v>
      </c>
      <c r="I191" s="155">
        <v>42090.0</v>
      </c>
      <c r="J191" s="155"/>
      <c r="K191" s="32" t="s">
        <v>86</v>
      </c>
      <c r="L191" s="41" t="s">
        <v>115</v>
      </c>
      <c r="M191" s="121" t="s">
        <v>88</v>
      </c>
      <c r="N191" s="38" t="s">
        <v>89</v>
      </c>
      <c r="O191" s="32" t="s">
        <v>220</v>
      </c>
      <c r="P191" s="32"/>
      <c r="Q191" s="38" t="s">
        <v>1478</v>
      </c>
      <c r="R191" s="65"/>
      <c r="S191" s="32" t="s">
        <v>116</v>
      </c>
      <c r="T191" s="56" t="s">
        <v>118</v>
      </c>
      <c r="U191" s="45" t="s">
        <v>2340</v>
      </c>
      <c r="V191" s="34" t="s">
        <v>80</v>
      </c>
      <c r="W191" s="60" t="s">
        <v>122</v>
      </c>
      <c r="X191" s="60" t="s">
        <v>130</v>
      </c>
      <c r="Y191" s="45" t="s">
        <v>131</v>
      </c>
      <c r="Z191" s="32" t="s">
        <v>112</v>
      </c>
      <c r="AA191" s="47"/>
      <c r="AB191" s="60" t="s">
        <v>113</v>
      </c>
      <c r="AC191" s="60"/>
      <c r="AD191" s="261"/>
      <c r="AE191" s="57" t="s">
        <v>2341</v>
      </c>
      <c r="AF191" s="34" t="s">
        <v>74</v>
      </c>
      <c r="AG191" s="56" t="s">
        <v>159</v>
      </c>
      <c r="AH191" s="47"/>
      <c r="AI191" s="58"/>
      <c r="AJ191" s="58"/>
      <c r="AK191" s="58">
        <v>41100.0</v>
      </c>
      <c r="AL191" s="56" t="s">
        <v>232</v>
      </c>
    </row>
    <row r="192" ht="22.5" customHeight="1">
      <c r="A192" s="27" t="s">
        <v>2342</v>
      </c>
      <c r="B192" s="57" t="s">
        <v>490</v>
      </c>
      <c r="C192" s="57" t="s">
        <v>494</v>
      </c>
      <c r="D192" s="39" t="s">
        <v>91</v>
      </c>
      <c r="E192" s="38" t="s">
        <v>496</v>
      </c>
      <c r="F192" s="54" t="s">
        <v>93</v>
      </c>
      <c r="G192" s="34" t="s">
        <v>168</v>
      </c>
      <c r="H192" s="155">
        <v>42268.0</v>
      </c>
      <c r="I192" s="155">
        <v>42268.0</v>
      </c>
      <c r="J192" s="155"/>
      <c r="K192" s="32" t="s">
        <v>70</v>
      </c>
      <c r="L192" s="34" t="s">
        <v>115</v>
      </c>
      <c r="M192" s="63" t="s">
        <v>218</v>
      </c>
      <c r="N192" s="32" t="s">
        <v>89</v>
      </c>
      <c r="O192" s="32" t="s">
        <v>175</v>
      </c>
      <c r="P192" s="32"/>
      <c r="Q192" s="32" t="s">
        <v>2343</v>
      </c>
      <c r="R192" s="65"/>
      <c r="S192" s="32" t="s">
        <v>116</v>
      </c>
      <c r="T192" s="226" t="s">
        <v>505</v>
      </c>
      <c r="U192" s="45" t="s">
        <v>2344</v>
      </c>
      <c r="V192" s="54" t="s">
        <v>80</v>
      </c>
      <c r="W192" s="123" t="s">
        <v>508</v>
      </c>
      <c r="X192" s="32" t="s">
        <v>511</v>
      </c>
      <c r="Y192" s="226" t="s">
        <v>512</v>
      </c>
      <c r="Z192" s="32" t="s">
        <v>112</v>
      </c>
      <c r="AA192" s="47"/>
      <c r="AB192" s="149" t="s">
        <v>481</v>
      </c>
      <c r="AC192" s="60"/>
      <c r="AD192" s="261"/>
      <c r="AE192" s="57"/>
      <c r="AF192" s="54" t="s">
        <v>80</v>
      </c>
      <c r="AG192" s="56" t="s">
        <v>515</v>
      </c>
      <c r="AH192" s="47"/>
      <c r="AI192" s="58"/>
      <c r="AJ192" s="77"/>
      <c r="AK192" s="132">
        <v>41074.0</v>
      </c>
      <c r="AL192" s="56" t="s">
        <v>188</v>
      </c>
    </row>
    <row r="193" ht="22.5" customHeight="1">
      <c r="A193" s="27" t="s">
        <v>2345</v>
      </c>
      <c r="B193" s="57" t="s">
        <v>490</v>
      </c>
      <c r="C193" s="57" t="s">
        <v>494</v>
      </c>
      <c r="D193" s="39" t="s">
        <v>91</v>
      </c>
      <c r="E193" s="38" t="s">
        <v>496</v>
      </c>
      <c r="F193" s="54" t="s">
        <v>93</v>
      </c>
      <c r="G193" s="34" t="s">
        <v>168</v>
      </c>
      <c r="H193" s="155">
        <v>41963.0</v>
      </c>
      <c r="I193" s="155">
        <v>41963.0</v>
      </c>
      <c r="J193" s="155"/>
      <c r="K193" s="32" t="s">
        <v>70</v>
      </c>
      <c r="L193" s="34" t="s">
        <v>115</v>
      </c>
      <c r="M193" s="63" t="s">
        <v>218</v>
      </c>
      <c r="N193" s="32" t="s">
        <v>89</v>
      </c>
      <c r="O193" s="32" t="s">
        <v>175</v>
      </c>
      <c r="P193" s="32"/>
      <c r="Q193" s="32" t="s">
        <v>1218</v>
      </c>
      <c r="R193" s="155">
        <v>43059.0</v>
      </c>
      <c r="S193" s="32" t="s">
        <v>116</v>
      </c>
      <c r="T193" s="226" t="s">
        <v>505</v>
      </c>
      <c r="U193" s="45" t="s">
        <v>2346</v>
      </c>
      <c r="V193" s="54" t="s">
        <v>80</v>
      </c>
      <c r="W193" s="123" t="s">
        <v>508</v>
      </c>
      <c r="X193" s="32" t="s">
        <v>511</v>
      </c>
      <c r="Y193" s="226" t="s">
        <v>512</v>
      </c>
      <c r="Z193" s="32" t="s">
        <v>112</v>
      </c>
      <c r="AA193" s="47"/>
      <c r="AB193" s="149" t="s">
        <v>481</v>
      </c>
      <c r="AC193" s="60"/>
      <c r="AD193" s="261"/>
      <c r="AE193" s="57"/>
      <c r="AF193" s="54" t="s">
        <v>80</v>
      </c>
      <c r="AG193" s="56" t="s">
        <v>515</v>
      </c>
      <c r="AH193" s="47"/>
      <c r="AI193" s="58"/>
      <c r="AJ193" s="77"/>
      <c r="AK193" s="132">
        <v>41074.0</v>
      </c>
      <c r="AL193" s="56" t="s">
        <v>188</v>
      </c>
    </row>
    <row r="194" ht="22.5" customHeight="1">
      <c r="A194" s="27" t="s">
        <v>2347</v>
      </c>
      <c r="B194" s="57" t="s">
        <v>888</v>
      </c>
      <c r="C194" s="32" t="s">
        <v>1281</v>
      </c>
      <c r="D194" s="41" t="s">
        <v>75</v>
      </c>
      <c r="E194" s="38" t="s">
        <v>1282</v>
      </c>
      <c r="F194" s="34" t="s">
        <v>140</v>
      </c>
      <c r="G194" s="34" t="s">
        <v>168</v>
      </c>
      <c r="H194" s="155">
        <v>42107.0</v>
      </c>
      <c r="I194" s="155">
        <v>42107.0</v>
      </c>
      <c r="J194" s="155">
        <v>42107.0</v>
      </c>
      <c r="K194" s="32" t="s">
        <v>70</v>
      </c>
      <c r="L194" s="34" t="s">
        <v>115</v>
      </c>
      <c r="M194" s="32" t="s">
        <v>88</v>
      </c>
      <c r="N194" s="32" t="s">
        <v>89</v>
      </c>
      <c r="O194" s="32" t="s">
        <v>175</v>
      </c>
      <c r="P194" s="32"/>
      <c r="Q194" s="32" t="s">
        <v>1218</v>
      </c>
      <c r="R194" s="65"/>
      <c r="S194" s="32" t="s">
        <v>196</v>
      </c>
      <c r="T194" s="45" t="s">
        <v>1285</v>
      </c>
      <c r="U194" s="45" t="s">
        <v>2348</v>
      </c>
      <c r="V194" s="34" t="s">
        <v>80</v>
      </c>
      <c r="W194" s="32" t="s">
        <v>561</v>
      </c>
      <c r="X194" s="60" t="s">
        <v>1287</v>
      </c>
      <c r="Y194" s="45" t="s">
        <v>1288</v>
      </c>
      <c r="Z194" s="32" t="s">
        <v>112</v>
      </c>
      <c r="AA194" s="47"/>
      <c r="AB194" s="32" t="s">
        <v>113</v>
      </c>
      <c r="AC194" s="60"/>
      <c r="AD194" s="261"/>
      <c r="AE194" s="57"/>
      <c r="AF194" s="180" t="s">
        <v>80</v>
      </c>
      <c r="AG194" s="56" t="s">
        <v>900</v>
      </c>
      <c r="AH194" s="47"/>
      <c r="AI194" s="58"/>
      <c r="AJ194" s="77"/>
      <c r="AK194" s="155">
        <v>41770.0</v>
      </c>
      <c r="AL194" s="56" t="s">
        <v>188</v>
      </c>
    </row>
    <row r="195" ht="22.5" customHeight="1">
      <c r="A195" s="27" t="s">
        <v>2349</v>
      </c>
      <c r="B195" s="57" t="s">
        <v>987</v>
      </c>
      <c r="C195" s="32" t="s">
        <v>988</v>
      </c>
      <c r="D195" s="41" t="s">
        <v>75</v>
      </c>
      <c r="E195" s="60" t="s">
        <v>990</v>
      </c>
      <c r="F195" s="34" t="s">
        <v>93</v>
      </c>
      <c r="G195" s="34" t="s">
        <v>168</v>
      </c>
      <c r="H195" s="155">
        <v>42193.0</v>
      </c>
      <c r="I195" s="155">
        <v>42193.0</v>
      </c>
      <c r="J195" s="155">
        <v>42193.0</v>
      </c>
      <c r="K195" s="32" t="s">
        <v>86</v>
      </c>
      <c r="L195" s="41" t="s">
        <v>115</v>
      </c>
      <c r="M195" s="63" t="s">
        <v>218</v>
      </c>
      <c r="N195" s="38" t="s">
        <v>89</v>
      </c>
      <c r="O195" s="32" t="s">
        <v>1640</v>
      </c>
      <c r="P195" s="32"/>
      <c r="Q195" s="32" t="s">
        <v>2350</v>
      </c>
      <c r="R195" s="155">
        <v>43289.0</v>
      </c>
      <c r="S195" s="32" t="s">
        <v>116</v>
      </c>
      <c r="T195" s="203" t="s">
        <v>997</v>
      </c>
      <c r="U195" s="45" t="s">
        <v>2351</v>
      </c>
      <c r="V195" s="34" t="s">
        <v>74</v>
      </c>
      <c r="W195" s="60" t="s">
        <v>1001</v>
      </c>
      <c r="X195" s="60" t="s">
        <v>1002</v>
      </c>
      <c r="Y195" s="109" t="s">
        <v>1003</v>
      </c>
      <c r="Z195" s="32" t="s">
        <v>112</v>
      </c>
      <c r="AA195" s="32"/>
      <c r="AB195" s="32" t="s">
        <v>113</v>
      </c>
      <c r="AC195" s="60"/>
      <c r="AD195" s="66"/>
      <c r="AE195" s="57"/>
      <c r="AF195" s="180" t="s">
        <v>80</v>
      </c>
      <c r="AG195" s="56" t="s">
        <v>1005</v>
      </c>
      <c r="AH195" s="47"/>
      <c r="AI195" s="58"/>
      <c r="AJ195" s="41"/>
      <c r="AK195" s="83">
        <v>41736.0</v>
      </c>
      <c r="AL195" s="56" t="s">
        <v>2352</v>
      </c>
    </row>
    <row r="196" ht="22.5" customHeight="1">
      <c r="A196" s="27" t="s">
        <v>2353</v>
      </c>
      <c r="B196" s="57" t="s">
        <v>901</v>
      </c>
      <c r="C196" s="32" t="s">
        <v>967</v>
      </c>
      <c r="D196" s="41" t="s">
        <v>75</v>
      </c>
      <c r="E196" s="32" t="s">
        <v>2354</v>
      </c>
      <c r="F196" s="34" t="s">
        <v>93</v>
      </c>
      <c r="G196" s="34" t="s">
        <v>168</v>
      </c>
      <c r="H196" s="155">
        <v>42265.0</v>
      </c>
      <c r="I196" s="155">
        <v>42265.0</v>
      </c>
      <c r="J196" s="155">
        <v>42265.0</v>
      </c>
      <c r="K196" s="32" t="s">
        <v>70</v>
      </c>
      <c r="L196" s="41" t="s">
        <v>115</v>
      </c>
      <c r="M196" s="42" t="s">
        <v>313</v>
      </c>
      <c r="N196" s="38" t="s">
        <v>89</v>
      </c>
      <c r="O196" s="32" t="s">
        <v>989</v>
      </c>
      <c r="P196" s="32" t="s">
        <v>2019</v>
      </c>
      <c r="Q196" s="32" t="s">
        <v>2021</v>
      </c>
      <c r="R196" s="155"/>
      <c r="S196" s="32" t="s">
        <v>116</v>
      </c>
      <c r="T196" s="45" t="s">
        <v>974</v>
      </c>
      <c r="U196" s="45" t="s">
        <v>2355</v>
      </c>
      <c r="V196" s="34" t="s">
        <v>80</v>
      </c>
      <c r="W196" s="60" t="s">
        <v>976</v>
      </c>
      <c r="X196" s="60" t="s">
        <v>977</v>
      </c>
      <c r="Y196" s="109" t="s">
        <v>906</v>
      </c>
      <c r="Z196" s="32" t="s">
        <v>112</v>
      </c>
      <c r="AA196" s="68"/>
      <c r="AB196" s="123" t="s">
        <v>113</v>
      </c>
      <c r="AC196" s="60"/>
      <c r="AD196" s="66"/>
      <c r="AE196" s="57"/>
      <c r="AF196" s="34" t="s">
        <v>80</v>
      </c>
      <c r="AG196" s="56" t="s">
        <v>911</v>
      </c>
      <c r="AH196" s="41"/>
      <c r="AI196" s="41"/>
      <c r="AJ196" s="41"/>
      <c r="AK196" s="58">
        <v>41368.0</v>
      </c>
      <c r="AL196" s="56" t="s">
        <v>1004</v>
      </c>
    </row>
    <row r="197" ht="22.5" customHeight="1">
      <c r="A197" s="27" t="s">
        <v>2356</v>
      </c>
      <c r="B197" s="60" t="s">
        <v>724</v>
      </c>
      <c r="C197" s="60" t="s">
        <v>725</v>
      </c>
      <c r="D197" s="34" t="s">
        <v>752</v>
      </c>
      <c r="E197" s="38" t="s">
        <v>727</v>
      </c>
      <c r="F197" s="34" t="s">
        <v>93</v>
      </c>
      <c r="G197" s="34" t="s">
        <v>168</v>
      </c>
      <c r="H197" s="155">
        <v>42265.0</v>
      </c>
      <c r="I197" s="155">
        <v>42265.0</v>
      </c>
      <c r="J197" s="155">
        <v>42265.0</v>
      </c>
      <c r="K197" s="32" t="s">
        <v>70</v>
      </c>
      <c r="L197" s="41" t="s">
        <v>115</v>
      </c>
      <c r="M197" s="63" t="s">
        <v>218</v>
      </c>
      <c r="N197" s="38" t="s">
        <v>89</v>
      </c>
      <c r="O197" s="32" t="s">
        <v>989</v>
      </c>
      <c r="P197" s="32" t="s">
        <v>2019</v>
      </c>
      <c r="Q197" s="32" t="s">
        <v>2021</v>
      </c>
      <c r="R197" s="155"/>
      <c r="S197" s="32" t="s">
        <v>116</v>
      </c>
      <c r="T197" s="45" t="s">
        <v>732</v>
      </c>
      <c r="U197" s="45" t="s">
        <v>2357</v>
      </c>
      <c r="V197" s="34" t="s">
        <v>80</v>
      </c>
      <c r="W197" s="32" t="s">
        <v>698</v>
      </c>
      <c r="X197" s="32" t="s">
        <v>740</v>
      </c>
      <c r="Y197" s="32" t="s">
        <v>741</v>
      </c>
      <c r="Z197" s="32" t="s">
        <v>112</v>
      </c>
      <c r="AA197" s="38"/>
      <c r="AB197" s="123" t="s">
        <v>113</v>
      </c>
      <c r="AC197" s="60"/>
      <c r="AD197" s="66"/>
      <c r="AE197" s="57"/>
      <c r="AF197" s="34" t="s">
        <v>80</v>
      </c>
      <c r="AG197" s="56" t="s">
        <v>745</v>
      </c>
      <c r="AH197" s="41"/>
      <c r="AI197" s="41"/>
      <c r="AJ197" s="41"/>
      <c r="AK197" s="58">
        <v>41284.0</v>
      </c>
      <c r="AL197" s="56" t="s">
        <v>1004</v>
      </c>
    </row>
    <row r="198" ht="22.5" customHeight="1">
      <c r="A198" s="27" t="s">
        <v>2358</v>
      </c>
      <c r="B198" s="57" t="s">
        <v>1321</v>
      </c>
      <c r="C198" s="57" t="s">
        <v>1322</v>
      </c>
      <c r="D198" s="34" t="s">
        <v>845</v>
      </c>
      <c r="E198" s="38" t="s">
        <v>1323</v>
      </c>
      <c r="F198" s="54" t="s">
        <v>140</v>
      </c>
      <c r="G198" s="34" t="s">
        <v>168</v>
      </c>
      <c r="H198" s="155">
        <v>42072.0</v>
      </c>
      <c r="I198" s="155">
        <v>42072.0</v>
      </c>
      <c r="J198" s="155"/>
      <c r="K198" s="32" t="s">
        <v>86</v>
      </c>
      <c r="L198" s="34" t="s">
        <v>115</v>
      </c>
      <c r="M198" s="42" t="s">
        <v>88</v>
      </c>
      <c r="N198" s="32" t="s">
        <v>89</v>
      </c>
      <c r="O198" s="32" t="s">
        <v>850</v>
      </c>
      <c r="P198" s="32"/>
      <c r="Q198" s="32" t="s">
        <v>2359</v>
      </c>
      <c r="R198" s="155">
        <v>42878.0</v>
      </c>
      <c r="S198" s="32" t="s">
        <v>196</v>
      </c>
      <c r="T198" s="45" t="s">
        <v>1324</v>
      </c>
      <c r="U198" s="45" t="s">
        <v>2360</v>
      </c>
      <c r="V198" s="54" t="s">
        <v>80</v>
      </c>
      <c r="W198" s="32" t="s">
        <v>561</v>
      </c>
      <c r="X198" s="32" t="s">
        <v>1326</v>
      </c>
      <c r="Y198" s="109" t="s">
        <v>1327</v>
      </c>
      <c r="Z198" s="32" t="s">
        <v>112</v>
      </c>
      <c r="AA198" s="38"/>
      <c r="AB198" s="32" t="s">
        <v>113</v>
      </c>
      <c r="AC198" s="60"/>
      <c r="AD198" s="66"/>
      <c r="AE198" s="57"/>
      <c r="AF198" s="54" t="s">
        <v>74</v>
      </c>
      <c r="AG198" s="56" t="s">
        <v>1329</v>
      </c>
      <c r="AH198" s="47"/>
      <c r="AI198" s="58"/>
      <c r="AJ198" s="77"/>
      <c r="AK198" s="58">
        <v>41619.0</v>
      </c>
      <c r="AL198" s="56" t="s">
        <v>870</v>
      </c>
    </row>
    <row r="199" ht="22.5" customHeight="1">
      <c r="A199" s="27" t="s">
        <v>2361</v>
      </c>
      <c r="B199" s="57" t="s">
        <v>1393</v>
      </c>
      <c r="C199" s="57" t="s">
        <v>1410</v>
      </c>
      <c r="D199" s="41" t="s">
        <v>75</v>
      </c>
      <c r="E199" s="121" t="s">
        <v>1411</v>
      </c>
      <c r="F199" s="34" t="s">
        <v>140</v>
      </c>
      <c r="G199" s="34" t="s">
        <v>168</v>
      </c>
      <c r="H199" s="155">
        <v>42146.0</v>
      </c>
      <c r="I199" s="155">
        <v>42072.0</v>
      </c>
      <c r="J199" s="155">
        <v>42146.0</v>
      </c>
      <c r="K199" s="32" t="s">
        <v>86</v>
      </c>
      <c r="L199" s="41" t="s">
        <v>115</v>
      </c>
      <c r="M199" s="63" t="s">
        <v>218</v>
      </c>
      <c r="N199" s="38" t="s">
        <v>89</v>
      </c>
      <c r="O199" s="32" t="s">
        <v>989</v>
      </c>
      <c r="P199" s="32"/>
      <c r="Q199" s="32" t="s">
        <v>2362</v>
      </c>
      <c r="R199" s="155">
        <v>43242.0</v>
      </c>
      <c r="S199" s="32" t="s">
        <v>196</v>
      </c>
      <c r="T199" s="56" t="s">
        <v>1412</v>
      </c>
      <c r="U199" s="45" t="s">
        <v>2363</v>
      </c>
      <c r="V199" s="34" t="s">
        <v>80</v>
      </c>
      <c r="W199" s="60" t="s">
        <v>1401</v>
      </c>
      <c r="X199" s="149" t="s">
        <v>1402</v>
      </c>
      <c r="Y199" s="109" t="s">
        <v>1403</v>
      </c>
      <c r="Z199" s="32" t="s">
        <v>112</v>
      </c>
      <c r="AA199" s="32"/>
      <c r="AB199" s="32" t="s">
        <v>113</v>
      </c>
      <c r="AC199" s="60"/>
      <c r="AD199" s="136"/>
      <c r="AE199" s="57"/>
      <c r="AF199" s="34" t="s">
        <v>74</v>
      </c>
      <c r="AG199" s="56" t="s">
        <v>1407</v>
      </c>
      <c r="AH199" s="47"/>
      <c r="AI199" s="58"/>
      <c r="AJ199" s="41"/>
      <c r="AK199" s="58">
        <v>42307.0</v>
      </c>
      <c r="AL199" s="56" t="s">
        <v>1004</v>
      </c>
    </row>
    <row r="200" ht="22.5" customHeight="1">
      <c r="A200" s="27" t="s">
        <v>2364</v>
      </c>
      <c r="B200" s="57" t="s">
        <v>1321</v>
      </c>
      <c r="C200" s="57" t="s">
        <v>1322</v>
      </c>
      <c r="D200" s="34" t="s">
        <v>845</v>
      </c>
      <c r="E200" s="38" t="s">
        <v>1323</v>
      </c>
      <c r="F200" s="54" t="s">
        <v>140</v>
      </c>
      <c r="G200" s="34" t="s">
        <v>168</v>
      </c>
      <c r="H200" s="155">
        <v>42128.0</v>
      </c>
      <c r="I200" s="155">
        <v>42123.0</v>
      </c>
      <c r="J200" s="155">
        <v>42128.0</v>
      </c>
      <c r="K200" s="32" t="s">
        <v>86</v>
      </c>
      <c r="L200" s="34" t="s">
        <v>115</v>
      </c>
      <c r="M200" s="42" t="s">
        <v>88</v>
      </c>
      <c r="N200" s="32" t="s">
        <v>89</v>
      </c>
      <c r="O200" s="32" t="s">
        <v>989</v>
      </c>
      <c r="P200" s="32"/>
      <c r="Q200" s="32" t="s">
        <v>2365</v>
      </c>
      <c r="R200" s="155">
        <v>43224.0</v>
      </c>
      <c r="S200" s="32" t="s">
        <v>196</v>
      </c>
      <c r="T200" s="45" t="s">
        <v>1324</v>
      </c>
      <c r="U200" s="45" t="s">
        <v>2366</v>
      </c>
      <c r="V200" s="54" t="s">
        <v>80</v>
      </c>
      <c r="W200" s="32" t="s">
        <v>561</v>
      </c>
      <c r="X200" s="32" t="s">
        <v>1326</v>
      </c>
      <c r="Y200" s="109" t="s">
        <v>1327</v>
      </c>
      <c r="Z200" s="32" t="s">
        <v>112</v>
      </c>
      <c r="AA200" s="38"/>
      <c r="AB200" s="32" t="s">
        <v>113</v>
      </c>
      <c r="AC200" s="60"/>
      <c r="AD200" s="136"/>
      <c r="AE200" s="57"/>
      <c r="AF200" s="54" t="s">
        <v>74</v>
      </c>
      <c r="AG200" s="56" t="s">
        <v>1329</v>
      </c>
      <c r="AH200" s="47"/>
      <c r="AI200" s="58"/>
      <c r="AJ200" s="77"/>
      <c r="AK200" s="58">
        <v>41619.0</v>
      </c>
      <c r="AL200" s="56" t="s">
        <v>1004</v>
      </c>
    </row>
    <row r="201" ht="22.5" customHeight="1">
      <c r="A201" s="27" t="s">
        <v>2367</v>
      </c>
      <c r="B201" s="57" t="s">
        <v>1374</v>
      </c>
      <c r="C201" s="57" t="s">
        <v>1375</v>
      </c>
      <c r="D201" s="39" t="s">
        <v>91</v>
      </c>
      <c r="E201" s="103" t="s">
        <v>1376</v>
      </c>
      <c r="F201" s="41" t="s">
        <v>93</v>
      </c>
      <c r="G201" s="34" t="s">
        <v>168</v>
      </c>
      <c r="H201" s="155">
        <v>41989.0</v>
      </c>
      <c r="I201" s="155">
        <v>41989.0</v>
      </c>
      <c r="J201" s="155">
        <v>41989.0</v>
      </c>
      <c r="K201" s="32" t="s">
        <v>86</v>
      </c>
      <c r="L201" s="41" t="s">
        <v>115</v>
      </c>
      <c r="M201" s="63" t="s">
        <v>218</v>
      </c>
      <c r="N201" s="32" t="s">
        <v>89</v>
      </c>
      <c r="O201" s="32" t="s">
        <v>989</v>
      </c>
      <c r="P201" s="32" t="s">
        <v>2019</v>
      </c>
      <c r="Q201" s="32" t="s">
        <v>2368</v>
      </c>
      <c r="R201" s="155">
        <v>43085.0</v>
      </c>
      <c r="S201" s="32" t="s">
        <v>116</v>
      </c>
      <c r="T201" s="56" t="s">
        <v>1378</v>
      </c>
      <c r="U201" s="45" t="s">
        <v>2369</v>
      </c>
      <c r="V201" s="34" t="s">
        <v>80</v>
      </c>
      <c r="W201" s="172" t="s">
        <v>1380</v>
      </c>
      <c r="X201" s="198" t="s">
        <v>1381</v>
      </c>
      <c r="Y201" s="152" t="s">
        <v>1382</v>
      </c>
      <c r="Z201" s="32" t="s">
        <v>112</v>
      </c>
      <c r="AA201" s="38"/>
      <c r="AB201" s="32" t="s">
        <v>113</v>
      </c>
      <c r="AC201" s="60"/>
      <c r="AD201" s="66"/>
      <c r="AE201" s="57"/>
      <c r="AF201" s="54" t="s">
        <v>80</v>
      </c>
      <c r="AG201" s="56" t="s">
        <v>1384</v>
      </c>
      <c r="AH201" s="41"/>
      <c r="AI201" s="41"/>
      <c r="AJ201" s="41"/>
      <c r="AK201" s="58">
        <v>41869.0</v>
      </c>
      <c r="AL201" s="56" t="s">
        <v>1004</v>
      </c>
    </row>
    <row r="202" ht="22.5" customHeight="1">
      <c r="A202" s="27" t="s">
        <v>2370</v>
      </c>
      <c r="B202" s="57" t="s">
        <v>888</v>
      </c>
      <c r="C202" s="32" t="s">
        <v>1281</v>
      </c>
      <c r="D202" s="41" t="s">
        <v>75</v>
      </c>
      <c r="E202" s="38" t="s">
        <v>1282</v>
      </c>
      <c r="F202" s="34" t="s">
        <v>140</v>
      </c>
      <c r="G202" s="34" t="s">
        <v>168</v>
      </c>
      <c r="H202" s="155">
        <v>42093.0</v>
      </c>
      <c r="I202" s="155"/>
      <c r="J202" s="155">
        <v>42093.0</v>
      </c>
      <c r="K202" s="32" t="s">
        <v>86</v>
      </c>
      <c r="L202" s="34" t="s">
        <v>115</v>
      </c>
      <c r="M202" s="32" t="s">
        <v>88</v>
      </c>
      <c r="N202" s="32" t="s">
        <v>89</v>
      </c>
      <c r="O202" s="32" t="s">
        <v>2125</v>
      </c>
      <c r="P202" s="32"/>
      <c r="Q202" s="32" t="s">
        <v>2371</v>
      </c>
      <c r="R202" s="155">
        <v>43003.0</v>
      </c>
      <c r="S202" s="32" t="s">
        <v>196</v>
      </c>
      <c r="T202" s="45" t="s">
        <v>1285</v>
      </c>
      <c r="U202" s="45" t="s">
        <v>2372</v>
      </c>
      <c r="V202" s="34" t="s">
        <v>74</v>
      </c>
      <c r="W202" s="32" t="s">
        <v>561</v>
      </c>
      <c r="X202" s="60" t="s">
        <v>1287</v>
      </c>
      <c r="Y202" s="45" t="s">
        <v>1288</v>
      </c>
      <c r="Z202" s="32" t="s">
        <v>112</v>
      </c>
      <c r="AA202" s="38"/>
      <c r="AB202" s="32" t="s">
        <v>113</v>
      </c>
      <c r="AC202" s="60"/>
      <c r="AD202" s="66"/>
      <c r="AE202" s="57"/>
      <c r="AF202" s="180" t="s">
        <v>74</v>
      </c>
      <c r="AG202" s="56" t="s">
        <v>900</v>
      </c>
      <c r="AH202" s="47"/>
      <c r="AI202" s="58"/>
      <c r="AJ202" s="77"/>
      <c r="AK202" s="155">
        <v>41770.0</v>
      </c>
      <c r="AL202" s="56" t="s">
        <v>2373</v>
      </c>
    </row>
    <row r="203" ht="22.5" customHeight="1">
      <c r="A203" s="27" t="s">
        <v>2374</v>
      </c>
      <c r="B203" s="57" t="s">
        <v>2375</v>
      </c>
      <c r="C203" s="57" t="s">
        <v>2376</v>
      </c>
      <c r="D203" s="142" t="s">
        <v>75</v>
      </c>
      <c r="E203" s="262" t="s">
        <v>2377</v>
      </c>
      <c r="F203" s="54" t="s">
        <v>140</v>
      </c>
      <c r="G203" s="34" t="s">
        <v>168</v>
      </c>
      <c r="H203" s="155">
        <v>42037.0</v>
      </c>
      <c r="I203" s="155">
        <v>42037.0</v>
      </c>
      <c r="J203" s="155"/>
      <c r="K203" s="32" t="s">
        <v>86</v>
      </c>
      <c r="L203" s="54" t="s">
        <v>115</v>
      </c>
      <c r="M203" s="63" t="s">
        <v>313</v>
      </c>
      <c r="N203" s="32" t="s">
        <v>89</v>
      </c>
      <c r="O203" s="32" t="s">
        <v>994</v>
      </c>
      <c r="P203" s="32"/>
      <c r="Q203" s="32" t="s">
        <v>2378</v>
      </c>
      <c r="R203" s="155">
        <v>43070.0</v>
      </c>
      <c r="S203" s="32" t="s">
        <v>327</v>
      </c>
      <c r="T203" s="45" t="s">
        <v>2379</v>
      </c>
      <c r="U203" s="45" t="s">
        <v>2380</v>
      </c>
      <c r="V203" s="54" t="s">
        <v>80</v>
      </c>
      <c r="W203" s="57" t="s">
        <v>2381</v>
      </c>
      <c r="X203" s="57" t="s">
        <v>2382</v>
      </c>
      <c r="Y203" s="263" t="s">
        <v>2383</v>
      </c>
      <c r="Z203" s="32" t="s">
        <v>112</v>
      </c>
      <c r="AA203" s="38"/>
      <c r="AB203" s="57" t="s">
        <v>481</v>
      </c>
      <c r="AC203" s="60"/>
      <c r="AD203" s="66"/>
      <c r="AE203" s="57"/>
      <c r="AF203" s="54" t="s">
        <v>80</v>
      </c>
      <c r="AG203" s="56" t="s">
        <v>2384</v>
      </c>
      <c r="AH203" s="47"/>
      <c r="AI203" s="58"/>
      <c r="AJ203" s="77"/>
      <c r="AK203" s="83">
        <v>42627.0</v>
      </c>
      <c r="AL203" s="56" t="s">
        <v>1006</v>
      </c>
    </row>
    <row r="204" ht="22.5" customHeight="1">
      <c r="A204" s="27" t="s">
        <v>2385</v>
      </c>
      <c r="B204" s="57" t="s">
        <v>2375</v>
      </c>
      <c r="C204" s="57" t="s">
        <v>2376</v>
      </c>
      <c r="D204" s="142" t="s">
        <v>75</v>
      </c>
      <c r="E204" s="262" t="s">
        <v>2377</v>
      </c>
      <c r="F204" s="54" t="s">
        <v>140</v>
      </c>
      <c r="G204" s="34" t="s">
        <v>168</v>
      </c>
      <c r="H204" s="155">
        <v>41984.0</v>
      </c>
      <c r="I204" s="155">
        <v>41984.0</v>
      </c>
      <c r="J204" s="155"/>
      <c r="K204" s="32" t="s">
        <v>86</v>
      </c>
      <c r="L204" s="54" t="s">
        <v>115</v>
      </c>
      <c r="M204" s="63" t="s">
        <v>313</v>
      </c>
      <c r="N204" s="32" t="s">
        <v>89</v>
      </c>
      <c r="O204" s="32" t="s">
        <v>994</v>
      </c>
      <c r="P204" s="32"/>
      <c r="Q204" s="32" t="s">
        <v>2378</v>
      </c>
      <c r="R204" s="155">
        <v>43070.0</v>
      </c>
      <c r="S204" s="32" t="s">
        <v>327</v>
      </c>
      <c r="T204" s="45" t="s">
        <v>2379</v>
      </c>
      <c r="U204" s="45" t="s">
        <v>2386</v>
      </c>
      <c r="V204" s="54" t="s">
        <v>80</v>
      </c>
      <c r="W204" s="57" t="s">
        <v>2381</v>
      </c>
      <c r="X204" s="57" t="s">
        <v>2382</v>
      </c>
      <c r="Y204" s="263" t="s">
        <v>2383</v>
      </c>
      <c r="Z204" s="32" t="s">
        <v>112</v>
      </c>
      <c r="AA204" s="38"/>
      <c r="AB204" s="57" t="s">
        <v>481</v>
      </c>
      <c r="AC204" s="60"/>
      <c r="AD204" s="66"/>
      <c r="AE204" s="57"/>
      <c r="AF204" s="54" t="s">
        <v>80</v>
      </c>
      <c r="AG204" s="56" t="s">
        <v>2384</v>
      </c>
      <c r="AH204" s="47"/>
      <c r="AI204" s="58"/>
      <c r="AJ204" s="77"/>
      <c r="AK204" s="83">
        <v>42627.0</v>
      </c>
      <c r="AL204" s="56" t="s">
        <v>1006</v>
      </c>
    </row>
    <row r="205" ht="22.5" customHeight="1">
      <c r="A205" s="27" t="s">
        <v>2387</v>
      </c>
      <c r="B205" s="57" t="s">
        <v>1321</v>
      </c>
      <c r="C205" s="57" t="s">
        <v>1322</v>
      </c>
      <c r="D205" s="34" t="s">
        <v>845</v>
      </c>
      <c r="E205" s="38" t="s">
        <v>1323</v>
      </c>
      <c r="F205" s="54" t="s">
        <v>140</v>
      </c>
      <c r="G205" s="34" t="s">
        <v>168</v>
      </c>
      <c r="H205" s="155">
        <v>42226.0</v>
      </c>
      <c r="I205" s="155">
        <v>42226.0</v>
      </c>
      <c r="J205" s="155">
        <v>42226.0</v>
      </c>
      <c r="K205" s="32" t="s">
        <v>70</v>
      </c>
      <c r="L205" s="34" t="s">
        <v>115</v>
      </c>
      <c r="M205" s="42" t="s">
        <v>88</v>
      </c>
      <c r="N205" s="32" t="s">
        <v>89</v>
      </c>
      <c r="O205" s="32" t="s">
        <v>2388</v>
      </c>
      <c r="P205" s="32"/>
      <c r="Q205" s="32" t="s">
        <v>2389</v>
      </c>
      <c r="R205" s="155"/>
      <c r="S205" s="32" t="s">
        <v>196</v>
      </c>
      <c r="T205" s="45" t="s">
        <v>1324</v>
      </c>
      <c r="U205" s="45" t="s">
        <v>2390</v>
      </c>
      <c r="V205" s="34" t="s">
        <v>74</v>
      </c>
      <c r="W205" s="32" t="s">
        <v>561</v>
      </c>
      <c r="X205" s="32" t="s">
        <v>1326</v>
      </c>
      <c r="Y205" s="109" t="s">
        <v>1327</v>
      </c>
      <c r="Z205" s="32" t="s">
        <v>112</v>
      </c>
      <c r="AA205" s="38"/>
      <c r="AB205" s="32" t="s">
        <v>113</v>
      </c>
      <c r="AC205" s="60"/>
      <c r="AD205" s="66"/>
      <c r="AE205" s="57"/>
      <c r="AF205" s="54" t="s">
        <v>80</v>
      </c>
      <c r="AG205" s="56" t="s">
        <v>1329</v>
      </c>
      <c r="AH205" s="47"/>
      <c r="AI205" s="58"/>
      <c r="AJ205" s="77"/>
      <c r="AK205" s="58">
        <v>41619.0</v>
      </c>
      <c r="AL205" s="56" t="s">
        <v>2391</v>
      </c>
    </row>
    <row r="206" ht="22.5" customHeight="1">
      <c r="A206" s="27" t="s">
        <v>2392</v>
      </c>
      <c r="B206" s="57" t="s">
        <v>2375</v>
      </c>
      <c r="C206" s="57" t="s">
        <v>2376</v>
      </c>
      <c r="D206" s="142" t="s">
        <v>75</v>
      </c>
      <c r="E206" s="262" t="s">
        <v>2377</v>
      </c>
      <c r="F206" s="54" t="s">
        <v>140</v>
      </c>
      <c r="G206" s="34" t="s">
        <v>168</v>
      </c>
      <c r="H206" s="155">
        <v>42156.0</v>
      </c>
      <c r="I206" s="155">
        <v>42139.0</v>
      </c>
      <c r="J206" s="155">
        <v>42156.0</v>
      </c>
      <c r="K206" s="32" t="s">
        <v>86</v>
      </c>
      <c r="L206" s="54" t="s">
        <v>115</v>
      </c>
      <c r="M206" s="63" t="s">
        <v>313</v>
      </c>
      <c r="N206" s="32" t="s">
        <v>89</v>
      </c>
      <c r="O206" s="32" t="s">
        <v>1023</v>
      </c>
      <c r="P206" s="32"/>
      <c r="Q206" s="32" t="s">
        <v>2393</v>
      </c>
      <c r="R206" s="155">
        <v>43252.0</v>
      </c>
      <c r="S206" s="32" t="s">
        <v>327</v>
      </c>
      <c r="T206" s="45" t="s">
        <v>2379</v>
      </c>
      <c r="U206" s="45" t="s">
        <v>2394</v>
      </c>
      <c r="V206" s="54" t="s">
        <v>80</v>
      </c>
      <c r="W206" s="57" t="s">
        <v>2381</v>
      </c>
      <c r="X206" s="57" t="s">
        <v>2382</v>
      </c>
      <c r="Y206" s="263" t="s">
        <v>2383</v>
      </c>
      <c r="Z206" s="32" t="s">
        <v>112</v>
      </c>
      <c r="AA206" s="38"/>
      <c r="AB206" s="57" t="s">
        <v>481</v>
      </c>
      <c r="AC206" s="60"/>
      <c r="AD206" s="66"/>
      <c r="AE206" s="57"/>
      <c r="AF206" s="54" t="s">
        <v>74</v>
      </c>
      <c r="AG206" s="56" t="s">
        <v>2384</v>
      </c>
      <c r="AH206" s="47"/>
      <c r="AI206" s="58"/>
      <c r="AJ206" s="77"/>
      <c r="AK206" s="83">
        <v>42627.0</v>
      </c>
      <c r="AL206" s="56" t="s">
        <v>1028</v>
      </c>
    </row>
    <row r="207" ht="22.5" customHeight="1">
      <c r="A207" s="27" t="s">
        <v>2395</v>
      </c>
      <c r="B207" s="57" t="s">
        <v>1251</v>
      </c>
      <c r="C207" s="57" t="s">
        <v>1252</v>
      </c>
      <c r="D207" s="41" t="s">
        <v>91</v>
      </c>
      <c r="E207" s="38" t="s">
        <v>1253</v>
      </c>
      <c r="F207" s="34" t="s">
        <v>93</v>
      </c>
      <c r="G207" s="34" t="s">
        <v>168</v>
      </c>
      <c r="H207" s="155">
        <v>42080.0</v>
      </c>
      <c r="I207" s="155">
        <v>42080.0</v>
      </c>
      <c r="J207" s="155">
        <v>42080.0</v>
      </c>
      <c r="K207" s="32" t="s">
        <v>70</v>
      </c>
      <c r="L207" s="34" t="s">
        <v>115</v>
      </c>
      <c r="M207" s="63" t="s">
        <v>218</v>
      </c>
      <c r="N207" s="32" t="s">
        <v>89</v>
      </c>
      <c r="O207" s="32" t="s">
        <v>969</v>
      </c>
      <c r="P207" s="32"/>
      <c r="Q207" s="32" t="s">
        <v>2396</v>
      </c>
      <c r="R207" s="155"/>
      <c r="S207" s="32" t="s">
        <v>116</v>
      </c>
      <c r="T207" s="45" t="s">
        <v>1256</v>
      </c>
      <c r="U207" s="45" t="s">
        <v>2397</v>
      </c>
      <c r="V207" s="54" t="s">
        <v>80</v>
      </c>
      <c r="W207" s="60" t="s">
        <v>1261</v>
      </c>
      <c r="X207" s="32" t="s">
        <v>1262</v>
      </c>
      <c r="Y207" s="109" t="s">
        <v>1263</v>
      </c>
      <c r="Z207" s="32" t="s">
        <v>112</v>
      </c>
      <c r="AA207" s="47"/>
      <c r="AB207" s="32" t="s">
        <v>113</v>
      </c>
      <c r="AC207" s="60"/>
      <c r="AD207" s="66"/>
      <c r="AE207" s="57"/>
      <c r="AF207" s="54" t="s">
        <v>80</v>
      </c>
      <c r="AG207" s="56" t="s">
        <v>1269</v>
      </c>
      <c r="AH207" s="47"/>
      <c r="AI207" s="58"/>
      <c r="AJ207" s="77"/>
      <c r="AK207" s="58">
        <v>41162.0</v>
      </c>
      <c r="AL207" s="56" t="s">
        <v>1043</v>
      </c>
    </row>
    <row r="208" ht="22.5" customHeight="1">
      <c r="A208" s="27" t="s">
        <v>2398</v>
      </c>
      <c r="B208" s="57" t="s">
        <v>888</v>
      </c>
      <c r="C208" s="57" t="s">
        <v>1281</v>
      </c>
      <c r="D208" s="41" t="s">
        <v>75</v>
      </c>
      <c r="E208" s="38" t="s">
        <v>1282</v>
      </c>
      <c r="F208" s="34" t="s">
        <v>140</v>
      </c>
      <c r="G208" s="34" t="s">
        <v>168</v>
      </c>
      <c r="H208" s="155">
        <v>41948.0</v>
      </c>
      <c r="I208" s="155">
        <v>41948.0</v>
      </c>
      <c r="J208" s="155"/>
      <c r="K208" s="32" t="s">
        <v>70</v>
      </c>
      <c r="L208" s="34" t="s">
        <v>115</v>
      </c>
      <c r="M208" s="32" t="s">
        <v>88</v>
      </c>
      <c r="N208" s="32" t="s">
        <v>89</v>
      </c>
      <c r="O208" s="32" t="s">
        <v>954</v>
      </c>
      <c r="P208" s="32" t="s">
        <v>955</v>
      </c>
      <c r="Q208" s="32" t="s">
        <v>956</v>
      </c>
      <c r="R208" s="155"/>
      <c r="S208" s="32" t="s">
        <v>196</v>
      </c>
      <c r="T208" s="45" t="s">
        <v>1285</v>
      </c>
      <c r="U208" s="45" t="s">
        <v>2399</v>
      </c>
      <c r="V208" s="34" t="s">
        <v>80</v>
      </c>
      <c r="W208" s="32" t="s">
        <v>561</v>
      </c>
      <c r="X208" s="60" t="s">
        <v>1287</v>
      </c>
      <c r="Y208" s="45" t="s">
        <v>1288</v>
      </c>
      <c r="Z208" s="32" t="s">
        <v>112</v>
      </c>
      <c r="AA208" s="38"/>
      <c r="AB208" s="32" t="s">
        <v>113</v>
      </c>
      <c r="AC208" s="60"/>
      <c r="AD208" s="66"/>
      <c r="AE208" s="57"/>
      <c r="AF208" s="180" t="s">
        <v>80</v>
      </c>
      <c r="AG208" s="56" t="s">
        <v>900</v>
      </c>
      <c r="AH208" s="47"/>
      <c r="AI208" s="58"/>
      <c r="AJ208" s="77"/>
      <c r="AK208" s="155">
        <v>41770.0</v>
      </c>
      <c r="AL208" s="56" t="s">
        <v>965</v>
      </c>
    </row>
    <row r="209" ht="22.5" customHeight="1">
      <c r="A209" s="27" t="s">
        <v>2400</v>
      </c>
      <c r="B209" s="57" t="s">
        <v>2401</v>
      </c>
      <c r="C209" s="149" t="s">
        <v>2402</v>
      </c>
      <c r="D209" s="41" t="s">
        <v>75</v>
      </c>
      <c r="E209" s="149" t="s">
        <v>2403</v>
      </c>
      <c r="F209" s="34" t="s">
        <v>140</v>
      </c>
      <c r="G209" s="34" t="s">
        <v>168</v>
      </c>
      <c r="H209" s="155">
        <v>42151.0</v>
      </c>
      <c r="I209" s="155">
        <v>42151.0</v>
      </c>
      <c r="J209" s="155"/>
      <c r="K209" s="32" t="s">
        <v>70</v>
      </c>
      <c r="L209" s="41" t="s">
        <v>115</v>
      </c>
      <c r="M209" s="42" t="s">
        <v>88</v>
      </c>
      <c r="N209" s="38" t="s">
        <v>89</v>
      </c>
      <c r="O209" s="32" t="s">
        <v>969</v>
      </c>
      <c r="P209" s="32"/>
      <c r="Q209" s="32" t="s">
        <v>2201</v>
      </c>
      <c r="R209" s="155"/>
      <c r="S209" s="32" t="s">
        <v>142</v>
      </c>
      <c r="T209" s="56" t="s">
        <v>2404</v>
      </c>
      <c r="U209" s="45" t="s">
        <v>2405</v>
      </c>
      <c r="V209" s="34" t="s">
        <v>80</v>
      </c>
      <c r="W209" s="149" t="s">
        <v>2406</v>
      </c>
      <c r="X209" s="198" t="s">
        <v>2407</v>
      </c>
      <c r="Y209" s="152" t="s">
        <v>2408</v>
      </c>
      <c r="Z209" s="32" t="s">
        <v>112</v>
      </c>
      <c r="AA209" s="38"/>
      <c r="AB209" s="60" t="s">
        <v>389</v>
      </c>
      <c r="AC209" s="60"/>
      <c r="AD209" s="66"/>
      <c r="AE209" s="57"/>
      <c r="AF209" s="34" t="s">
        <v>80</v>
      </c>
      <c r="AG209" s="56" t="s">
        <v>2409</v>
      </c>
      <c r="AH209" s="47"/>
      <c r="AI209" s="58"/>
      <c r="AJ209" s="77"/>
      <c r="AK209" s="132">
        <v>42012.0</v>
      </c>
      <c r="AL209" s="56" t="s">
        <v>1043</v>
      </c>
    </row>
    <row r="210" ht="22.5" customHeight="1">
      <c r="A210" s="27" t="s">
        <v>2410</v>
      </c>
      <c r="B210" s="57" t="s">
        <v>490</v>
      </c>
      <c r="C210" s="149" t="s">
        <v>494</v>
      </c>
      <c r="D210" s="39" t="s">
        <v>91</v>
      </c>
      <c r="E210" s="38" t="s">
        <v>496</v>
      </c>
      <c r="F210" s="54" t="s">
        <v>93</v>
      </c>
      <c r="G210" s="34" t="s">
        <v>168</v>
      </c>
      <c r="H210" s="155">
        <v>42121.0</v>
      </c>
      <c r="I210" s="155">
        <v>42121.0</v>
      </c>
      <c r="J210" s="155">
        <v>42121.0</v>
      </c>
      <c r="K210" s="32" t="s">
        <v>70</v>
      </c>
      <c r="L210" s="34" t="s">
        <v>115</v>
      </c>
      <c r="M210" s="63" t="s">
        <v>218</v>
      </c>
      <c r="N210" s="32" t="s">
        <v>89</v>
      </c>
      <c r="O210" s="32" t="s">
        <v>1933</v>
      </c>
      <c r="P210" s="32"/>
      <c r="Q210" s="32" t="s">
        <v>2411</v>
      </c>
      <c r="R210" s="155">
        <v>43216.0</v>
      </c>
      <c r="S210" s="32" t="s">
        <v>116</v>
      </c>
      <c r="T210" s="226" t="s">
        <v>505</v>
      </c>
      <c r="U210" s="45" t="s">
        <v>2412</v>
      </c>
      <c r="V210" s="54" t="s">
        <v>80</v>
      </c>
      <c r="W210" s="123" t="s">
        <v>508</v>
      </c>
      <c r="X210" s="32" t="s">
        <v>511</v>
      </c>
      <c r="Y210" s="226" t="s">
        <v>512</v>
      </c>
      <c r="Z210" s="32" t="s">
        <v>112</v>
      </c>
      <c r="AA210" s="47"/>
      <c r="AB210" s="149" t="s">
        <v>481</v>
      </c>
      <c r="AC210" s="60"/>
      <c r="AD210" s="66"/>
      <c r="AE210" s="57"/>
      <c r="AF210" s="54" t="s">
        <v>80</v>
      </c>
      <c r="AG210" s="56" t="s">
        <v>515</v>
      </c>
      <c r="AH210" s="47"/>
      <c r="AI210" s="58"/>
      <c r="AJ210" s="77"/>
      <c r="AK210" s="132">
        <v>41074.0</v>
      </c>
      <c r="AL210" s="56" t="s">
        <v>2413</v>
      </c>
    </row>
    <row r="211" ht="22.5" customHeight="1">
      <c r="A211" s="27" t="s">
        <v>2414</v>
      </c>
      <c r="B211" s="57" t="s">
        <v>888</v>
      </c>
      <c r="C211" s="149" t="s">
        <v>1281</v>
      </c>
      <c r="D211" s="41" t="s">
        <v>75</v>
      </c>
      <c r="E211" s="38" t="s">
        <v>1282</v>
      </c>
      <c r="F211" s="34" t="s">
        <v>140</v>
      </c>
      <c r="G211" s="34" t="s">
        <v>168</v>
      </c>
      <c r="H211" s="155">
        <v>41936.0</v>
      </c>
      <c r="I211" s="155">
        <v>41936.0</v>
      </c>
      <c r="J211" s="155"/>
      <c r="K211" s="32" t="s">
        <v>70</v>
      </c>
      <c r="L211" s="34" t="s">
        <v>115</v>
      </c>
      <c r="M211" s="32" t="s">
        <v>88</v>
      </c>
      <c r="N211" s="32" t="s">
        <v>89</v>
      </c>
      <c r="O211" s="32" t="s">
        <v>1574</v>
      </c>
      <c r="P211" s="32"/>
      <c r="Q211" s="32" t="s">
        <v>1575</v>
      </c>
      <c r="R211" s="155"/>
      <c r="S211" s="32" t="s">
        <v>196</v>
      </c>
      <c r="T211" s="45" t="s">
        <v>1285</v>
      </c>
      <c r="U211" s="45" t="s">
        <v>2415</v>
      </c>
      <c r="V211" s="34" t="s">
        <v>80</v>
      </c>
      <c r="W211" s="32" t="s">
        <v>561</v>
      </c>
      <c r="X211" s="60" t="s">
        <v>1287</v>
      </c>
      <c r="Y211" s="45" t="s">
        <v>1288</v>
      </c>
      <c r="Z211" s="32" t="s">
        <v>112</v>
      </c>
      <c r="AA211" s="38"/>
      <c r="AB211" s="32" t="s">
        <v>113</v>
      </c>
      <c r="AC211" s="60"/>
      <c r="AD211" s="66"/>
      <c r="AE211" s="57"/>
      <c r="AF211" s="180" t="s">
        <v>80</v>
      </c>
      <c r="AG211" s="56" t="s">
        <v>900</v>
      </c>
      <c r="AH211" s="47"/>
      <c r="AI211" s="58"/>
      <c r="AJ211" s="77"/>
      <c r="AK211" s="155">
        <v>41770.0</v>
      </c>
      <c r="AL211" s="56" t="s">
        <v>1579</v>
      </c>
    </row>
    <row r="212" ht="22.5" customHeight="1">
      <c r="A212" s="27" t="s">
        <v>2416</v>
      </c>
      <c r="B212" s="57" t="s">
        <v>69</v>
      </c>
      <c r="C212" s="149" t="s">
        <v>90</v>
      </c>
      <c r="D212" s="39" t="s">
        <v>91</v>
      </c>
      <c r="E212" s="38" t="s">
        <v>92</v>
      </c>
      <c r="F212" s="34" t="s">
        <v>93</v>
      </c>
      <c r="G212" s="34" t="s">
        <v>168</v>
      </c>
      <c r="H212" s="155">
        <v>42128.0</v>
      </c>
      <c r="I212" s="155">
        <v>42123.0</v>
      </c>
      <c r="J212" s="155">
        <v>42128.0</v>
      </c>
      <c r="K212" s="32" t="s">
        <v>70</v>
      </c>
      <c r="L212" s="34" t="s">
        <v>115</v>
      </c>
      <c r="M212" s="32" t="s">
        <v>88</v>
      </c>
      <c r="N212" s="38" t="s">
        <v>89</v>
      </c>
      <c r="O212" s="32" t="s">
        <v>989</v>
      </c>
      <c r="P212" s="32"/>
      <c r="Q212" s="32" t="s">
        <v>2365</v>
      </c>
      <c r="R212" s="155"/>
      <c r="S212" s="32" t="s">
        <v>116</v>
      </c>
      <c r="T212" s="56" t="s">
        <v>118</v>
      </c>
      <c r="U212" s="45" t="s">
        <v>2417</v>
      </c>
      <c r="V212" s="34" t="s">
        <v>80</v>
      </c>
      <c r="W212" s="60" t="s">
        <v>122</v>
      </c>
      <c r="X212" s="60" t="s">
        <v>130</v>
      </c>
      <c r="Y212" s="45" t="s">
        <v>131</v>
      </c>
      <c r="Z212" s="32" t="s">
        <v>112</v>
      </c>
      <c r="AA212" s="47"/>
      <c r="AB212" s="60" t="s">
        <v>113</v>
      </c>
      <c r="AC212" s="60"/>
      <c r="AD212" s="66"/>
      <c r="AE212" s="57"/>
      <c r="AF212" s="54" t="s">
        <v>80</v>
      </c>
      <c r="AG212" s="56" t="s">
        <v>159</v>
      </c>
      <c r="AH212" s="47"/>
      <c r="AI212" s="58"/>
      <c r="AJ212" s="77"/>
      <c r="AK212" s="58">
        <v>41100.0</v>
      </c>
      <c r="AL212" s="56" t="s">
        <v>1004</v>
      </c>
    </row>
    <row r="213" ht="22.5" customHeight="1">
      <c r="A213" s="27" t="s">
        <v>2418</v>
      </c>
      <c r="B213" s="57" t="s">
        <v>69</v>
      </c>
      <c r="C213" s="149" t="s">
        <v>90</v>
      </c>
      <c r="D213" s="39" t="s">
        <v>91</v>
      </c>
      <c r="E213" s="38" t="s">
        <v>92</v>
      </c>
      <c r="F213" s="34" t="s">
        <v>93</v>
      </c>
      <c r="G213" s="34" t="s">
        <v>168</v>
      </c>
      <c r="H213" s="155">
        <v>42173.0</v>
      </c>
      <c r="I213" s="155">
        <v>42172.0</v>
      </c>
      <c r="J213" s="155">
        <v>42173.0</v>
      </c>
      <c r="K213" s="32" t="s">
        <v>70</v>
      </c>
      <c r="L213" s="34" t="s">
        <v>115</v>
      </c>
      <c r="M213" s="32" t="s">
        <v>88</v>
      </c>
      <c r="N213" s="38" t="s">
        <v>89</v>
      </c>
      <c r="O213" s="32" t="s">
        <v>989</v>
      </c>
      <c r="P213" s="32" t="s">
        <v>2019</v>
      </c>
      <c r="Q213" s="32" t="s">
        <v>2021</v>
      </c>
      <c r="R213" s="155"/>
      <c r="S213" s="32" t="s">
        <v>116</v>
      </c>
      <c r="T213" s="56" t="s">
        <v>118</v>
      </c>
      <c r="U213" s="45" t="s">
        <v>2419</v>
      </c>
      <c r="V213" s="34" t="s">
        <v>80</v>
      </c>
      <c r="W213" s="60" t="s">
        <v>122</v>
      </c>
      <c r="X213" s="60" t="s">
        <v>130</v>
      </c>
      <c r="Y213" s="45" t="s">
        <v>131</v>
      </c>
      <c r="Z213" s="32" t="s">
        <v>112</v>
      </c>
      <c r="AA213" s="47"/>
      <c r="AB213" s="60" t="s">
        <v>113</v>
      </c>
      <c r="AC213" s="60"/>
      <c r="AD213" s="66"/>
      <c r="AE213" s="57"/>
      <c r="AF213" s="54" t="s">
        <v>80</v>
      </c>
      <c r="AG213" s="56" t="s">
        <v>159</v>
      </c>
      <c r="AH213" s="47"/>
      <c r="AI213" s="58"/>
      <c r="AJ213" s="77"/>
      <c r="AK213" s="58">
        <v>41100.0</v>
      </c>
      <c r="AL213" s="56" t="s">
        <v>1004</v>
      </c>
    </row>
    <row r="214" ht="22.5" customHeight="1">
      <c r="A214" s="27" t="s">
        <v>2420</v>
      </c>
      <c r="B214" s="57" t="s">
        <v>2122</v>
      </c>
      <c r="C214" s="149" t="s">
        <v>2123</v>
      </c>
      <c r="D214" s="34" t="s">
        <v>91</v>
      </c>
      <c r="E214" s="32" t="s">
        <v>2124</v>
      </c>
      <c r="F214" s="34" t="s">
        <v>93</v>
      </c>
      <c r="G214" s="34" t="s">
        <v>168</v>
      </c>
      <c r="H214" s="155">
        <v>42198.0</v>
      </c>
      <c r="I214" s="155">
        <v>42198.0</v>
      </c>
      <c r="J214" s="155">
        <v>42198.0</v>
      </c>
      <c r="K214" s="32" t="s">
        <v>86</v>
      </c>
      <c r="L214" s="34" t="s">
        <v>115</v>
      </c>
      <c r="M214" s="32" t="s">
        <v>218</v>
      </c>
      <c r="N214" s="32" t="s">
        <v>89</v>
      </c>
      <c r="O214" s="32" t="s">
        <v>1513</v>
      </c>
      <c r="P214" s="32"/>
      <c r="Q214" s="32" t="s">
        <v>2421</v>
      </c>
      <c r="R214" s="155">
        <v>43294.0</v>
      </c>
      <c r="S214" s="32" t="s">
        <v>116</v>
      </c>
      <c r="T214" s="56" t="s">
        <v>2140</v>
      </c>
      <c r="U214" s="45" t="s">
        <v>2422</v>
      </c>
      <c r="V214" s="34" t="s">
        <v>74</v>
      </c>
      <c r="W214" s="60" t="s">
        <v>2128</v>
      </c>
      <c r="X214" s="60" t="s">
        <v>2130</v>
      </c>
      <c r="Y214" s="45" t="s">
        <v>2131</v>
      </c>
      <c r="Z214" s="32" t="s">
        <v>112</v>
      </c>
      <c r="AA214" s="47"/>
      <c r="AB214" s="60" t="s">
        <v>113</v>
      </c>
      <c r="AC214" s="60"/>
      <c r="AD214" s="66"/>
      <c r="AE214" s="57"/>
      <c r="AF214" s="54" t="s">
        <v>80</v>
      </c>
      <c r="AG214" s="56" t="s">
        <v>2136</v>
      </c>
      <c r="AH214" s="47"/>
      <c r="AI214" s="58"/>
      <c r="AJ214" s="77"/>
      <c r="AK214" s="58">
        <v>41861.0</v>
      </c>
      <c r="AL214" s="56" t="s">
        <v>2423</v>
      </c>
    </row>
    <row r="215" ht="22.5" customHeight="1">
      <c r="A215" s="27" t="s">
        <v>2424</v>
      </c>
      <c r="B215" s="63" t="s">
        <v>901</v>
      </c>
      <c r="C215" s="32" t="s">
        <v>2425</v>
      </c>
      <c r="D215" s="34" t="s">
        <v>75</v>
      </c>
      <c r="E215" s="32" t="s">
        <v>2426</v>
      </c>
      <c r="F215" s="34" t="s">
        <v>140</v>
      </c>
      <c r="G215" s="34" t="s">
        <v>85</v>
      </c>
      <c r="H215" s="48">
        <v>42230.0</v>
      </c>
      <c r="I215" s="48"/>
      <c r="J215" s="48"/>
      <c r="K215" s="32" t="s">
        <v>70</v>
      </c>
      <c r="L215" s="34" t="s">
        <v>115</v>
      </c>
      <c r="M215" s="63" t="s">
        <v>218</v>
      </c>
      <c r="N215" s="32" t="s">
        <v>89</v>
      </c>
      <c r="O215" s="32" t="s">
        <v>142</v>
      </c>
      <c r="P215" s="38"/>
      <c r="Q215" s="32"/>
      <c r="R215" s="48"/>
      <c r="S215" s="32" t="s">
        <v>142</v>
      </c>
      <c r="T215" s="63"/>
      <c r="U215" s="32"/>
      <c r="V215" s="54" t="s">
        <v>80</v>
      </c>
      <c r="W215" s="60" t="s">
        <v>904</v>
      </c>
      <c r="X215" s="111" t="s">
        <v>905</v>
      </c>
      <c r="Y215" s="264" t="s">
        <v>1999</v>
      </c>
      <c r="Z215" s="32" t="s">
        <v>112</v>
      </c>
      <c r="AA215" s="32"/>
      <c r="AB215" s="123" t="s">
        <v>113</v>
      </c>
      <c r="AC215" s="68" t="s">
        <v>2427</v>
      </c>
      <c r="AD215" s="66">
        <v>42230.0</v>
      </c>
      <c r="AE215" s="30" t="s">
        <v>2428</v>
      </c>
      <c r="AF215" s="34" t="s">
        <v>80</v>
      </c>
      <c r="AG215" s="56" t="s">
        <v>911</v>
      </c>
      <c r="AH215" s="41"/>
      <c r="AI215" s="48"/>
      <c r="AJ215" s="41"/>
      <c r="AK215" s="58">
        <v>42045.0</v>
      </c>
      <c r="AL215" s="56" t="s">
        <v>262</v>
      </c>
    </row>
    <row r="216" ht="22.5" customHeight="1">
      <c r="A216" s="27" t="s">
        <v>2429</v>
      </c>
      <c r="B216" s="63" t="s">
        <v>190</v>
      </c>
      <c r="C216" s="32" t="s">
        <v>191</v>
      </c>
      <c r="D216" s="34" t="s">
        <v>752</v>
      </c>
      <c r="E216" s="38" t="s">
        <v>193</v>
      </c>
      <c r="F216" s="54" t="s">
        <v>93</v>
      </c>
      <c r="G216" s="34" t="s">
        <v>168</v>
      </c>
      <c r="H216" s="36">
        <v>42278.0</v>
      </c>
      <c r="I216" s="48">
        <v>42277.0</v>
      </c>
      <c r="J216" s="36">
        <v>42278.0</v>
      </c>
      <c r="K216" s="32" t="s">
        <v>70</v>
      </c>
      <c r="L216" s="41" t="s">
        <v>115</v>
      </c>
      <c r="M216" s="63" t="s">
        <v>88</v>
      </c>
      <c r="N216" s="32" t="s">
        <v>89</v>
      </c>
      <c r="O216" s="38" t="s">
        <v>1908</v>
      </c>
      <c r="P216" s="38"/>
      <c r="Q216" s="38" t="s">
        <v>2430</v>
      </c>
      <c r="R216" s="48">
        <v>43374.0</v>
      </c>
      <c r="S216" s="57" t="s">
        <v>116</v>
      </c>
      <c r="T216" s="56" t="s">
        <v>198</v>
      </c>
      <c r="U216" s="56" t="s">
        <v>2431</v>
      </c>
      <c r="V216" s="34" t="s">
        <v>80</v>
      </c>
      <c r="W216" s="32" t="s">
        <v>201</v>
      </c>
      <c r="X216" s="32" t="s">
        <v>202</v>
      </c>
      <c r="Y216" s="45" t="s">
        <v>203</v>
      </c>
      <c r="Z216" s="32" t="s">
        <v>112</v>
      </c>
      <c r="AA216" s="38"/>
      <c r="AB216" s="32" t="s">
        <v>113</v>
      </c>
      <c r="AC216" s="60"/>
      <c r="AD216" s="74"/>
      <c r="AE216" s="38"/>
      <c r="AF216" s="34" t="s">
        <v>80</v>
      </c>
      <c r="AG216" s="56" t="s">
        <v>206</v>
      </c>
      <c r="AH216" s="41"/>
      <c r="AI216" s="41"/>
      <c r="AJ216" s="41"/>
      <c r="AK216" s="58">
        <v>41215.0</v>
      </c>
      <c r="AL216" s="56" t="s">
        <v>2432</v>
      </c>
    </row>
    <row r="217" ht="22.5" customHeight="1">
      <c r="A217" s="27" t="s">
        <v>2433</v>
      </c>
      <c r="B217" s="63" t="s">
        <v>190</v>
      </c>
      <c r="C217" s="149" t="s">
        <v>211</v>
      </c>
      <c r="D217" s="34" t="s">
        <v>752</v>
      </c>
      <c r="E217" s="32" t="s">
        <v>947</v>
      </c>
      <c r="F217" s="34" t="s">
        <v>93</v>
      </c>
      <c r="G217" s="34" t="s">
        <v>168</v>
      </c>
      <c r="H217" s="48">
        <v>42391.0</v>
      </c>
      <c r="I217" s="36">
        <v>42359.0</v>
      </c>
      <c r="J217" s="48">
        <v>42391.0</v>
      </c>
      <c r="K217" s="32" t="s">
        <v>70</v>
      </c>
      <c r="L217" s="41" t="s">
        <v>115</v>
      </c>
      <c r="M217" s="63" t="s">
        <v>218</v>
      </c>
      <c r="N217" s="32" t="s">
        <v>434</v>
      </c>
      <c r="O217" s="38" t="s">
        <v>196</v>
      </c>
      <c r="P217" s="32" t="s">
        <v>1837</v>
      </c>
      <c r="Q217" s="38" t="s">
        <v>2434</v>
      </c>
      <c r="R217" s="48">
        <v>43487.0</v>
      </c>
      <c r="S217" s="32" t="s">
        <v>116</v>
      </c>
      <c r="T217" s="56" t="s">
        <v>248</v>
      </c>
      <c r="U217" s="56" t="s">
        <v>2435</v>
      </c>
      <c r="V217" s="34" t="s">
        <v>80</v>
      </c>
      <c r="W217" s="32" t="s">
        <v>201</v>
      </c>
      <c r="X217" s="32" t="s">
        <v>202</v>
      </c>
      <c r="Y217" s="45" t="s">
        <v>203</v>
      </c>
      <c r="Z217" s="32" t="s">
        <v>112</v>
      </c>
      <c r="AA217" s="32"/>
      <c r="AB217" s="32" t="s">
        <v>113</v>
      </c>
      <c r="AC217" s="60"/>
      <c r="AD217" s="192"/>
      <c r="AE217" s="38"/>
      <c r="AF217" s="34" t="s">
        <v>80</v>
      </c>
      <c r="AG217" s="56" t="s">
        <v>206</v>
      </c>
      <c r="AH217" s="41"/>
      <c r="AI217" s="41"/>
      <c r="AJ217" s="41"/>
      <c r="AK217" s="58">
        <v>42212.0</v>
      </c>
      <c r="AL217" s="56" t="s">
        <v>208</v>
      </c>
    </row>
    <row r="218" ht="22.5" customHeight="1">
      <c r="A218" s="27" t="s">
        <v>2436</v>
      </c>
      <c r="B218" s="63" t="s">
        <v>284</v>
      </c>
      <c r="C218" s="32" t="s">
        <v>285</v>
      </c>
      <c r="D218" s="41" t="s">
        <v>91</v>
      </c>
      <c r="E218" s="103" t="s">
        <v>286</v>
      </c>
      <c r="F218" s="41" t="s">
        <v>93</v>
      </c>
      <c r="G218" s="34" t="s">
        <v>168</v>
      </c>
      <c r="H218" s="36">
        <v>42355.0</v>
      </c>
      <c r="I218" s="36">
        <v>42355.0</v>
      </c>
      <c r="J218" s="36"/>
      <c r="K218" s="32" t="s">
        <v>86</v>
      </c>
      <c r="L218" s="41" t="s">
        <v>115</v>
      </c>
      <c r="M218" s="63" t="s">
        <v>218</v>
      </c>
      <c r="N218" s="32" t="s">
        <v>89</v>
      </c>
      <c r="O218" s="38" t="s">
        <v>220</v>
      </c>
      <c r="P218" s="38"/>
      <c r="Q218" s="38" t="s">
        <v>1478</v>
      </c>
      <c r="R218" s="36">
        <v>42538.0</v>
      </c>
      <c r="S218" s="32" t="s">
        <v>116</v>
      </c>
      <c r="T218" s="45" t="s">
        <v>323</v>
      </c>
      <c r="U218" s="56" t="s">
        <v>2437</v>
      </c>
      <c r="V218" s="34" t="s">
        <v>80</v>
      </c>
      <c r="W218" s="60" t="s">
        <v>344</v>
      </c>
      <c r="X218" s="60" t="s">
        <v>1605</v>
      </c>
      <c r="Y218" s="109" t="s">
        <v>358</v>
      </c>
      <c r="Z218" s="32" t="s">
        <v>112</v>
      </c>
      <c r="AA218" s="38"/>
      <c r="AB218" s="32" t="s">
        <v>113</v>
      </c>
      <c r="AC218" s="60"/>
      <c r="AD218" s="74"/>
      <c r="AE218" s="32"/>
      <c r="AF218" s="34" t="s">
        <v>74</v>
      </c>
      <c r="AG218" s="63"/>
      <c r="AH218" s="41"/>
      <c r="AI218" s="41"/>
      <c r="AJ218" s="41"/>
      <c r="AK218" s="58">
        <v>41080.0</v>
      </c>
      <c r="AL218" s="56" t="s">
        <v>232</v>
      </c>
    </row>
    <row r="219" ht="22.5" customHeight="1">
      <c r="A219" s="27" t="s">
        <v>2438</v>
      </c>
      <c r="B219" s="63" t="s">
        <v>411</v>
      </c>
      <c r="C219" s="32" t="s">
        <v>413</v>
      </c>
      <c r="D219" s="39" t="s">
        <v>91</v>
      </c>
      <c r="E219" s="38" t="s">
        <v>416</v>
      </c>
      <c r="F219" s="41" t="s">
        <v>93</v>
      </c>
      <c r="G219" s="34" t="s">
        <v>168</v>
      </c>
      <c r="H219" s="36">
        <v>42355.0</v>
      </c>
      <c r="I219" s="36">
        <v>42355.0</v>
      </c>
      <c r="J219" s="36"/>
      <c r="K219" s="32" t="s">
        <v>86</v>
      </c>
      <c r="L219" s="41" t="s">
        <v>115</v>
      </c>
      <c r="M219" s="42" t="s">
        <v>313</v>
      </c>
      <c r="N219" s="32" t="s">
        <v>89</v>
      </c>
      <c r="O219" s="38" t="s">
        <v>220</v>
      </c>
      <c r="P219" s="38"/>
      <c r="Q219" s="38" t="s">
        <v>1478</v>
      </c>
      <c r="R219" s="36">
        <v>42538.0</v>
      </c>
      <c r="S219" s="32" t="s">
        <v>116</v>
      </c>
      <c r="T219" s="45" t="s">
        <v>436</v>
      </c>
      <c r="U219" s="56" t="s">
        <v>2439</v>
      </c>
      <c r="V219" s="34" t="s">
        <v>80</v>
      </c>
      <c r="W219" s="60" t="s">
        <v>444</v>
      </c>
      <c r="X219" s="32" t="s">
        <v>445</v>
      </c>
      <c r="Y219" s="109" t="s">
        <v>446</v>
      </c>
      <c r="Z219" s="32" t="s">
        <v>112</v>
      </c>
      <c r="AA219" s="38"/>
      <c r="AB219" s="32" t="s">
        <v>113</v>
      </c>
      <c r="AC219" s="60"/>
      <c r="AD219" s="74"/>
      <c r="AE219" s="32" t="s">
        <v>2440</v>
      </c>
      <c r="AF219" s="34" t="s">
        <v>74</v>
      </c>
      <c r="AG219" s="56" t="s">
        <v>454</v>
      </c>
      <c r="AH219" s="41"/>
      <c r="AI219" s="41"/>
      <c r="AJ219" s="41"/>
      <c r="AK219" s="58">
        <v>42212.0</v>
      </c>
      <c r="AL219" s="56" t="s">
        <v>232</v>
      </c>
    </row>
    <row r="220" ht="22.5" customHeight="1">
      <c r="A220" s="27" t="s">
        <v>2441</v>
      </c>
      <c r="B220" s="63" t="s">
        <v>951</v>
      </c>
      <c r="C220" s="149" t="s">
        <v>952</v>
      </c>
      <c r="D220" s="41" t="s">
        <v>75</v>
      </c>
      <c r="E220" s="149" t="s">
        <v>953</v>
      </c>
      <c r="F220" s="41" t="s">
        <v>140</v>
      </c>
      <c r="G220" s="34" t="s">
        <v>85</v>
      </c>
      <c r="H220" s="36">
        <v>42373.0</v>
      </c>
      <c r="I220" s="36">
        <v>42373.0</v>
      </c>
      <c r="J220" s="36"/>
      <c r="K220" s="32" t="s">
        <v>70</v>
      </c>
      <c r="L220" s="41" t="s">
        <v>115</v>
      </c>
      <c r="M220" s="63" t="s">
        <v>88</v>
      </c>
      <c r="N220" s="32" t="s">
        <v>89</v>
      </c>
      <c r="O220" s="38" t="s">
        <v>196</v>
      </c>
      <c r="P220" s="38"/>
      <c r="Q220" s="38" t="s">
        <v>1396</v>
      </c>
      <c r="R220" s="36">
        <v>43469.0</v>
      </c>
      <c r="S220" s="38" t="s">
        <v>196</v>
      </c>
      <c r="T220" s="45" t="s">
        <v>957</v>
      </c>
      <c r="U220" s="56" t="s">
        <v>2442</v>
      </c>
      <c r="V220" s="34" t="s">
        <v>80</v>
      </c>
      <c r="W220" s="149" t="s">
        <v>959</v>
      </c>
      <c r="X220" s="149" t="s">
        <v>960</v>
      </c>
      <c r="Y220" s="198" t="s">
        <v>961</v>
      </c>
      <c r="Z220" s="32" t="s">
        <v>112</v>
      </c>
      <c r="AA220" s="32"/>
      <c r="AB220" s="149" t="s">
        <v>481</v>
      </c>
      <c r="AC220" s="68" t="s">
        <v>2443</v>
      </c>
      <c r="AD220" s="66">
        <v>42402.0</v>
      </c>
      <c r="AE220" s="38"/>
      <c r="AF220" s="34" t="s">
        <v>80</v>
      </c>
      <c r="AG220" s="56" t="s">
        <v>964</v>
      </c>
      <c r="AH220" s="41"/>
      <c r="AI220" s="41"/>
      <c r="AJ220" s="41"/>
      <c r="AK220" s="132">
        <v>42117.0</v>
      </c>
      <c r="AL220" s="56" t="s">
        <v>208</v>
      </c>
    </row>
    <row r="221" ht="22.5" customHeight="1">
      <c r="A221" s="27" t="s">
        <v>2444</v>
      </c>
      <c r="B221" s="60" t="s">
        <v>2445</v>
      </c>
      <c r="C221" s="149" t="s">
        <v>2446</v>
      </c>
      <c r="D221" s="39" t="s">
        <v>91</v>
      </c>
      <c r="E221" s="103" t="s">
        <v>2447</v>
      </c>
      <c r="F221" s="41" t="s">
        <v>93</v>
      </c>
      <c r="G221" s="34" t="s">
        <v>85</v>
      </c>
      <c r="H221" s="48">
        <v>42377.0</v>
      </c>
      <c r="I221" s="36">
        <v>42352.0</v>
      </c>
      <c r="J221" s="48">
        <v>42377.0</v>
      </c>
      <c r="K221" s="32" t="s">
        <v>70</v>
      </c>
      <c r="L221" s="41" t="s">
        <v>115</v>
      </c>
      <c r="M221" s="63" t="s">
        <v>218</v>
      </c>
      <c r="N221" s="32" t="s">
        <v>89</v>
      </c>
      <c r="O221" s="32" t="s">
        <v>116</v>
      </c>
      <c r="P221" s="38"/>
      <c r="Q221" s="32" t="s">
        <v>117</v>
      </c>
      <c r="R221" s="48"/>
      <c r="S221" s="32" t="s">
        <v>116</v>
      </c>
      <c r="T221" s="56" t="s">
        <v>2448</v>
      </c>
      <c r="U221" s="109" t="s">
        <v>2449</v>
      </c>
      <c r="V221" s="34" t="s">
        <v>80</v>
      </c>
      <c r="W221" s="149" t="s">
        <v>2450</v>
      </c>
      <c r="X221" s="198" t="s">
        <v>2451</v>
      </c>
      <c r="Y221" s="152" t="s">
        <v>2452</v>
      </c>
      <c r="Z221" s="32" t="s">
        <v>112</v>
      </c>
      <c r="AA221" s="38"/>
      <c r="AB221" s="149" t="s">
        <v>481</v>
      </c>
      <c r="AC221" s="68" t="s">
        <v>2453</v>
      </c>
      <c r="AD221" s="66">
        <v>42377.0</v>
      </c>
      <c r="AE221" s="63" t="s">
        <v>2454</v>
      </c>
      <c r="AF221" s="34" t="s">
        <v>80</v>
      </c>
      <c r="AG221" s="56" t="s">
        <v>2455</v>
      </c>
      <c r="AH221" s="41"/>
      <c r="AI221" s="41"/>
      <c r="AJ221" s="265"/>
      <c r="AK221" s="58">
        <v>41828.0</v>
      </c>
      <c r="AL221" s="63"/>
    </row>
    <row r="222" ht="22.5" customHeight="1">
      <c r="A222" s="27" t="s">
        <v>2456</v>
      </c>
      <c r="B222" s="63" t="s">
        <v>1765</v>
      </c>
      <c r="C222" s="32" t="s">
        <v>1766</v>
      </c>
      <c r="D222" s="34" t="s">
        <v>845</v>
      </c>
      <c r="E222" s="38" t="s">
        <v>1768</v>
      </c>
      <c r="F222" s="41" t="s">
        <v>140</v>
      </c>
      <c r="G222" s="34" t="s">
        <v>168</v>
      </c>
      <c r="H222" s="36">
        <v>42290.0</v>
      </c>
      <c r="I222" s="36">
        <v>42290.0</v>
      </c>
      <c r="J222" s="36">
        <v>42290.0</v>
      </c>
      <c r="K222" s="32" t="s">
        <v>70</v>
      </c>
      <c r="L222" s="41" t="s">
        <v>115</v>
      </c>
      <c r="M222" s="42" t="s">
        <v>88</v>
      </c>
      <c r="N222" s="32" t="s">
        <v>89</v>
      </c>
      <c r="O222" s="38" t="s">
        <v>1908</v>
      </c>
      <c r="P222" s="38"/>
      <c r="Q222" s="38" t="s">
        <v>2457</v>
      </c>
      <c r="R222" s="48">
        <v>43386.0</v>
      </c>
      <c r="S222" s="38" t="s">
        <v>954</v>
      </c>
      <c r="T222" s="45" t="s">
        <v>1769</v>
      </c>
      <c r="U222" s="45" t="s">
        <v>2458</v>
      </c>
      <c r="V222" s="34" t="s">
        <v>80</v>
      </c>
      <c r="W222" s="60" t="s">
        <v>1772</v>
      </c>
      <c r="X222" s="60" t="s">
        <v>1773</v>
      </c>
      <c r="Y222" s="109" t="s">
        <v>1774</v>
      </c>
      <c r="Z222" s="32" t="s">
        <v>112</v>
      </c>
      <c r="AA222" s="47"/>
      <c r="AB222" s="32" t="s">
        <v>113</v>
      </c>
      <c r="AC222" s="60"/>
      <c r="AD222" s="74"/>
      <c r="AE222" s="38"/>
      <c r="AF222" s="34" t="s">
        <v>80</v>
      </c>
      <c r="AG222" s="56" t="s">
        <v>1775</v>
      </c>
      <c r="AH222" s="41"/>
      <c r="AI222" s="41"/>
      <c r="AJ222" s="41"/>
      <c r="AK222" s="132">
        <v>42018.0</v>
      </c>
      <c r="AL222" s="56" t="s">
        <v>2432</v>
      </c>
    </row>
    <row r="223" ht="22.5" customHeight="1">
      <c r="A223" s="27" t="s">
        <v>2459</v>
      </c>
      <c r="B223" s="149" t="s">
        <v>1374</v>
      </c>
      <c r="C223" s="149" t="s">
        <v>1375</v>
      </c>
      <c r="D223" s="39" t="s">
        <v>91</v>
      </c>
      <c r="E223" s="103" t="s">
        <v>1376</v>
      </c>
      <c r="F223" s="41" t="s">
        <v>93</v>
      </c>
      <c r="G223" s="34" t="s">
        <v>85</v>
      </c>
      <c r="H223" s="48">
        <v>42377.0</v>
      </c>
      <c r="I223" s="36">
        <v>42346.0</v>
      </c>
      <c r="J223" s="48">
        <v>42377.0</v>
      </c>
      <c r="K223" s="32" t="s">
        <v>70</v>
      </c>
      <c r="L223" s="41" t="s">
        <v>115</v>
      </c>
      <c r="M223" s="63" t="s">
        <v>218</v>
      </c>
      <c r="N223" s="32" t="s">
        <v>89</v>
      </c>
      <c r="O223" s="32" t="s">
        <v>116</v>
      </c>
      <c r="P223" s="38"/>
      <c r="Q223" s="32" t="s">
        <v>117</v>
      </c>
      <c r="R223" s="36"/>
      <c r="S223" s="32" t="s">
        <v>116</v>
      </c>
      <c r="T223" s="56" t="s">
        <v>1378</v>
      </c>
      <c r="U223" s="109" t="s">
        <v>2460</v>
      </c>
      <c r="V223" s="34" t="s">
        <v>80</v>
      </c>
      <c r="W223" s="172" t="s">
        <v>1380</v>
      </c>
      <c r="X223" s="198" t="s">
        <v>1381</v>
      </c>
      <c r="Y223" s="152" t="s">
        <v>1382</v>
      </c>
      <c r="Z223" s="32" t="s">
        <v>112</v>
      </c>
      <c r="AA223" s="38"/>
      <c r="AB223" s="32" t="s">
        <v>113</v>
      </c>
      <c r="AC223" s="60" t="s">
        <v>2461</v>
      </c>
      <c r="AD223" s="66">
        <v>42377.0</v>
      </c>
      <c r="AE223" s="38"/>
      <c r="AF223" s="34" t="s">
        <v>80</v>
      </c>
      <c r="AG223" s="56" t="s">
        <v>1384</v>
      </c>
      <c r="AH223" s="41"/>
      <c r="AI223" s="41"/>
      <c r="AJ223" s="41"/>
      <c r="AK223" s="58">
        <v>41869.0</v>
      </c>
      <c r="AL223" s="63"/>
    </row>
    <row r="224" ht="22.5" customHeight="1">
      <c r="A224" s="27" t="s">
        <v>2462</v>
      </c>
      <c r="B224" s="149" t="s">
        <v>355</v>
      </c>
      <c r="C224" s="32" t="s">
        <v>1345</v>
      </c>
      <c r="D224" s="34" t="s">
        <v>75</v>
      </c>
      <c r="E224" s="38" t="s">
        <v>1346</v>
      </c>
      <c r="F224" s="41" t="s">
        <v>140</v>
      </c>
      <c r="G224" s="34" t="s">
        <v>85</v>
      </c>
      <c r="H224" s="48">
        <v>42367.0</v>
      </c>
      <c r="I224" s="36">
        <v>42366.0</v>
      </c>
      <c r="J224" s="48">
        <v>42367.0</v>
      </c>
      <c r="K224" s="32" t="s">
        <v>86</v>
      </c>
      <c r="L224" s="41" t="s">
        <v>115</v>
      </c>
      <c r="M224" s="42" t="s">
        <v>313</v>
      </c>
      <c r="N224" s="32" t="s">
        <v>89</v>
      </c>
      <c r="O224" s="38" t="s">
        <v>402</v>
      </c>
      <c r="P224" s="38"/>
      <c r="Q224" s="38" t="s">
        <v>2324</v>
      </c>
      <c r="R224" s="36">
        <v>42640.0</v>
      </c>
      <c r="S224" s="32" t="s">
        <v>402</v>
      </c>
      <c r="T224" s="56" t="s">
        <v>1349</v>
      </c>
      <c r="U224" s="56" t="s">
        <v>2463</v>
      </c>
      <c r="V224" s="34" t="s">
        <v>80</v>
      </c>
      <c r="W224" s="32" t="s">
        <v>1351</v>
      </c>
      <c r="X224" s="149" t="s">
        <v>1352</v>
      </c>
      <c r="Y224" s="152" t="s">
        <v>1353</v>
      </c>
      <c r="Z224" s="32" t="s">
        <v>112</v>
      </c>
      <c r="AA224" s="38"/>
      <c r="AB224" s="32" t="s">
        <v>113</v>
      </c>
      <c r="AC224" s="68"/>
      <c r="AD224" s="66">
        <v>42391.0</v>
      </c>
      <c r="AE224" s="32" t="s">
        <v>2464</v>
      </c>
      <c r="AF224" s="34" t="s">
        <v>80</v>
      </c>
      <c r="AG224" s="56" t="s">
        <v>1355</v>
      </c>
      <c r="AH224" s="41"/>
      <c r="AI224" s="41"/>
      <c r="AJ224" s="41"/>
      <c r="AK224" s="58">
        <v>41770.0</v>
      </c>
      <c r="AL224" s="56" t="s">
        <v>1033</v>
      </c>
    </row>
    <row r="225" ht="22.5" customHeight="1">
      <c r="A225" s="27" t="s">
        <v>2465</v>
      </c>
      <c r="B225" s="63" t="s">
        <v>1251</v>
      </c>
      <c r="C225" s="32" t="s">
        <v>1832</v>
      </c>
      <c r="D225" s="41" t="s">
        <v>75</v>
      </c>
      <c r="E225" s="103" t="s">
        <v>1833</v>
      </c>
      <c r="F225" s="41" t="s">
        <v>93</v>
      </c>
      <c r="G225" s="34" t="s">
        <v>168</v>
      </c>
      <c r="H225" s="36">
        <v>42430.0</v>
      </c>
      <c r="I225" s="36">
        <v>42430.0</v>
      </c>
      <c r="J225" s="36"/>
      <c r="K225" s="32" t="s">
        <v>70</v>
      </c>
      <c r="L225" s="41" t="s">
        <v>115</v>
      </c>
      <c r="M225" s="103" t="s">
        <v>88</v>
      </c>
      <c r="N225" s="32" t="s">
        <v>89</v>
      </c>
      <c r="O225" s="38" t="s">
        <v>1843</v>
      </c>
      <c r="P225" s="38"/>
      <c r="Q225" s="38" t="s">
        <v>2466</v>
      </c>
      <c r="R225" s="48">
        <v>43525.0</v>
      </c>
      <c r="S225" s="32" t="s">
        <v>116</v>
      </c>
      <c r="T225" s="45" t="s">
        <v>1835</v>
      </c>
      <c r="U225" s="56" t="s">
        <v>2467</v>
      </c>
      <c r="V225" s="34" t="s">
        <v>80</v>
      </c>
      <c r="W225" s="60" t="s">
        <v>1838</v>
      </c>
      <c r="X225" s="60" t="s">
        <v>1839</v>
      </c>
      <c r="Y225" s="109" t="s">
        <v>1841</v>
      </c>
      <c r="Z225" s="32" t="s">
        <v>112</v>
      </c>
      <c r="AA225" s="32"/>
      <c r="AB225" s="123" t="s">
        <v>113</v>
      </c>
      <c r="AC225" s="60"/>
      <c r="AD225" s="74"/>
      <c r="AE225" s="38"/>
      <c r="AF225" s="34" t="s">
        <v>80</v>
      </c>
      <c r="AG225" s="56" t="s">
        <v>1845</v>
      </c>
      <c r="AH225" s="41"/>
      <c r="AI225" s="41"/>
      <c r="AJ225" s="41"/>
      <c r="AK225" s="58">
        <v>41340.0</v>
      </c>
      <c r="AL225" s="56" t="s">
        <v>2468</v>
      </c>
    </row>
    <row r="226" ht="22.5" customHeight="1">
      <c r="A226" s="27" t="s">
        <v>2469</v>
      </c>
      <c r="B226" s="63" t="s">
        <v>1251</v>
      </c>
      <c r="C226" s="32" t="s">
        <v>1252</v>
      </c>
      <c r="D226" s="41" t="s">
        <v>91</v>
      </c>
      <c r="E226" s="38" t="s">
        <v>1253</v>
      </c>
      <c r="F226" s="41" t="s">
        <v>93</v>
      </c>
      <c r="G226" s="34" t="s">
        <v>168</v>
      </c>
      <c r="H226" s="36">
        <v>42341.0</v>
      </c>
      <c r="I226" s="36">
        <v>42341.0</v>
      </c>
      <c r="J226" s="36"/>
      <c r="K226" s="32" t="s">
        <v>86</v>
      </c>
      <c r="L226" s="41" t="s">
        <v>115</v>
      </c>
      <c r="M226" s="63" t="s">
        <v>218</v>
      </c>
      <c r="N226" s="32" t="s">
        <v>89</v>
      </c>
      <c r="O226" s="38" t="s">
        <v>220</v>
      </c>
      <c r="P226" s="38"/>
      <c r="Q226" s="38" t="s">
        <v>1478</v>
      </c>
      <c r="R226" s="36">
        <v>42524.0</v>
      </c>
      <c r="S226" s="32" t="s">
        <v>116</v>
      </c>
      <c r="T226" s="45" t="s">
        <v>1256</v>
      </c>
      <c r="U226" s="109" t="s">
        <v>1271</v>
      </c>
      <c r="V226" s="34" t="s">
        <v>80</v>
      </c>
      <c r="W226" s="60" t="s">
        <v>1261</v>
      </c>
      <c r="X226" s="32" t="s">
        <v>1262</v>
      </c>
      <c r="Y226" s="109" t="s">
        <v>1263</v>
      </c>
      <c r="Z226" s="32" t="s">
        <v>112</v>
      </c>
      <c r="AA226" s="47"/>
      <c r="AB226" s="32" t="s">
        <v>113</v>
      </c>
      <c r="AC226" s="60"/>
      <c r="AD226" s="74"/>
      <c r="AE226" s="32" t="s">
        <v>2470</v>
      </c>
      <c r="AF226" s="34" t="s">
        <v>74</v>
      </c>
      <c r="AG226" s="56" t="s">
        <v>1269</v>
      </c>
      <c r="AH226" s="41"/>
      <c r="AI226" s="41"/>
      <c r="AJ226" s="41"/>
      <c r="AK226" s="58">
        <v>41162.0</v>
      </c>
      <c r="AL226" s="56" t="s">
        <v>232</v>
      </c>
    </row>
    <row r="227" ht="22.5" customHeight="1">
      <c r="A227" s="27" t="s">
        <v>2471</v>
      </c>
      <c r="B227" s="149" t="s">
        <v>2472</v>
      </c>
      <c r="C227" s="149" t="s">
        <v>2473</v>
      </c>
      <c r="D227" s="41" t="s">
        <v>75</v>
      </c>
      <c r="E227" s="103" t="s">
        <v>2474</v>
      </c>
      <c r="F227" s="41" t="s">
        <v>140</v>
      </c>
      <c r="G227" s="34" t="s">
        <v>85</v>
      </c>
      <c r="H227" s="36">
        <v>42278.0</v>
      </c>
      <c r="I227" s="36"/>
      <c r="J227" s="36">
        <v>42278.0</v>
      </c>
      <c r="K227" s="32" t="s">
        <v>86</v>
      </c>
      <c r="L227" s="34" t="s">
        <v>141</v>
      </c>
      <c r="M227" s="42" t="s">
        <v>88</v>
      </c>
      <c r="N227" s="32" t="s">
        <v>89</v>
      </c>
      <c r="O227" s="38" t="s">
        <v>1520</v>
      </c>
      <c r="P227" s="38"/>
      <c r="Q227" s="38" t="s">
        <v>2475</v>
      </c>
      <c r="R227" s="48">
        <v>42481.0</v>
      </c>
      <c r="S227" s="38" t="s">
        <v>1520</v>
      </c>
      <c r="T227" s="56" t="s">
        <v>2476</v>
      </c>
      <c r="U227" s="56" t="s">
        <v>2477</v>
      </c>
      <c r="V227" s="34" t="s">
        <v>80</v>
      </c>
      <c r="W227" s="149" t="s">
        <v>2478</v>
      </c>
      <c r="X227" s="149" t="s">
        <v>2479</v>
      </c>
      <c r="Y227" s="152" t="s">
        <v>2480</v>
      </c>
      <c r="Z227" s="32" t="s">
        <v>112</v>
      </c>
      <c r="AA227" s="38"/>
      <c r="AB227" s="149" t="s">
        <v>702</v>
      </c>
      <c r="AC227" s="260" t="s">
        <v>2481</v>
      </c>
      <c r="AD227" s="66"/>
      <c r="AE227" s="32" t="s">
        <v>2482</v>
      </c>
      <c r="AF227" s="34" t="s">
        <v>74</v>
      </c>
      <c r="AG227" s="56" t="s">
        <v>2483</v>
      </c>
      <c r="AH227" s="41"/>
      <c r="AI227" s="41"/>
      <c r="AJ227" s="41"/>
      <c r="AK227" s="58">
        <v>42250.0</v>
      </c>
      <c r="AL227" s="56" t="s">
        <v>1530</v>
      </c>
    </row>
    <row r="228" ht="22.5" customHeight="1">
      <c r="A228" s="27" t="s">
        <v>2484</v>
      </c>
      <c r="B228" s="63" t="s">
        <v>888</v>
      </c>
      <c r="C228" s="32" t="s">
        <v>889</v>
      </c>
      <c r="D228" s="34" t="s">
        <v>752</v>
      </c>
      <c r="E228" s="38" t="s">
        <v>892</v>
      </c>
      <c r="F228" s="41" t="s">
        <v>93</v>
      </c>
      <c r="G228" s="34" t="s">
        <v>168</v>
      </c>
      <c r="H228" s="36">
        <v>42395.0</v>
      </c>
      <c r="I228" s="36">
        <v>42395.0</v>
      </c>
      <c r="J228" s="36">
        <v>42395.0</v>
      </c>
      <c r="K228" s="32" t="s">
        <v>70</v>
      </c>
      <c r="L228" s="41" t="s">
        <v>115</v>
      </c>
      <c r="M228" s="42" t="s">
        <v>88</v>
      </c>
      <c r="N228" s="32" t="s">
        <v>89</v>
      </c>
      <c r="O228" s="38" t="s">
        <v>1513</v>
      </c>
      <c r="P228" s="38"/>
      <c r="Q228" s="38" t="s">
        <v>2485</v>
      </c>
      <c r="R228" s="48">
        <v>43491.0</v>
      </c>
      <c r="S228" s="32" t="s">
        <v>116</v>
      </c>
      <c r="T228" s="56" t="s">
        <v>1950</v>
      </c>
      <c r="U228" s="56" t="s">
        <v>2486</v>
      </c>
      <c r="V228" s="34" t="s">
        <v>74</v>
      </c>
      <c r="W228" s="60" t="s">
        <v>1934</v>
      </c>
      <c r="X228" s="109" t="s">
        <v>1935</v>
      </c>
      <c r="Y228" s="109" t="s">
        <v>899</v>
      </c>
      <c r="Z228" s="32" t="s">
        <v>112</v>
      </c>
      <c r="AA228" s="38"/>
      <c r="AB228" s="149" t="s">
        <v>481</v>
      </c>
      <c r="AC228" s="68"/>
      <c r="AD228" s="74"/>
      <c r="AE228" s="38"/>
      <c r="AF228" s="34" t="s">
        <v>80</v>
      </c>
      <c r="AG228" s="56" t="s">
        <v>900</v>
      </c>
      <c r="AH228" s="41"/>
      <c r="AI228" s="41"/>
      <c r="AJ228" s="41"/>
      <c r="AK228" s="41"/>
      <c r="AL228" s="56" t="s">
        <v>2423</v>
      </c>
    </row>
    <row r="229" ht="22.5" customHeight="1">
      <c r="A229" s="27" t="s">
        <v>2487</v>
      </c>
      <c r="B229" s="63" t="s">
        <v>888</v>
      </c>
      <c r="C229" s="32" t="s">
        <v>1956</v>
      </c>
      <c r="D229" s="41" t="s">
        <v>75</v>
      </c>
      <c r="E229" s="38" t="s">
        <v>1957</v>
      </c>
      <c r="F229" s="34" t="s">
        <v>93</v>
      </c>
      <c r="G229" s="34" t="s">
        <v>168</v>
      </c>
      <c r="H229" s="48">
        <v>42360.0</v>
      </c>
      <c r="I229" s="48">
        <v>42360.0</v>
      </c>
      <c r="J229" s="36"/>
      <c r="K229" s="32" t="s">
        <v>70</v>
      </c>
      <c r="L229" s="41" t="s">
        <v>115</v>
      </c>
      <c r="M229" s="63" t="s">
        <v>218</v>
      </c>
      <c r="N229" s="32" t="s">
        <v>434</v>
      </c>
      <c r="O229" s="38" t="s">
        <v>196</v>
      </c>
      <c r="P229" s="38"/>
      <c r="Q229" s="38" t="s">
        <v>1396</v>
      </c>
      <c r="R229" s="36">
        <v>43456.0</v>
      </c>
      <c r="S229" s="32" t="s">
        <v>116</v>
      </c>
      <c r="T229" s="45" t="s">
        <v>1959</v>
      </c>
      <c r="U229" s="56" t="s">
        <v>2488</v>
      </c>
      <c r="V229" s="34" t="s">
        <v>80</v>
      </c>
      <c r="W229" s="60" t="s">
        <v>1961</v>
      </c>
      <c r="X229" s="198" t="s">
        <v>1962</v>
      </c>
      <c r="Y229" s="109" t="s">
        <v>1963</v>
      </c>
      <c r="Z229" s="32" t="s">
        <v>112</v>
      </c>
      <c r="AA229" s="32"/>
      <c r="AB229" s="32" t="s">
        <v>113</v>
      </c>
      <c r="AC229" s="68"/>
      <c r="AD229" s="261"/>
      <c r="AE229" s="32" t="s">
        <v>2489</v>
      </c>
      <c r="AF229" s="34" t="s">
        <v>80</v>
      </c>
      <c r="AG229" s="56" t="s">
        <v>900</v>
      </c>
      <c r="AH229" s="41"/>
      <c r="AI229" s="41"/>
      <c r="AJ229" s="41"/>
      <c r="AK229" s="155">
        <v>42138.0</v>
      </c>
      <c r="AL229" s="56" t="s">
        <v>208</v>
      </c>
    </row>
    <row r="230" ht="22.5" customHeight="1">
      <c r="A230" s="27" t="s">
        <v>2490</v>
      </c>
      <c r="B230" s="149" t="s">
        <v>888</v>
      </c>
      <c r="C230" s="149" t="s">
        <v>2491</v>
      </c>
      <c r="D230" s="41" t="s">
        <v>75</v>
      </c>
      <c r="E230" s="42" t="s">
        <v>2492</v>
      </c>
      <c r="F230" s="41" t="s">
        <v>140</v>
      </c>
      <c r="G230" s="34" t="s">
        <v>85</v>
      </c>
      <c r="H230" s="48">
        <v>42440.0</v>
      </c>
      <c r="I230" s="36"/>
      <c r="J230" s="48">
        <v>42440.0</v>
      </c>
      <c r="K230" s="32" t="s">
        <v>86</v>
      </c>
      <c r="L230" s="34" t="s">
        <v>115</v>
      </c>
      <c r="M230" s="42" t="s">
        <v>88</v>
      </c>
      <c r="N230" s="32" t="s">
        <v>89</v>
      </c>
      <c r="O230" s="38" t="s">
        <v>954</v>
      </c>
      <c r="P230" s="38"/>
      <c r="Q230" s="38" t="s">
        <v>2493</v>
      </c>
      <c r="R230" s="48">
        <v>43535.0</v>
      </c>
      <c r="S230" s="38" t="s">
        <v>954</v>
      </c>
      <c r="T230" s="56" t="s">
        <v>2494</v>
      </c>
      <c r="U230" s="56" t="s">
        <v>2495</v>
      </c>
      <c r="V230" s="34" t="s">
        <v>80</v>
      </c>
      <c r="W230" s="149" t="s">
        <v>2496</v>
      </c>
      <c r="X230" s="32" t="s">
        <v>2497</v>
      </c>
      <c r="Y230" s="32" t="s">
        <v>561</v>
      </c>
      <c r="Z230" s="32" t="s">
        <v>112</v>
      </c>
      <c r="AA230" s="38"/>
      <c r="AB230" s="123" t="s">
        <v>113</v>
      </c>
      <c r="AC230" s="255" t="s">
        <v>2498</v>
      </c>
      <c r="AD230" s="66">
        <v>42551.0</v>
      </c>
      <c r="AE230" s="32" t="s">
        <v>2499</v>
      </c>
      <c r="AF230" s="34" t="s">
        <v>74</v>
      </c>
      <c r="AG230" s="56" t="s">
        <v>900</v>
      </c>
      <c r="AH230" s="41"/>
      <c r="AI230" s="41"/>
      <c r="AJ230" s="41"/>
      <c r="AK230" s="155">
        <v>42431.0</v>
      </c>
      <c r="AL230" s="56" t="s">
        <v>965</v>
      </c>
    </row>
    <row r="231" ht="22.5" customHeight="1">
      <c r="A231" s="27" t="s">
        <v>2500</v>
      </c>
      <c r="B231" s="32" t="s">
        <v>2501</v>
      </c>
      <c r="C231" s="32" t="s">
        <v>2502</v>
      </c>
      <c r="D231" s="34" t="s">
        <v>75</v>
      </c>
      <c r="E231" s="32" t="s">
        <v>2503</v>
      </c>
      <c r="F231" s="34" t="s">
        <v>140</v>
      </c>
      <c r="G231" s="34" t="s">
        <v>85</v>
      </c>
      <c r="H231" s="36">
        <v>42355.0</v>
      </c>
      <c r="I231" s="36">
        <v>42355.0</v>
      </c>
      <c r="J231" s="36"/>
      <c r="K231" s="32" t="s">
        <v>86</v>
      </c>
      <c r="L231" s="34" t="s">
        <v>115</v>
      </c>
      <c r="M231" s="32" t="s">
        <v>313</v>
      </c>
      <c r="N231" s="32" t="s">
        <v>89</v>
      </c>
      <c r="O231" s="38" t="s">
        <v>220</v>
      </c>
      <c r="P231" s="38"/>
      <c r="Q231" s="38" t="s">
        <v>1478</v>
      </c>
      <c r="R231" s="36">
        <v>42538.0</v>
      </c>
      <c r="S231" s="32" t="s">
        <v>220</v>
      </c>
      <c r="T231" s="56" t="s">
        <v>2504</v>
      </c>
      <c r="U231" s="56" t="s">
        <v>2505</v>
      </c>
      <c r="V231" s="34" t="s">
        <v>80</v>
      </c>
      <c r="W231" s="32" t="s">
        <v>2506</v>
      </c>
      <c r="X231" s="32" t="s">
        <v>2507</v>
      </c>
      <c r="Y231" s="45" t="s">
        <v>2508</v>
      </c>
      <c r="Z231" s="32" t="s">
        <v>112</v>
      </c>
      <c r="AA231" s="38"/>
      <c r="AB231" s="32" t="s">
        <v>113</v>
      </c>
      <c r="AC231" s="255"/>
      <c r="AD231" s="66"/>
      <c r="AE231" s="32" t="s">
        <v>2509</v>
      </c>
      <c r="AF231" s="34" t="s">
        <v>74</v>
      </c>
      <c r="AG231" s="56" t="s">
        <v>2510</v>
      </c>
      <c r="AH231" s="41"/>
      <c r="AI231" s="58"/>
      <c r="AJ231" s="41"/>
      <c r="AK231" s="58">
        <v>42485.0</v>
      </c>
      <c r="AL231" s="56" t="s">
        <v>232</v>
      </c>
    </row>
    <row r="232" ht="22.5" customHeight="1">
      <c r="A232" s="27" t="s">
        <v>2511</v>
      </c>
      <c r="B232" s="149" t="s">
        <v>2257</v>
      </c>
      <c r="C232" s="32" t="s">
        <v>2258</v>
      </c>
      <c r="D232" s="34" t="s">
        <v>584</v>
      </c>
      <c r="E232" s="103" t="s">
        <v>2259</v>
      </c>
      <c r="F232" s="41" t="s">
        <v>140</v>
      </c>
      <c r="G232" s="34" t="s">
        <v>85</v>
      </c>
      <c r="H232" s="36">
        <v>42297.0</v>
      </c>
      <c r="I232" s="48">
        <v>42269.0</v>
      </c>
      <c r="J232" s="36">
        <v>42297.0</v>
      </c>
      <c r="K232" s="32" t="s">
        <v>86</v>
      </c>
      <c r="L232" s="41" t="s">
        <v>115</v>
      </c>
      <c r="M232" s="32" t="s">
        <v>313</v>
      </c>
      <c r="N232" s="32" t="s">
        <v>89</v>
      </c>
      <c r="O232" s="38" t="s">
        <v>954</v>
      </c>
      <c r="P232" s="32" t="s">
        <v>2512</v>
      </c>
      <c r="Q232" s="32" t="s">
        <v>2513</v>
      </c>
      <c r="R232" s="36">
        <v>42643.0</v>
      </c>
      <c r="S232" s="38" t="s">
        <v>954</v>
      </c>
      <c r="T232" s="56" t="s">
        <v>2260</v>
      </c>
      <c r="U232" s="56" t="s">
        <v>2514</v>
      </c>
      <c r="V232" s="34" t="s">
        <v>80</v>
      </c>
      <c r="W232" s="149" t="s">
        <v>2261</v>
      </c>
      <c r="X232" s="152" t="s">
        <v>2515</v>
      </c>
      <c r="Y232" s="45" t="s">
        <v>2263</v>
      </c>
      <c r="Z232" s="32" t="s">
        <v>112</v>
      </c>
      <c r="AA232" s="38"/>
      <c r="AB232" s="32" t="s">
        <v>113</v>
      </c>
      <c r="AC232" s="60"/>
      <c r="AD232" s="66"/>
      <c r="AE232" s="32" t="s">
        <v>2516</v>
      </c>
      <c r="AF232" s="34" t="s">
        <v>74</v>
      </c>
      <c r="AG232" s="56" t="s">
        <v>2265</v>
      </c>
      <c r="AH232" s="41"/>
      <c r="AI232" s="41"/>
      <c r="AJ232" s="41"/>
      <c r="AK232" s="155">
        <v>41963.0</v>
      </c>
      <c r="AL232" s="56" t="s">
        <v>965</v>
      </c>
    </row>
    <row r="233" ht="22.5" customHeight="1">
      <c r="A233" s="27" t="s">
        <v>2517</v>
      </c>
      <c r="B233" s="63" t="s">
        <v>1321</v>
      </c>
      <c r="C233" s="32" t="s">
        <v>1322</v>
      </c>
      <c r="D233" s="34" t="s">
        <v>845</v>
      </c>
      <c r="E233" s="38" t="s">
        <v>1323</v>
      </c>
      <c r="F233" s="41" t="s">
        <v>140</v>
      </c>
      <c r="G233" s="34" t="s">
        <v>168</v>
      </c>
      <c r="H233" s="36">
        <v>42341.0</v>
      </c>
      <c r="I233" s="36">
        <v>42341.0</v>
      </c>
      <c r="J233" s="36"/>
      <c r="K233" s="32" t="s">
        <v>86</v>
      </c>
      <c r="L233" s="41" t="s">
        <v>115</v>
      </c>
      <c r="M233" s="42" t="s">
        <v>88</v>
      </c>
      <c r="N233" s="32" t="s">
        <v>89</v>
      </c>
      <c r="O233" s="38" t="s">
        <v>220</v>
      </c>
      <c r="P233" s="32"/>
      <c r="Q233" s="38" t="s">
        <v>1478</v>
      </c>
      <c r="R233" s="36">
        <v>42524.0</v>
      </c>
      <c r="S233" s="32" t="s">
        <v>196</v>
      </c>
      <c r="T233" s="45" t="s">
        <v>1324</v>
      </c>
      <c r="U233" s="109" t="s">
        <v>2518</v>
      </c>
      <c r="V233" s="34" t="s">
        <v>80</v>
      </c>
      <c r="W233" s="32" t="s">
        <v>561</v>
      </c>
      <c r="X233" s="32" t="s">
        <v>1326</v>
      </c>
      <c r="Y233" s="109" t="s">
        <v>1327</v>
      </c>
      <c r="Z233" s="32" t="s">
        <v>112</v>
      </c>
      <c r="AA233" s="38"/>
      <c r="AB233" s="32" t="s">
        <v>113</v>
      </c>
      <c r="AC233" s="60"/>
      <c r="AD233" s="74"/>
      <c r="AE233" s="38"/>
      <c r="AF233" s="34" t="s">
        <v>74</v>
      </c>
      <c r="AG233" s="56" t="s">
        <v>1329</v>
      </c>
      <c r="AH233" s="41"/>
      <c r="AI233" s="41"/>
      <c r="AJ233" s="41"/>
      <c r="AK233" s="58">
        <v>41619.0</v>
      </c>
      <c r="AL233" s="56" t="s">
        <v>232</v>
      </c>
    </row>
    <row r="234" ht="22.5" customHeight="1">
      <c r="A234" s="27" t="s">
        <v>2519</v>
      </c>
      <c r="B234" s="63" t="s">
        <v>987</v>
      </c>
      <c r="C234" s="32" t="s">
        <v>988</v>
      </c>
      <c r="D234" s="41" t="s">
        <v>75</v>
      </c>
      <c r="E234" s="63" t="s">
        <v>990</v>
      </c>
      <c r="F234" s="34" t="s">
        <v>93</v>
      </c>
      <c r="G234" s="34" t="s">
        <v>85</v>
      </c>
      <c r="H234" s="48">
        <v>42417.0</v>
      </c>
      <c r="I234" s="48">
        <v>42417.0</v>
      </c>
      <c r="J234" s="36"/>
      <c r="K234" s="32" t="s">
        <v>70</v>
      </c>
      <c r="L234" s="41" t="s">
        <v>115</v>
      </c>
      <c r="M234" s="63" t="s">
        <v>218</v>
      </c>
      <c r="N234" s="38" t="s">
        <v>89</v>
      </c>
      <c r="O234" s="32" t="s">
        <v>116</v>
      </c>
      <c r="P234" s="38"/>
      <c r="Q234" s="32" t="s">
        <v>117</v>
      </c>
      <c r="R234" s="36"/>
      <c r="S234" s="32" t="s">
        <v>116</v>
      </c>
      <c r="T234" s="203" t="s">
        <v>997</v>
      </c>
      <c r="U234" s="56" t="s">
        <v>2520</v>
      </c>
      <c r="V234" s="34" t="s">
        <v>80</v>
      </c>
      <c r="W234" s="63" t="s">
        <v>1001</v>
      </c>
      <c r="X234" s="63" t="s">
        <v>1002</v>
      </c>
      <c r="Y234" s="56" t="s">
        <v>1003</v>
      </c>
      <c r="Z234" s="32" t="s">
        <v>112</v>
      </c>
      <c r="AA234" s="32"/>
      <c r="AB234" s="32" t="s">
        <v>113</v>
      </c>
      <c r="AC234" s="60" t="s">
        <v>2521</v>
      </c>
      <c r="AD234" s="66">
        <v>42417.0</v>
      </c>
      <c r="AE234" s="38"/>
      <c r="AF234" s="34" t="s">
        <v>80</v>
      </c>
      <c r="AG234" s="56" t="s">
        <v>1005</v>
      </c>
      <c r="AH234" s="41"/>
      <c r="AI234" s="41"/>
      <c r="AJ234" s="41"/>
      <c r="AK234" s="83">
        <v>41736.0</v>
      </c>
      <c r="AL234" s="63"/>
    </row>
    <row r="235" ht="22.5" customHeight="1">
      <c r="A235" s="27" t="s">
        <v>2522</v>
      </c>
      <c r="B235" s="63" t="s">
        <v>987</v>
      </c>
      <c r="C235" s="32" t="s">
        <v>988</v>
      </c>
      <c r="D235" s="41" t="s">
        <v>75</v>
      </c>
      <c r="E235" s="63" t="s">
        <v>990</v>
      </c>
      <c r="F235" s="34" t="s">
        <v>93</v>
      </c>
      <c r="G235" s="34" t="s">
        <v>168</v>
      </c>
      <c r="H235" s="48">
        <v>42279.0</v>
      </c>
      <c r="I235" s="48">
        <v>42279.0</v>
      </c>
      <c r="J235" s="36"/>
      <c r="K235" s="32" t="s">
        <v>86</v>
      </c>
      <c r="L235" s="41" t="s">
        <v>115</v>
      </c>
      <c r="M235" s="63" t="s">
        <v>218</v>
      </c>
      <c r="N235" s="38" t="s">
        <v>89</v>
      </c>
      <c r="O235" s="38" t="s">
        <v>954</v>
      </c>
      <c r="P235" s="32" t="s">
        <v>1283</v>
      </c>
      <c r="Q235" s="38" t="s">
        <v>1284</v>
      </c>
      <c r="R235" s="48">
        <v>43375.0</v>
      </c>
      <c r="S235" s="32" t="s">
        <v>116</v>
      </c>
      <c r="T235" s="203" t="s">
        <v>997</v>
      </c>
      <c r="U235" s="56" t="s">
        <v>2523</v>
      </c>
      <c r="V235" s="34" t="s">
        <v>80</v>
      </c>
      <c r="W235" s="63" t="s">
        <v>1001</v>
      </c>
      <c r="X235" s="63" t="s">
        <v>1002</v>
      </c>
      <c r="Y235" s="56" t="s">
        <v>1003</v>
      </c>
      <c r="Z235" s="32" t="s">
        <v>112</v>
      </c>
      <c r="AA235" s="32"/>
      <c r="AB235" s="32" t="s">
        <v>113</v>
      </c>
      <c r="AC235" s="60"/>
      <c r="AD235" s="66"/>
      <c r="AE235" s="32" t="s">
        <v>2524</v>
      </c>
      <c r="AF235" s="34" t="s">
        <v>80</v>
      </c>
      <c r="AG235" s="56" t="s">
        <v>1005</v>
      </c>
      <c r="AH235" s="41"/>
      <c r="AI235" s="41"/>
      <c r="AJ235" s="41"/>
      <c r="AK235" s="83">
        <v>41736.0</v>
      </c>
      <c r="AL235" s="56" t="s">
        <v>965</v>
      </c>
    </row>
    <row r="236" ht="22.5" customHeight="1">
      <c r="A236" s="27" t="s">
        <v>2525</v>
      </c>
      <c r="B236" s="149" t="s">
        <v>2526</v>
      </c>
      <c r="C236" s="149" t="s">
        <v>383</v>
      </c>
      <c r="D236" s="41" t="s">
        <v>75</v>
      </c>
      <c r="E236" s="38" t="s">
        <v>2527</v>
      </c>
      <c r="F236" s="41" t="s">
        <v>140</v>
      </c>
      <c r="G236" s="34" t="s">
        <v>85</v>
      </c>
      <c r="H236" s="36">
        <v>42355.0</v>
      </c>
      <c r="I236" s="36">
        <v>42355.0</v>
      </c>
      <c r="J236" s="36"/>
      <c r="K236" s="32" t="s">
        <v>86</v>
      </c>
      <c r="L236" s="34" t="s">
        <v>115</v>
      </c>
      <c r="M236" s="63" t="s">
        <v>88</v>
      </c>
      <c r="N236" s="32" t="s">
        <v>89</v>
      </c>
      <c r="O236" s="38" t="s">
        <v>1610</v>
      </c>
      <c r="P236" s="38"/>
      <c r="Q236" s="38" t="s">
        <v>2528</v>
      </c>
      <c r="R236" s="36">
        <v>43451.0</v>
      </c>
      <c r="S236" s="38" t="s">
        <v>1610</v>
      </c>
      <c r="T236" s="56" t="s">
        <v>2529</v>
      </c>
      <c r="U236" s="56" t="s">
        <v>2530</v>
      </c>
      <c r="V236" s="34" t="s">
        <v>80</v>
      </c>
      <c r="W236" s="149" t="s">
        <v>2531</v>
      </c>
      <c r="X236" s="149" t="s">
        <v>2532</v>
      </c>
      <c r="Y236" s="152" t="s">
        <v>2533</v>
      </c>
      <c r="Z236" s="32" t="s">
        <v>112</v>
      </c>
      <c r="AA236" s="38"/>
      <c r="AB236" s="32" t="s">
        <v>134</v>
      </c>
      <c r="AC236" s="60" t="s">
        <v>2534</v>
      </c>
      <c r="AD236" s="66">
        <v>42870.0</v>
      </c>
      <c r="AE236" s="38"/>
      <c r="AF236" s="34" t="s">
        <v>80</v>
      </c>
      <c r="AG236" s="56" t="s">
        <v>2535</v>
      </c>
      <c r="AH236" s="41"/>
      <c r="AI236" s="41"/>
      <c r="AJ236" s="41"/>
      <c r="AK236" s="58">
        <v>42093.0</v>
      </c>
      <c r="AL236" s="56" t="s">
        <v>1745</v>
      </c>
    </row>
    <row r="237" ht="22.5" customHeight="1">
      <c r="A237" s="27" t="s">
        <v>2536</v>
      </c>
      <c r="B237" s="63" t="s">
        <v>2044</v>
      </c>
      <c r="C237" s="32" t="s">
        <v>2045</v>
      </c>
      <c r="D237" s="41" t="s">
        <v>91</v>
      </c>
      <c r="E237" s="38" t="s">
        <v>2046</v>
      </c>
      <c r="F237" s="34" t="s">
        <v>93</v>
      </c>
      <c r="G237" s="34" t="s">
        <v>168</v>
      </c>
      <c r="H237" s="36">
        <v>42341.0</v>
      </c>
      <c r="I237" s="36">
        <v>42341.0</v>
      </c>
      <c r="J237" s="36"/>
      <c r="K237" s="32" t="s">
        <v>86</v>
      </c>
      <c r="L237" s="41" t="s">
        <v>115</v>
      </c>
      <c r="M237" s="38" t="s">
        <v>313</v>
      </c>
      <c r="N237" s="32" t="s">
        <v>89</v>
      </c>
      <c r="O237" s="38" t="s">
        <v>220</v>
      </c>
      <c r="P237" s="32"/>
      <c r="Q237" s="38" t="s">
        <v>1478</v>
      </c>
      <c r="R237" s="48">
        <v>42707.0</v>
      </c>
      <c r="S237" s="32" t="s">
        <v>116</v>
      </c>
      <c r="T237" s="203" t="s">
        <v>2049</v>
      </c>
      <c r="U237" s="109" t="s">
        <v>2050</v>
      </c>
      <c r="V237" s="34" t="s">
        <v>80</v>
      </c>
      <c r="W237" s="60" t="s">
        <v>2051</v>
      </c>
      <c r="X237" s="57" t="s">
        <v>2052</v>
      </c>
      <c r="Y237" s="109" t="s">
        <v>2053</v>
      </c>
      <c r="Z237" s="32" t="s">
        <v>112</v>
      </c>
      <c r="AA237" s="38"/>
      <c r="AB237" s="123" t="s">
        <v>113</v>
      </c>
      <c r="AC237" s="60"/>
      <c r="AD237" s="74"/>
      <c r="AE237" s="38"/>
      <c r="AF237" s="34" t="s">
        <v>80</v>
      </c>
      <c r="AG237" s="56" t="s">
        <v>2054</v>
      </c>
      <c r="AH237" s="41"/>
      <c r="AI237" s="41"/>
      <c r="AJ237" s="41"/>
      <c r="AK237" s="83">
        <v>42047.0</v>
      </c>
      <c r="AL237" s="56" t="s">
        <v>232</v>
      </c>
    </row>
    <row r="238" ht="22.5" customHeight="1">
      <c r="A238" s="27" t="s">
        <v>2537</v>
      </c>
      <c r="B238" s="63" t="s">
        <v>2122</v>
      </c>
      <c r="C238" s="32" t="s">
        <v>2123</v>
      </c>
      <c r="D238" s="41" t="s">
        <v>91</v>
      </c>
      <c r="E238" s="103" t="s">
        <v>2124</v>
      </c>
      <c r="F238" s="41" t="s">
        <v>93</v>
      </c>
      <c r="G238" s="34" t="s">
        <v>168</v>
      </c>
      <c r="H238" s="36">
        <v>42355.0</v>
      </c>
      <c r="I238" s="36">
        <v>42355.0</v>
      </c>
      <c r="J238" s="36"/>
      <c r="K238" s="32" t="s">
        <v>86</v>
      </c>
      <c r="L238" s="41" t="s">
        <v>115</v>
      </c>
      <c r="M238" s="63" t="s">
        <v>218</v>
      </c>
      <c r="N238" s="32" t="s">
        <v>89</v>
      </c>
      <c r="O238" s="38" t="s">
        <v>220</v>
      </c>
      <c r="P238" s="38"/>
      <c r="Q238" s="38" t="s">
        <v>1478</v>
      </c>
      <c r="R238" s="36">
        <v>42538.0</v>
      </c>
      <c r="S238" s="32" t="s">
        <v>116</v>
      </c>
      <c r="T238" s="203" t="s">
        <v>2140</v>
      </c>
      <c r="U238" s="56" t="s">
        <v>2538</v>
      </c>
      <c r="V238" s="34" t="s">
        <v>80</v>
      </c>
      <c r="W238" s="60" t="s">
        <v>2128</v>
      </c>
      <c r="X238" s="60" t="s">
        <v>2130</v>
      </c>
      <c r="Y238" s="109" t="s">
        <v>2131</v>
      </c>
      <c r="Z238" s="32" t="s">
        <v>112</v>
      </c>
      <c r="AA238" s="38"/>
      <c r="AB238" s="123" t="s">
        <v>113</v>
      </c>
      <c r="AC238" s="60"/>
      <c r="AD238" s="74"/>
      <c r="AE238" s="32"/>
      <c r="AF238" s="34" t="s">
        <v>74</v>
      </c>
      <c r="AG238" s="56" t="s">
        <v>2136</v>
      </c>
      <c r="AH238" s="41"/>
      <c r="AI238" s="41"/>
      <c r="AJ238" s="41"/>
      <c r="AK238" s="58">
        <v>41861.0</v>
      </c>
      <c r="AL238" s="56" t="s">
        <v>232</v>
      </c>
    </row>
    <row r="239" ht="22.5" customHeight="1">
      <c r="A239" s="27" t="s">
        <v>2539</v>
      </c>
      <c r="B239" s="63" t="s">
        <v>888</v>
      </c>
      <c r="C239" s="32" t="s">
        <v>1281</v>
      </c>
      <c r="D239" s="41" t="s">
        <v>75</v>
      </c>
      <c r="E239" s="38" t="s">
        <v>1282</v>
      </c>
      <c r="F239" s="34" t="s">
        <v>140</v>
      </c>
      <c r="G239" s="34" t="s">
        <v>168</v>
      </c>
      <c r="H239" s="48">
        <v>42454.0</v>
      </c>
      <c r="I239" s="48">
        <v>42454.0</v>
      </c>
      <c r="J239" s="36"/>
      <c r="K239" s="32" t="s">
        <v>70</v>
      </c>
      <c r="L239" s="41" t="s">
        <v>115</v>
      </c>
      <c r="M239" s="63" t="s">
        <v>88</v>
      </c>
      <c r="N239" s="38" t="s">
        <v>89</v>
      </c>
      <c r="O239" s="38" t="s">
        <v>1045</v>
      </c>
      <c r="P239" s="38"/>
      <c r="Q239" s="32" t="s">
        <v>2540</v>
      </c>
      <c r="R239" s="34"/>
      <c r="S239" s="32" t="s">
        <v>196</v>
      </c>
      <c r="T239" s="45" t="s">
        <v>1285</v>
      </c>
      <c r="U239" s="45" t="s">
        <v>2541</v>
      </c>
      <c r="V239" s="34" t="s">
        <v>80</v>
      </c>
      <c r="W239" s="32" t="s">
        <v>561</v>
      </c>
      <c r="X239" s="60" t="s">
        <v>1287</v>
      </c>
      <c r="Y239" s="45" t="s">
        <v>1288</v>
      </c>
      <c r="Z239" s="32" t="s">
        <v>112</v>
      </c>
      <c r="AA239" s="32"/>
      <c r="AB239" s="32" t="s">
        <v>113</v>
      </c>
      <c r="AC239" s="60"/>
      <c r="AD239" s="66"/>
      <c r="AE239" s="53"/>
      <c r="AF239" s="34" t="s">
        <v>80</v>
      </c>
      <c r="AG239" s="56" t="s">
        <v>900</v>
      </c>
      <c r="AH239" s="266"/>
      <c r="AI239" s="266"/>
      <c r="AJ239" s="266"/>
      <c r="AK239" s="155">
        <v>41770.0</v>
      </c>
      <c r="AL239" s="56" t="s">
        <v>1048</v>
      </c>
    </row>
    <row r="240" ht="22.5" customHeight="1">
      <c r="A240" s="27" t="s">
        <v>2542</v>
      </c>
      <c r="B240" s="63" t="s">
        <v>190</v>
      </c>
      <c r="C240" s="149" t="s">
        <v>211</v>
      </c>
      <c r="D240" s="34" t="s">
        <v>752</v>
      </c>
      <c r="E240" s="32" t="s">
        <v>947</v>
      </c>
      <c r="F240" s="34" t="s">
        <v>93</v>
      </c>
      <c r="G240" s="34" t="s">
        <v>168</v>
      </c>
      <c r="H240" s="48">
        <v>42454.0</v>
      </c>
      <c r="I240" s="48">
        <v>42454.0</v>
      </c>
      <c r="J240" s="48"/>
      <c r="K240" s="32" t="s">
        <v>70</v>
      </c>
      <c r="L240" s="41" t="s">
        <v>115</v>
      </c>
      <c r="M240" s="63" t="s">
        <v>218</v>
      </c>
      <c r="N240" s="32" t="s">
        <v>434</v>
      </c>
      <c r="O240" s="38" t="s">
        <v>1045</v>
      </c>
      <c r="P240" s="38"/>
      <c r="Q240" s="32" t="s">
        <v>2540</v>
      </c>
      <c r="R240" s="34"/>
      <c r="S240" s="32" t="s">
        <v>116</v>
      </c>
      <c r="T240" s="56" t="s">
        <v>248</v>
      </c>
      <c r="U240" s="45" t="s">
        <v>2543</v>
      </c>
      <c r="V240" s="34" t="s">
        <v>80</v>
      </c>
      <c r="W240" s="32" t="s">
        <v>201</v>
      </c>
      <c r="X240" s="32" t="s">
        <v>202</v>
      </c>
      <c r="Y240" s="45" t="s">
        <v>203</v>
      </c>
      <c r="Z240" s="32" t="s">
        <v>112</v>
      </c>
      <c r="AA240" s="32"/>
      <c r="AB240" s="32" t="s">
        <v>113</v>
      </c>
      <c r="AC240" s="60"/>
      <c r="AD240" s="192"/>
      <c r="AE240" s="53"/>
      <c r="AF240" s="34" t="s">
        <v>80</v>
      </c>
      <c r="AG240" s="56" t="s">
        <v>206</v>
      </c>
      <c r="AH240" s="266"/>
      <c r="AI240" s="266"/>
      <c r="AJ240" s="266"/>
      <c r="AK240" s="58">
        <v>42212.0</v>
      </c>
      <c r="AL240" s="56" t="s">
        <v>1048</v>
      </c>
    </row>
    <row r="241" ht="22.5" customHeight="1">
      <c r="A241" s="27" t="s">
        <v>2544</v>
      </c>
      <c r="B241" s="63" t="s">
        <v>1585</v>
      </c>
      <c r="C241" s="32" t="s">
        <v>1586</v>
      </c>
      <c r="D241" s="34" t="s">
        <v>584</v>
      </c>
      <c r="E241" s="38" t="s">
        <v>1588</v>
      </c>
      <c r="F241" s="34" t="s">
        <v>140</v>
      </c>
      <c r="G241" s="34" t="s">
        <v>168</v>
      </c>
      <c r="H241" s="48">
        <v>42405.0</v>
      </c>
      <c r="I241" s="48"/>
      <c r="J241" s="48">
        <v>42405.0</v>
      </c>
      <c r="K241" s="32" t="s">
        <v>70</v>
      </c>
      <c r="L241" s="41" t="s">
        <v>115</v>
      </c>
      <c r="M241" s="63" t="s">
        <v>313</v>
      </c>
      <c r="N241" s="38" t="s">
        <v>89</v>
      </c>
      <c r="O241" s="32" t="s">
        <v>2545</v>
      </c>
      <c r="P241" s="38"/>
      <c r="Q241" s="32" t="s">
        <v>2546</v>
      </c>
      <c r="R241" s="48">
        <v>43501.0</v>
      </c>
      <c r="S241" s="32" t="s">
        <v>327</v>
      </c>
      <c r="T241" s="203" t="s">
        <v>1591</v>
      </c>
      <c r="U241" s="109" t="s">
        <v>2547</v>
      </c>
      <c r="V241" s="34" t="s">
        <v>74</v>
      </c>
      <c r="W241" s="32" t="s">
        <v>561</v>
      </c>
      <c r="X241" s="60" t="s">
        <v>1595</v>
      </c>
      <c r="Y241" s="45" t="s">
        <v>1596</v>
      </c>
      <c r="Z241" s="32" t="s">
        <v>112</v>
      </c>
      <c r="AA241" s="32"/>
      <c r="AB241" s="32" t="s">
        <v>113</v>
      </c>
      <c r="AC241" s="60"/>
      <c r="AD241" s="136"/>
      <c r="AE241" s="53"/>
      <c r="AF241" s="34" t="s">
        <v>80</v>
      </c>
      <c r="AG241" s="56" t="s">
        <v>1598</v>
      </c>
      <c r="AH241" s="266"/>
      <c r="AI241" s="266"/>
      <c r="AJ241" s="266"/>
      <c r="AK241" s="58">
        <v>41770.0</v>
      </c>
      <c r="AL241" s="56" t="s">
        <v>2548</v>
      </c>
    </row>
    <row r="242" ht="22.5" customHeight="1">
      <c r="A242" s="27" t="s">
        <v>2549</v>
      </c>
      <c r="B242" s="149" t="s">
        <v>2550</v>
      </c>
      <c r="C242" s="149" t="s">
        <v>2551</v>
      </c>
      <c r="D242" s="34" t="s">
        <v>584</v>
      </c>
      <c r="E242" s="149" t="s">
        <v>2552</v>
      </c>
      <c r="F242" s="34" t="s">
        <v>140</v>
      </c>
      <c r="G242" s="34" t="s">
        <v>85</v>
      </c>
      <c r="H242" s="48">
        <v>42446.0</v>
      </c>
      <c r="I242" s="48">
        <v>42422.0</v>
      </c>
      <c r="J242" s="48">
        <v>42446.0</v>
      </c>
      <c r="K242" s="32" t="s">
        <v>70</v>
      </c>
      <c r="L242" s="34" t="s">
        <v>115</v>
      </c>
      <c r="M242" s="42" t="s">
        <v>88</v>
      </c>
      <c r="N242" s="38" t="s">
        <v>89</v>
      </c>
      <c r="O242" s="32" t="s">
        <v>1023</v>
      </c>
      <c r="P242" s="38"/>
      <c r="Q242" s="32" t="s">
        <v>1334</v>
      </c>
      <c r="R242" s="48">
        <v>43541.0</v>
      </c>
      <c r="S242" s="32" t="s">
        <v>1023</v>
      </c>
      <c r="T242" s="56" t="s">
        <v>2553</v>
      </c>
      <c r="U242" s="45" t="s">
        <v>2554</v>
      </c>
      <c r="V242" s="34" t="s">
        <v>80</v>
      </c>
      <c r="W242" s="149" t="s">
        <v>2555</v>
      </c>
      <c r="X242" s="149" t="s">
        <v>2556</v>
      </c>
      <c r="Y242" s="152" t="s">
        <v>2557</v>
      </c>
      <c r="Z242" s="32" t="s">
        <v>112</v>
      </c>
      <c r="AA242" s="38"/>
      <c r="AB242" s="60" t="s">
        <v>389</v>
      </c>
      <c r="AC242" s="60" t="s">
        <v>2558</v>
      </c>
      <c r="AD242" s="136">
        <v>42473.0</v>
      </c>
      <c r="AE242" s="53"/>
      <c r="AF242" s="34" t="s">
        <v>80</v>
      </c>
      <c r="AG242" s="56" t="s">
        <v>2559</v>
      </c>
      <c r="AH242" s="267" t="s">
        <v>193</v>
      </c>
      <c r="AI242" s="266"/>
      <c r="AJ242" s="266"/>
      <c r="AK242" s="268">
        <v>41770.0</v>
      </c>
      <c r="AL242" s="56" t="s">
        <v>1028</v>
      </c>
    </row>
    <row r="243" ht="22.5" customHeight="1">
      <c r="A243" s="27" t="s">
        <v>2560</v>
      </c>
      <c r="B243" s="149" t="s">
        <v>2561</v>
      </c>
      <c r="C243" s="149" t="s">
        <v>2562</v>
      </c>
      <c r="D243" s="41" t="s">
        <v>75</v>
      </c>
      <c r="E243" s="149" t="s">
        <v>2563</v>
      </c>
      <c r="F243" s="34" t="s">
        <v>93</v>
      </c>
      <c r="G243" s="34" t="s">
        <v>85</v>
      </c>
      <c r="H243" s="48">
        <v>42468.0</v>
      </c>
      <c r="I243" s="48">
        <v>42438.0</v>
      </c>
      <c r="J243" s="48">
        <v>42468.0</v>
      </c>
      <c r="K243" s="32" t="s">
        <v>70</v>
      </c>
      <c r="L243" s="41" t="s">
        <v>115</v>
      </c>
      <c r="M243" s="63" t="s">
        <v>218</v>
      </c>
      <c r="N243" s="38" t="s">
        <v>89</v>
      </c>
      <c r="O243" s="32" t="s">
        <v>116</v>
      </c>
      <c r="P243" s="38"/>
      <c r="Q243" s="32" t="s">
        <v>117</v>
      </c>
      <c r="R243" s="48"/>
      <c r="S243" s="32" t="s">
        <v>116</v>
      </c>
      <c r="T243" s="56" t="s">
        <v>2564</v>
      </c>
      <c r="U243" s="45" t="s">
        <v>2565</v>
      </c>
      <c r="V243" s="34" t="s">
        <v>80</v>
      </c>
      <c r="W243" s="149" t="s">
        <v>2566</v>
      </c>
      <c r="X243" s="149" t="s">
        <v>2567</v>
      </c>
      <c r="Y243" s="152" t="s">
        <v>2568</v>
      </c>
      <c r="Z243" s="32" t="s">
        <v>112</v>
      </c>
      <c r="AA243" s="38"/>
      <c r="AB243" s="32" t="s">
        <v>113</v>
      </c>
      <c r="AC243" s="68" t="s">
        <v>2569</v>
      </c>
      <c r="AD243" s="66">
        <v>42468.0</v>
      </c>
      <c r="AE243" s="30" t="s">
        <v>2570</v>
      </c>
      <c r="AF243" s="34" t="s">
        <v>80</v>
      </c>
      <c r="AG243" s="56" t="s">
        <v>2571</v>
      </c>
      <c r="AH243" s="266"/>
      <c r="AI243" s="266"/>
      <c r="AJ243" s="266"/>
      <c r="AK243" s="268">
        <v>42046.0</v>
      </c>
      <c r="AL243" s="63"/>
    </row>
    <row r="244" ht="22.5" customHeight="1">
      <c r="A244" s="27" t="s">
        <v>2572</v>
      </c>
      <c r="B244" s="149" t="s">
        <v>2401</v>
      </c>
      <c r="C244" s="149" t="s">
        <v>2402</v>
      </c>
      <c r="D244" s="41" t="s">
        <v>75</v>
      </c>
      <c r="E244" s="149" t="s">
        <v>2403</v>
      </c>
      <c r="F244" s="34" t="s">
        <v>140</v>
      </c>
      <c r="G244" s="34" t="s">
        <v>85</v>
      </c>
      <c r="H244" s="48">
        <v>42479.0</v>
      </c>
      <c r="I244" s="48">
        <v>42479.0</v>
      </c>
      <c r="J244" s="48">
        <v>42479.0</v>
      </c>
      <c r="K244" s="32" t="s">
        <v>86</v>
      </c>
      <c r="L244" s="41" t="s">
        <v>115</v>
      </c>
      <c r="M244" s="42" t="s">
        <v>88</v>
      </c>
      <c r="N244" s="38" t="s">
        <v>89</v>
      </c>
      <c r="O244" s="32" t="s">
        <v>142</v>
      </c>
      <c r="P244" s="38" t="s">
        <v>1050</v>
      </c>
      <c r="Q244" s="38" t="s">
        <v>1462</v>
      </c>
      <c r="R244" s="48">
        <v>42844.0</v>
      </c>
      <c r="S244" s="32" t="s">
        <v>142</v>
      </c>
      <c r="T244" s="56" t="s">
        <v>2404</v>
      </c>
      <c r="U244" s="45" t="s">
        <v>2573</v>
      </c>
      <c r="V244" s="34" t="s">
        <v>80</v>
      </c>
      <c r="W244" s="149" t="s">
        <v>2406</v>
      </c>
      <c r="X244" s="198" t="s">
        <v>2407</v>
      </c>
      <c r="Y244" s="152" t="s">
        <v>2408</v>
      </c>
      <c r="Z244" s="32" t="s">
        <v>112</v>
      </c>
      <c r="AA244" s="32"/>
      <c r="AB244" s="60" t="s">
        <v>389</v>
      </c>
      <c r="AC244" s="255"/>
      <c r="AD244" s="136">
        <v>42485.0</v>
      </c>
      <c r="AE244" s="53"/>
      <c r="AF244" s="34" t="s">
        <v>80</v>
      </c>
      <c r="AG244" s="56" t="s">
        <v>2409</v>
      </c>
      <c r="AH244" s="57"/>
      <c r="AI244" s="266"/>
      <c r="AJ244" s="266"/>
      <c r="AK244" s="132">
        <v>42012.0</v>
      </c>
      <c r="AL244" s="56" t="s">
        <v>262</v>
      </c>
    </row>
    <row r="245" ht="22.5" customHeight="1">
      <c r="A245" s="27" t="s">
        <v>2574</v>
      </c>
      <c r="B245" s="149" t="s">
        <v>461</v>
      </c>
      <c r="C245" s="149" t="s">
        <v>2575</v>
      </c>
      <c r="D245" s="34" t="s">
        <v>192</v>
      </c>
      <c r="E245" s="149" t="s">
        <v>2576</v>
      </c>
      <c r="F245" s="34" t="s">
        <v>93</v>
      </c>
      <c r="G245" s="34" t="s">
        <v>85</v>
      </c>
      <c r="H245" s="48">
        <v>42481.0</v>
      </c>
      <c r="I245" s="48">
        <v>42467.0</v>
      </c>
      <c r="J245" s="48">
        <v>42481.0</v>
      </c>
      <c r="K245" s="32" t="s">
        <v>70</v>
      </c>
      <c r="L245" s="41" t="s">
        <v>115</v>
      </c>
      <c r="M245" s="63" t="s">
        <v>218</v>
      </c>
      <c r="N245" s="38" t="s">
        <v>89</v>
      </c>
      <c r="O245" s="32" t="s">
        <v>116</v>
      </c>
      <c r="P245" s="38"/>
      <c r="Q245" s="32" t="s">
        <v>117</v>
      </c>
      <c r="R245" s="36"/>
      <c r="S245" s="32" t="s">
        <v>116</v>
      </c>
      <c r="T245" s="56" t="s">
        <v>2577</v>
      </c>
      <c r="U245" s="45" t="s">
        <v>2578</v>
      </c>
      <c r="V245" s="34" t="s">
        <v>74</v>
      </c>
      <c r="W245" s="149" t="s">
        <v>803</v>
      </c>
      <c r="X245" s="32" t="s">
        <v>806</v>
      </c>
      <c r="Y245" s="152" t="s">
        <v>2579</v>
      </c>
      <c r="Z245" s="32" t="s">
        <v>112</v>
      </c>
      <c r="AA245" s="38"/>
      <c r="AB245" s="149" t="s">
        <v>113</v>
      </c>
      <c r="AC245" s="60" t="s">
        <v>2580</v>
      </c>
      <c r="AD245" s="136">
        <v>42481.0</v>
      </c>
      <c r="AE245" s="63"/>
      <c r="AF245" s="34" t="s">
        <v>80</v>
      </c>
      <c r="AG245" s="56" t="s">
        <v>817</v>
      </c>
      <c r="AH245" s="266"/>
      <c r="AI245" s="266"/>
      <c r="AJ245" s="266"/>
      <c r="AK245" s="268">
        <v>41850.0</v>
      </c>
      <c r="AL245" s="63"/>
    </row>
    <row r="246" ht="22.5" customHeight="1">
      <c r="A246" s="27" t="s">
        <v>2581</v>
      </c>
      <c r="B246" s="149" t="s">
        <v>1374</v>
      </c>
      <c r="C246" s="63" t="s">
        <v>2582</v>
      </c>
      <c r="D246" s="34" t="s">
        <v>584</v>
      </c>
      <c r="E246" s="32" t="s">
        <v>2583</v>
      </c>
      <c r="F246" s="34" t="s">
        <v>140</v>
      </c>
      <c r="G246" s="34" t="s">
        <v>85</v>
      </c>
      <c r="H246" s="48">
        <v>42311.0</v>
      </c>
      <c r="I246" s="48"/>
      <c r="J246" s="48">
        <v>42311.0</v>
      </c>
      <c r="K246" s="32" t="s">
        <v>86</v>
      </c>
      <c r="L246" s="34" t="s">
        <v>115</v>
      </c>
      <c r="M246" s="63" t="s">
        <v>218</v>
      </c>
      <c r="N246" s="32" t="s">
        <v>89</v>
      </c>
      <c r="O246" s="32" t="s">
        <v>1864</v>
      </c>
      <c r="P246" s="38"/>
      <c r="Q246" s="32" t="s">
        <v>2584</v>
      </c>
      <c r="R246" s="48"/>
      <c r="S246" s="32" t="s">
        <v>1864</v>
      </c>
      <c r="T246" s="56" t="s">
        <v>2585</v>
      </c>
      <c r="U246" s="45" t="s">
        <v>2586</v>
      </c>
      <c r="V246" s="34" t="s">
        <v>80</v>
      </c>
      <c r="W246" s="32" t="s">
        <v>2587</v>
      </c>
      <c r="X246" s="269" t="s">
        <v>1381</v>
      </c>
      <c r="Y246" s="45" t="s">
        <v>1382</v>
      </c>
      <c r="Z246" s="32" t="s">
        <v>112</v>
      </c>
      <c r="AA246" s="38"/>
      <c r="AB246" s="32" t="s">
        <v>113</v>
      </c>
      <c r="AC246" s="60"/>
      <c r="AD246" s="136">
        <v>42646.0</v>
      </c>
      <c r="AE246" s="53"/>
      <c r="AF246" s="34" t="s">
        <v>80</v>
      </c>
      <c r="AG246" s="56" t="s">
        <v>1384</v>
      </c>
      <c r="AH246" s="177" t="s">
        <v>1376</v>
      </c>
      <c r="AI246" s="266"/>
      <c r="AJ246" s="266"/>
      <c r="AK246" s="268">
        <v>42502.0</v>
      </c>
      <c r="AL246" s="56" t="s">
        <v>2588</v>
      </c>
    </row>
    <row r="247" ht="22.5" customHeight="1">
      <c r="A247" s="27" t="s">
        <v>2589</v>
      </c>
      <c r="B247" s="63" t="s">
        <v>411</v>
      </c>
      <c r="C247" s="32" t="s">
        <v>413</v>
      </c>
      <c r="D247" s="34" t="s">
        <v>752</v>
      </c>
      <c r="E247" s="38" t="s">
        <v>416</v>
      </c>
      <c r="F247" s="41" t="s">
        <v>93</v>
      </c>
      <c r="G247" s="34" t="s">
        <v>168</v>
      </c>
      <c r="H247" s="48">
        <v>42492.0</v>
      </c>
      <c r="I247" s="48">
        <v>42492.0</v>
      </c>
      <c r="J247" s="48">
        <v>42492.0</v>
      </c>
      <c r="K247" s="32" t="s">
        <v>70</v>
      </c>
      <c r="L247" s="34" t="s">
        <v>115</v>
      </c>
      <c r="M247" s="32" t="s">
        <v>313</v>
      </c>
      <c r="N247" s="32" t="s">
        <v>89</v>
      </c>
      <c r="O247" s="32" t="s">
        <v>142</v>
      </c>
      <c r="P247" s="38" t="s">
        <v>1050</v>
      </c>
      <c r="Q247" s="32" t="s">
        <v>2590</v>
      </c>
      <c r="R247" s="48">
        <v>43473.0</v>
      </c>
      <c r="S247" s="32" t="s">
        <v>116</v>
      </c>
      <c r="T247" s="45" t="s">
        <v>436</v>
      </c>
      <c r="U247" s="45" t="s">
        <v>2591</v>
      </c>
      <c r="V247" s="34" t="s">
        <v>80</v>
      </c>
      <c r="W247" s="60" t="s">
        <v>444</v>
      </c>
      <c r="X247" s="32" t="s">
        <v>445</v>
      </c>
      <c r="Y247" s="109" t="s">
        <v>446</v>
      </c>
      <c r="Z247" s="32" t="s">
        <v>112</v>
      </c>
      <c r="AA247" s="32"/>
      <c r="AB247" s="32" t="s">
        <v>113</v>
      </c>
      <c r="AC247" s="60"/>
      <c r="AD247" s="66"/>
      <c r="AE247" s="30" t="s">
        <v>2592</v>
      </c>
      <c r="AF247" s="34" t="s">
        <v>80</v>
      </c>
      <c r="AG247" s="56" t="s">
        <v>454</v>
      </c>
      <c r="AH247" s="266"/>
      <c r="AI247" s="266"/>
      <c r="AJ247" s="266"/>
      <c r="AK247" s="58">
        <v>42212.0</v>
      </c>
      <c r="AL247" s="56" t="s">
        <v>262</v>
      </c>
    </row>
    <row r="248" ht="22.5" customHeight="1">
      <c r="A248" s="27" t="s">
        <v>2593</v>
      </c>
      <c r="B248" s="63" t="s">
        <v>411</v>
      </c>
      <c r="C248" s="32" t="s">
        <v>1623</v>
      </c>
      <c r="D248" s="34" t="s">
        <v>584</v>
      </c>
      <c r="E248" s="103" t="s">
        <v>1624</v>
      </c>
      <c r="F248" s="34" t="s">
        <v>93</v>
      </c>
      <c r="G248" s="34" t="s">
        <v>168</v>
      </c>
      <c r="H248" s="48">
        <v>42449.0</v>
      </c>
      <c r="I248" s="48"/>
      <c r="J248" s="48">
        <v>42449.0</v>
      </c>
      <c r="K248" s="32" t="s">
        <v>86</v>
      </c>
      <c r="L248" s="34" t="s">
        <v>115</v>
      </c>
      <c r="M248" s="60" t="s">
        <v>218</v>
      </c>
      <c r="N248" s="32" t="s">
        <v>89</v>
      </c>
      <c r="O248" s="32" t="s">
        <v>142</v>
      </c>
      <c r="P248" s="38" t="s">
        <v>1050</v>
      </c>
      <c r="Q248" s="32" t="s">
        <v>1462</v>
      </c>
      <c r="R248" s="48">
        <v>43382.0</v>
      </c>
      <c r="S248" s="32" t="s">
        <v>116</v>
      </c>
      <c r="T248" s="203" t="s">
        <v>1625</v>
      </c>
      <c r="U248" s="45" t="s">
        <v>2594</v>
      </c>
      <c r="V248" s="34" t="s">
        <v>80</v>
      </c>
      <c r="W248" s="60" t="s">
        <v>444</v>
      </c>
      <c r="X248" s="32" t="s">
        <v>445</v>
      </c>
      <c r="Y248" s="109" t="s">
        <v>446</v>
      </c>
      <c r="Z248" s="32" t="s">
        <v>112</v>
      </c>
      <c r="AA248" s="32"/>
      <c r="AB248" s="32" t="s">
        <v>113</v>
      </c>
      <c r="AC248" s="60"/>
      <c r="AD248" s="66"/>
      <c r="AE248" s="30" t="s">
        <v>1630</v>
      </c>
      <c r="AF248" s="34" t="s">
        <v>74</v>
      </c>
      <c r="AG248" s="56" t="s">
        <v>454</v>
      </c>
      <c r="AH248" s="41"/>
      <c r="AI248" s="41"/>
      <c r="AJ248" s="41"/>
      <c r="AK248" s="58">
        <v>41988.0</v>
      </c>
      <c r="AL248" s="56" t="s">
        <v>262</v>
      </c>
    </row>
    <row r="249" ht="22.5" customHeight="1">
      <c r="A249" s="27" t="s">
        <v>2595</v>
      </c>
      <c r="B249" s="63" t="s">
        <v>987</v>
      </c>
      <c r="C249" s="32" t="s">
        <v>988</v>
      </c>
      <c r="D249" s="41" t="s">
        <v>75</v>
      </c>
      <c r="E249" s="63" t="s">
        <v>990</v>
      </c>
      <c r="F249" s="34" t="s">
        <v>93</v>
      </c>
      <c r="G249" s="34" t="s">
        <v>168</v>
      </c>
      <c r="H249" s="48">
        <v>42461.0</v>
      </c>
      <c r="I249" s="48">
        <v>42461.0</v>
      </c>
      <c r="J249" s="48">
        <v>42461.0</v>
      </c>
      <c r="K249" s="32" t="s">
        <v>70</v>
      </c>
      <c r="L249" s="41" t="s">
        <v>115</v>
      </c>
      <c r="M249" s="63" t="s">
        <v>218</v>
      </c>
      <c r="N249" s="38" t="s">
        <v>89</v>
      </c>
      <c r="O249" s="32" t="s">
        <v>1908</v>
      </c>
      <c r="P249" s="38"/>
      <c r="Q249" s="32" t="s">
        <v>2457</v>
      </c>
      <c r="R249" s="48">
        <v>43556.0</v>
      </c>
      <c r="S249" s="32" t="s">
        <v>116</v>
      </c>
      <c r="T249" s="203" t="s">
        <v>997</v>
      </c>
      <c r="U249" s="45" t="s">
        <v>2596</v>
      </c>
      <c r="V249" s="34" t="s">
        <v>80</v>
      </c>
      <c r="W249" s="63" t="s">
        <v>1001</v>
      </c>
      <c r="X249" s="63" t="s">
        <v>1002</v>
      </c>
      <c r="Y249" s="56" t="s">
        <v>1003</v>
      </c>
      <c r="Z249" s="32" t="s">
        <v>112</v>
      </c>
      <c r="AA249" s="32"/>
      <c r="AB249" s="32" t="s">
        <v>113</v>
      </c>
      <c r="AC249" s="60"/>
      <c r="AD249" s="66"/>
      <c r="AE249" s="32"/>
      <c r="AF249" s="34" t="s">
        <v>80</v>
      </c>
      <c r="AG249" s="56" t="s">
        <v>1005</v>
      </c>
      <c r="AH249" s="41"/>
      <c r="AI249" s="41"/>
      <c r="AJ249" s="41"/>
      <c r="AK249" s="83">
        <v>41736.0</v>
      </c>
      <c r="AL249" s="56" t="s">
        <v>2432</v>
      </c>
    </row>
    <row r="250" ht="22.5" customHeight="1">
      <c r="A250" s="27" t="s">
        <v>2597</v>
      </c>
      <c r="B250" s="63" t="s">
        <v>190</v>
      </c>
      <c r="C250" s="32" t="s">
        <v>191</v>
      </c>
      <c r="D250" s="34" t="s">
        <v>752</v>
      </c>
      <c r="E250" s="38" t="s">
        <v>193</v>
      </c>
      <c r="F250" s="54" t="s">
        <v>93</v>
      </c>
      <c r="G250" s="34" t="s">
        <v>168</v>
      </c>
      <c r="H250" s="48">
        <v>42333.0</v>
      </c>
      <c r="I250" s="48">
        <v>42333.0</v>
      </c>
      <c r="J250" s="48">
        <v>42333.0</v>
      </c>
      <c r="K250" s="32" t="s">
        <v>70</v>
      </c>
      <c r="L250" s="41" t="s">
        <v>115</v>
      </c>
      <c r="M250" s="63" t="s">
        <v>88</v>
      </c>
      <c r="N250" s="38" t="s">
        <v>89</v>
      </c>
      <c r="O250" s="32" t="s">
        <v>1520</v>
      </c>
      <c r="P250" s="38"/>
      <c r="Q250" s="32" t="s">
        <v>2598</v>
      </c>
      <c r="R250" s="48">
        <v>43429.0</v>
      </c>
      <c r="S250" s="57" t="s">
        <v>116</v>
      </c>
      <c r="T250" s="56" t="s">
        <v>198</v>
      </c>
      <c r="U250" s="45" t="s">
        <v>2599</v>
      </c>
      <c r="V250" s="34" t="s">
        <v>80</v>
      </c>
      <c r="W250" s="32" t="s">
        <v>201</v>
      </c>
      <c r="X250" s="32" t="s">
        <v>202</v>
      </c>
      <c r="Y250" s="45" t="s">
        <v>203</v>
      </c>
      <c r="Z250" s="32" t="s">
        <v>112</v>
      </c>
      <c r="AA250" s="32"/>
      <c r="AB250" s="32" t="s">
        <v>113</v>
      </c>
      <c r="AC250" s="60"/>
      <c r="AD250" s="66"/>
      <c r="AE250" s="53"/>
      <c r="AF250" s="34" t="s">
        <v>80</v>
      </c>
      <c r="AG250" s="56" t="s">
        <v>206</v>
      </c>
      <c r="AH250" s="41"/>
      <c r="AI250" s="41"/>
      <c r="AJ250" s="41"/>
      <c r="AK250" s="58">
        <v>41215.0</v>
      </c>
      <c r="AL250" s="56" t="s">
        <v>1530</v>
      </c>
    </row>
    <row r="251" ht="22.5" customHeight="1">
      <c r="A251" s="27" t="s">
        <v>2600</v>
      </c>
      <c r="B251" s="63" t="s">
        <v>284</v>
      </c>
      <c r="C251" s="63" t="s">
        <v>371</v>
      </c>
      <c r="D251" s="41" t="s">
        <v>91</v>
      </c>
      <c r="E251" s="149" t="s">
        <v>2601</v>
      </c>
      <c r="F251" s="34" t="s">
        <v>93</v>
      </c>
      <c r="G251" s="34" t="s">
        <v>85</v>
      </c>
      <c r="H251" s="48">
        <v>42509.0</v>
      </c>
      <c r="I251" s="48">
        <v>42499.0</v>
      </c>
      <c r="J251" s="48">
        <v>42509.0</v>
      </c>
      <c r="K251" s="32" t="s">
        <v>86</v>
      </c>
      <c r="L251" s="41" t="s">
        <v>115</v>
      </c>
      <c r="M251" s="63" t="s">
        <v>218</v>
      </c>
      <c r="N251" s="32" t="s">
        <v>89</v>
      </c>
      <c r="O251" s="32" t="s">
        <v>116</v>
      </c>
      <c r="P251" s="50"/>
      <c r="Q251" s="32" t="s">
        <v>117</v>
      </c>
      <c r="R251" s="50"/>
      <c r="S251" s="32" t="s">
        <v>116</v>
      </c>
      <c r="T251" s="56" t="s">
        <v>2602</v>
      </c>
      <c r="U251" s="45" t="s">
        <v>2603</v>
      </c>
      <c r="V251" s="34" t="s">
        <v>80</v>
      </c>
      <c r="W251" s="149" t="s">
        <v>2604</v>
      </c>
      <c r="X251" s="149" t="s">
        <v>2605</v>
      </c>
      <c r="Y251" s="152" t="s">
        <v>2606</v>
      </c>
      <c r="Z251" s="32" t="s">
        <v>112</v>
      </c>
      <c r="AA251" s="38"/>
      <c r="AB251" s="32" t="s">
        <v>113</v>
      </c>
      <c r="AC251" s="60" t="s">
        <v>2607</v>
      </c>
      <c r="AD251" s="136">
        <v>42499.0</v>
      </c>
      <c r="AE251" s="30" t="s">
        <v>2608</v>
      </c>
      <c r="AF251" s="34" t="s">
        <v>74</v>
      </c>
      <c r="AG251" s="63"/>
      <c r="AH251" s="177" t="s">
        <v>286</v>
      </c>
      <c r="AI251" s="41"/>
      <c r="AJ251" s="41"/>
      <c r="AK251" s="58">
        <v>41885.0</v>
      </c>
      <c r="AL251" s="63"/>
    </row>
    <row r="252" ht="22.5" customHeight="1">
      <c r="A252" s="27" t="s">
        <v>2609</v>
      </c>
      <c r="B252" s="63" t="s">
        <v>2108</v>
      </c>
      <c r="C252" s="32" t="s">
        <v>2109</v>
      </c>
      <c r="D252" s="41" t="s">
        <v>91</v>
      </c>
      <c r="E252" s="103" t="s">
        <v>2110</v>
      </c>
      <c r="F252" s="34" t="s">
        <v>93</v>
      </c>
      <c r="G252" s="34" t="s">
        <v>168</v>
      </c>
      <c r="H252" s="48">
        <v>42510.0</v>
      </c>
      <c r="I252" s="48">
        <v>42510.0</v>
      </c>
      <c r="J252" s="48">
        <v>42510.0</v>
      </c>
      <c r="K252" s="32" t="s">
        <v>86</v>
      </c>
      <c r="L252" s="34" t="s">
        <v>115</v>
      </c>
      <c r="M252" s="63" t="s">
        <v>218</v>
      </c>
      <c r="N252" s="32" t="s">
        <v>89</v>
      </c>
      <c r="O252" s="32" t="s">
        <v>220</v>
      </c>
      <c r="P252" s="32"/>
      <c r="Q252" s="32" t="s">
        <v>2610</v>
      </c>
      <c r="R252" s="48">
        <v>43605.0</v>
      </c>
      <c r="S252" s="32" t="s">
        <v>116</v>
      </c>
      <c r="T252" s="45" t="s">
        <v>2112</v>
      </c>
      <c r="U252" s="45" t="s">
        <v>2611</v>
      </c>
      <c r="V252" s="34" t="s">
        <v>80</v>
      </c>
      <c r="W252" s="60" t="s">
        <v>2114</v>
      </c>
      <c r="X252" s="60" t="s">
        <v>2115</v>
      </c>
      <c r="Y252" s="109" t="s">
        <v>2116</v>
      </c>
      <c r="Z252" s="32" t="s">
        <v>112</v>
      </c>
      <c r="AA252" s="32"/>
      <c r="AB252" s="123" t="s">
        <v>113</v>
      </c>
      <c r="AC252" s="60"/>
      <c r="AD252" s="66"/>
      <c r="AE252" s="53"/>
      <c r="AF252" s="34" t="s">
        <v>74</v>
      </c>
      <c r="AG252" s="56" t="s">
        <v>2120</v>
      </c>
      <c r="AH252" s="41"/>
      <c r="AI252" s="41"/>
      <c r="AJ252" s="41"/>
      <c r="AK252" s="58">
        <v>41689.0</v>
      </c>
      <c r="AL252" s="56" t="s">
        <v>232</v>
      </c>
    </row>
    <row r="253" ht="22.5" customHeight="1">
      <c r="A253" s="27" t="s">
        <v>2612</v>
      </c>
      <c r="B253" s="63" t="s">
        <v>190</v>
      </c>
      <c r="C253" s="32" t="s">
        <v>211</v>
      </c>
      <c r="D253" s="39" t="s">
        <v>91</v>
      </c>
      <c r="E253" s="38" t="s">
        <v>214</v>
      </c>
      <c r="F253" s="34" t="s">
        <v>140</v>
      </c>
      <c r="G253" s="34" t="s">
        <v>168</v>
      </c>
      <c r="H253" s="48">
        <v>42473.0</v>
      </c>
      <c r="I253" s="48">
        <v>42473.0</v>
      </c>
      <c r="J253" s="36"/>
      <c r="K253" s="32" t="s">
        <v>86</v>
      </c>
      <c r="L253" s="41" t="s">
        <v>115</v>
      </c>
      <c r="M253" s="63" t="s">
        <v>218</v>
      </c>
      <c r="N253" s="38" t="s">
        <v>89</v>
      </c>
      <c r="O253" s="32" t="s">
        <v>220</v>
      </c>
      <c r="P253" s="32"/>
      <c r="Q253" s="32" t="s">
        <v>2610</v>
      </c>
      <c r="R253" s="48">
        <v>42838.0</v>
      </c>
      <c r="S253" s="32" t="s">
        <v>196</v>
      </c>
      <c r="T253" s="56" t="s">
        <v>248</v>
      </c>
      <c r="U253" s="45" t="s">
        <v>2613</v>
      </c>
      <c r="V253" s="34" t="s">
        <v>80</v>
      </c>
      <c r="W253" s="32" t="s">
        <v>201</v>
      </c>
      <c r="X253" s="32" t="s">
        <v>202</v>
      </c>
      <c r="Y253" s="45" t="s">
        <v>203</v>
      </c>
      <c r="Z253" s="32" t="s">
        <v>112</v>
      </c>
      <c r="AA253" s="32"/>
      <c r="AB253" s="32" t="s">
        <v>113</v>
      </c>
      <c r="AC253" s="60"/>
      <c r="AD253" s="66"/>
      <c r="AE253" s="53"/>
      <c r="AF253" s="34" t="s">
        <v>74</v>
      </c>
      <c r="AG253" s="56" t="s">
        <v>206</v>
      </c>
      <c r="AH253" s="266"/>
      <c r="AI253" s="266"/>
      <c r="AJ253" s="266"/>
      <c r="AK253" s="58">
        <v>41224.0</v>
      </c>
      <c r="AL253" s="56" t="s">
        <v>232</v>
      </c>
    </row>
    <row r="254" ht="22.5" customHeight="1">
      <c r="A254" s="27" t="s">
        <v>2614</v>
      </c>
      <c r="B254" s="63" t="s">
        <v>987</v>
      </c>
      <c r="C254" s="32" t="s">
        <v>988</v>
      </c>
      <c r="D254" s="41" t="s">
        <v>75</v>
      </c>
      <c r="E254" s="63" t="s">
        <v>990</v>
      </c>
      <c r="F254" s="34" t="s">
        <v>93</v>
      </c>
      <c r="G254" s="34" t="s">
        <v>168</v>
      </c>
      <c r="H254" s="48">
        <v>42509.0</v>
      </c>
      <c r="I254" s="48">
        <v>42509.0</v>
      </c>
      <c r="J254" s="48">
        <v>42509.0</v>
      </c>
      <c r="K254" s="32" t="s">
        <v>70</v>
      </c>
      <c r="L254" s="41" t="s">
        <v>115</v>
      </c>
      <c r="M254" s="63" t="s">
        <v>218</v>
      </c>
      <c r="N254" s="38" t="s">
        <v>89</v>
      </c>
      <c r="O254" s="32" t="s">
        <v>994</v>
      </c>
      <c r="P254" s="38"/>
      <c r="Q254" s="32" t="s">
        <v>2615</v>
      </c>
      <c r="R254" s="48">
        <v>43616.0</v>
      </c>
      <c r="S254" s="32" t="s">
        <v>116</v>
      </c>
      <c r="T254" s="203" t="s">
        <v>997</v>
      </c>
      <c r="U254" s="45" t="s">
        <v>2616</v>
      </c>
      <c r="V254" s="34" t="s">
        <v>80</v>
      </c>
      <c r="W254" s="63" t="s">
        <v>1001</v>
      </c>
      <c r="X254" s="63" t="s">
        <v>1002</v>
      </c>
      <c r="Y254" s="56" t="s">
        <v>1003</v>
      </c>
      <c r="Z254" s="32" t="s">
        <v>112</v>
      </c>
      <c r="AA254" s="32"/>
      <c r="AB254" s="32" t="s">
        <v>113</v>
      </c>
      <c r="AC254" s="60"/>
      <c r="AD254" s="66"/>
      <c r="AE254" s="32"/>
      <c r="AF254" s="34" t="s">
        <v>80</v>
      </c>
      <c r="AG254" s="56" t="s">
        <v>1005</v>
      </c>
      <c r="AH254" s="41"/>
      <c r="AI254" s="41"/>
      <c r="AJ254" s="41"/>
      <c r="AK254" s="83">
        <v>41736.0</v>
      </c>
      <c r="AL254" s="56" t="s">
        <v>1006</v>
      </c>
    </row>
    <row r="255" ht="22.5" customHeight="1">
      <c r="A255" s="27" t="s">
        <v>2617</v>
      </c>
      <c r="B255" s="63" t="s">
        <v>490</v>
      </c>
      <c r="C255" s="123" t="s">
        <v>494</v>
      </c>
      <c r="D255" s="39" t="s">
        <v>91</v>
      </c>
      <c r="E255" s="38" t="s">
        <v>496</v>
      </c>
      <c r="F255" s="41" t="s">
        <v>93</v>
      </c>
      <c r="G255" s="39" t="s">
        <v>168</v>
      </c>
      <c r="H255" s="36">
        <v>42521.0</v>
      </c>
      <c r="I255" s="36">
        <v>42521.0</v>
      </c>
      <c r="J255" s="36">
        <v>42521.0</v>
      </c>
      <c r="K255" s="121" t="s">
        <v>70</v>
      </c>
      <c r="L255" s="39" t="s">
        <v>115</v>
      </c>
      <c r="M255" s="63" t="s">
        <v>218</v>
      </c>
      <c r="N255" s="121" t="s">
        <v>89</v>
      </c>
      <c r="O255" s="38" t="s">
        <v>1513</v>
      </c>
      <c r="P255" s="150"/>
      <c r="Q255" s="225" t="s">
        <v>2618</v>
      </c>
      <c r="R255" s="36">
        <v>43616.0</v>
      </c>
      <c r="S255" s="121" t="s">
        <v>116</v>
      </c>
      <c r="T255" s="226" t="s">
        <v>505</v>
      </c>
      <c r="U255" s="45" t="s">
        <v>2619</v>
      </c>
      <c r="V255" s="34" t="s">
        <v>74</v>
      </c>
      <c r="W255" s="123" t="s">
        <v>508</v>
      </c>
      <c r="X255" s="32" t="s">
        <v>511</v>
      </c>
      <c r="Y255" s="226" t="s">
        <v>512</v>
      </c>
      <c r="Z255" s="32" t="s">
        <v>112</v>
      </c>
      <c r="AA255" s="150"/>
      <c r="AB255" s="149" t="s">
        <v>481</v>
      </c>
      <c r="AC255" s="68"/>
      <c r="AD255" s="66"/>
      <c r="AE255" s="137"/>
      <c r="AF255" s="34" t="s">
        <v>80</v>
      </c>
      <c r="AG255" s="56" t="s">
        <v>515</v>
      </c>
      <c r="AH255" s="41"/>
      <c r="AI255" s="41"/>
      <c r="AJ255" s="41"/>
      <c r="AK255" s="132">
        <v>41074.0</v>
      </c>
      <c r="AL255" s="56" t="s">
        <v>2423</v>
      </c>
    </row>
    <row r="256" ht="22.5" customHeight="1">
      <c r="A256" s="27" t="s">
        <v>2620</v>
      </c>
      <c r="B256" s="60" t="s">
        <v>1795</v>
      </c>
      <c r="C256" s="32" t="s">
        <v>1796</v>
      </c>
      <c r="D256" s="34" t="s">
        <v>75</v>
      </c>
      <c r="E256" s="38" t="s">
        <v>1797</v>
      </c>
      <c r="F256" s="34" t="s">
        <v>140</v>
      </c>
      <c r="G256" s="34" t="s">
        <v>168</v>
      </c>
      <c r="H256" s="48">
        <v>42523.0</v>
      </c>
      <c r="I256" s="48">
        <v>42523.0</v>
      </c>
      <c r="J256" s="36"/>
      <c r="K256" s="32" t="s">
        <v>86</v>
      </c>
      <c r="L256" s="41" t="s">
        <v>115</v>
      </c>
      <c r="M256" s="42" t="s">
        <v>88</v>
      </c>
      <c r="N256" s="38" t="s">
        <v>89</v>
      </c>
      <c r="O256" s="32" t="s">
        <v>994</v>
      </c>
      <c r="P256" s="32"/>
      <c r="Q256" s="32" t="s">
        <v>2615</v>
      </c>
      <c r="R256" s="48">
        <v>43619.0</v>
      </c>
      <c r="S256" s="32" t="s">
        <v>1798</v>
      </c>
      <c r="T256" s="45" t="s">
        <v>1800</v>
      </c>
      <c r="U256" s="45" t="s">
        <v>2621</v>
      </c>
      <c r="V256" s="34" t="s">
        <v>80</v>
      </c>
      <c r="W256" s="60" t="s">
        <v>1804</v>
      </c>
      <c r="X256" s="60" t="s">
        <v>2622</v>
      </c>
      <c r="Y256" s="109" t="s">
        <v>1806</v>
      </c>
      <c r="Z256" s="32" t="s">
        <v>112</v>
      </c>
      <c r="AA256" s="32"/>
      <c r="AB256" s="123" t="s">
        <v>113</v>
      </c>
      <c r="AC256" s="60"/>
      <c r="AD256" s="66"/>
      <c r="AE256" s="53"/>
      <c r="AF256" s="34" t="s">
        <v>80</v>
      </c>
      <c r="AG256" s="56" t="s">
        <v>1810</v>
      </c>
      <c r="AH256" s="41"/>
      <c r="AI256" s="41"/>
      <c r="AJ256" s="41"/>
      <c r="AK256" s="58">
        <v>41925.0</v>
      </c>
      <c r="AL256" s="56" t="s">
        <v>1006</v>
      </c>
    </row>
    <row r="257" ht="22.5" customHeight="1">
      <c r="A257" s="27" t="s">
        <v>2623</v>
      </c>
      <c r="B257" s="63" t="s">
        <v>2624</v>
      </c>
      <c r="C257" s="32" t="s">
        <v>2625</v>
      </c>
      <c r="D257" s="34" t="s">
        <v>75</v>
      </c>
      <c r="E257" s="32" t="s">
        <v>2626</v>
      </c>
      <c r="F257" s="34" t="s">
        <v>140</v>
      </c>
      <c r="G257" s="34" t="s">
        <v>85</v>
      </c>
      <c r="H257" s="48">
        <v>42508.0</v>
      </c>
      <c r="I257" s="48">
        <v>42508.0</v>
      </c>
      <c r="J257" s="36"/>
      <c r="K257" s="32" t="s">
        <v>70</v>
      </c>
      <c r="L257" s="34" t="s">
        <v>115</v>
      </c>
      <c r="M257" s="63" t="s">
        <v>218</v>
      </c>
      <c r="N257" s="32" t="s">
        <v>89</v>
      </c>
      <c r="O257" s="32" t="s">
        <v>1798</v>
      </c>
      <c r="P257" s="32"/>
      <c r="Q257" s="32" t="s">
        <v>1799</v>
      </c>
      <c r="R257" s="48">
        <v>43603.0</v>
      </c>
      <c r="S257" s="32" t="s">
        <v>1798</v>
      </c>
      <c r="T257" s="45" t="s">
        <v>2627</v>
      </c>
      <c r="U257" s="45" t="s">
        <v>2628</v>
      </c>
      <c r="V257" s="34" t="s">
        <v>80</v>
      </c>
      <c r="W257" s="60" t="s">
        <v>2629</v>
      </c>
      <c r="X257" s="198" t="s">
        <v>2630</v>
      </c>
      <c r="Y257" s="109" t="s">
        <v>2631</v>
      </c>
      <c r="Z257" s="32" t="s">
        <v>112</v>
      </c>
      <c r="AA257" s="32"/>
      <c r="AB257" s="32" t="s">
        <v>113</v>
      </c>
      <c r="AC257" s="60" t="s">
        <v>2632</v>
      </c>
      <c r="AD257" s="136">
        <v>42662.0</v>
      </c>
      <c r="AE257" s="53"/>
      <c r="AF257" s="34" t="s">
        <v>80</v>
      </c>
      <c r="AG257" s="56" t="s">
        <v>2633</v>
      </c>
      <c r="AH257" s="41"/>
      <c r="AI257" s="58"/>
      <c r="AJ257" s="41"/>
      <c r="AK257" s="58">
        <v>42297.0</v>
      </c>
      <c r="AL257" s="56" t="s">
        <v>1813</v>
      </c>
    </row>
    <row r="258" ht="22.5" customHeight="1">
      <c r="A258" s="238" t="s">
        <v>2634</v>
      </c>
      <c r="B258" s="63" t="s">
        <v>901</v>
      </c>
      <c r="C258" s="32" t="s">
        <v>1995</v>
      </c>
      <c r="D258" s="41" t="s">
        <v>75</v>
      </c>
      <c r="E258" s="38" t="s">
        <v>1996</v>
      </c>
      <c r="F258" s="34" t="s">
        <v>93</v>
      </c>
      <c r="G258" s="34" t="s">
        <v>168</v>
      </c>
      <c r="H258" s="48">
        <v>42349.0</v>
      </c>
      <c r="I258" s="48">
        <v>42348.0</v>
      </c>
      <c r="J258" s="48">
        <v>42349.0</v>
      </c>
      <c r="K258" s="32" t="s">
        <v>70</v>
      </c>
      <c r="L258" s="41" t="s">
        <v>115</v>
      </c>
      <c r="M258" s="63" t="s">
        <v>218</v>
      </c>
      <c r="N258" s="38" t="s">
        <v>89</v>
      </c>
      <c r="O258" s="32" t="s">
        <v>2271</v>
      </c>
      <c r="P258" s="38"/>
      <c r="Q258" s="32" t="s">
        <v>2272</v>
      </c>
      <c r="R258" s="48">
        <v>43445.0</v>
      </c>
      <c r="S258" s="32" t="s">
        <v>116</v>
      </c>
      <c r="T258" s="45" t="s">
        <v>1318</v>
      </c>
      <c r="U258" s="56" t="s">
        <v>2635</v>
      </c>
      <c r="V258" s="34" t="s">
        <v>80</v>
      </c>
      <c r="W258" s="60" t="s">
        <v>904</v>
      </c>
      <c r="X258" s="60" t="s">
        <v>905</v>
      </c>
      <c r="Y258" s="109" t="s">
        <v>1999</v>
      </c>
      <c r="Z258" s="32" t="s">
        <v>112</v>
      </c>
      <c r="AA258" s="68"/>
      <c r="AB258" s="123" t="s">
        <v>113</v>
      </c>
      <c r="AC258" s="60"/>
      <c r="AD258" s="261"/>
      <c r="AE258" s="53"/>
      <c r="AF258" s="34" t="s">
        <v>80</v>
      </c>
      <c r="AG258" s="56" t="s">
        <v>911</v>
      </c>
      <c r="AH258" s="41"/>
      <c r="AI258" s="41"/>
      <c r="AJ258" s="41"/>
      <c r="AK258" s="58">
        <v>41530.0</v>
      </c>
      <c r="AL258" s="56" t="s">
        <v>2275</v>
      </c>
    </row>
    <row r="259" ht="22.5" customHeight="1">
      <c r="A259" s="27" t="s">
        <v>2636</v>
      </c>
      <c r="B259" s="63" t="s">
        <v>2637</v>
      </c>
      <c r="C259" s="63" t="s">
        <v>2638</v>
      </c>
      <c r="D259" s="270" t="s">
        <v>75</v>
      </c>
      <c r="E259" s="63" t="s">
        <v>2639</v>
      </c>
      <c r="F259" s="34" t="s">
        <v>2</v>
      </c>
      <c r="G259" s="34" t="s">
        <v>85</v>
      </c>
      <c r="H259" s="48"/>
      <c r="I259" s="271"/>
      <c r="J259" s="271"/>
      <c r="K259" s="63" t="s">
        <v>86</v>
      </c>
      <c r="L259" s="34" t="s">
        <v>115</v>
      </c>
      <c r="M259" s="63" t="s">
        <v>383</v>
      </c>
      <c r="N259" s="63" t="s">
        <v>89</v>
      </c>
      <c r="O259" s="63" t="s">
        <v>2255</v>
      </c>
      <c r="P259" s="42"/>
      <c r="Q259" s="42"/>
      <c r="R259" s="271"/>
      <c r="S259" s="63" t="s">
        <v>2255</v>
      </c>
      <c r="T259" s="56" t="s">
        <v>2640</v>
      </c>
      <c r="U259" s="63"/>
      <c r="V259" s="41"/>
      <c r="W259" s="63" t="s">
        <v>2641</v>
      </c>
      <c r="X259" s="198" t="s">
        <v>2642</v>
      </c>
      <c r="Y259" s="56" t="s">
        <v>263</v>
      </c>
      <c r="Z259" s="32" t="s">
        <v>112</v>
      </c>
      <c r="AA259" s="42"/>
      <c r="AB259" s="60" t="s">
        <v>613</v>
      </c>
      <c r="AC259" s="60" t="s">
        <v>2643</v>
      </c>
      <c r="AD259" s="192">
        <v>42444.0</v>
      </c>
      <c r="AE259" s="147" t="s">
        <v>2644</v>
      </c>
      <c r="AF259" s="34" t="s">
        <v>74</v>
      </c>
      <c r="AG259" s="56" t="s">
        <v>261</v>
      </c>
      <c r="AH259" s="41"/>
      <c r="AI259" s="41"/>
      <c r="AJ259" s="58">
        <v>42412.0</v>
      </c>
      <c r="AK259" s="58"/>
      <c r="AL259" s="63"/>
    </row>
    <row r="260" ht="22.5" customHeight="1">
      <c r="A260" s="27" t="s">
        <v>2645</v>
      </c>
      <c r="B260" s="63" t="s">
        <v>2646</v>
      </c>
      <c r="C260" s="63" t="s">
        <v>2647</v>
      </c>
      <c r="D260" s="270" t="s">
        <v>91</v>
      </c>
      <c r="E260" s="149" t="s">
        <v>2648</v>
      </c>
      <c r="F260" s="34" t="s">
        <v>2</v>
      </c>
      <c r="G260" s="34" t="s">
        <v>85</v>
      </c>
      <c r="H260" s="48"/>
      <c r="I260" s="271"/>
      <c r="J260" s="271"/>
      <c r="K260" s="63" t="s">
        <v>86</v>
      </c>
      <c r="L260" s="34" t="s">
        <v>115</v>
      </c>
      <c r="M260" s="32" t="s">
        <v>218</v>
      </c>
      <c r="N260" s="63" t="s">
        <v>89</v>
      </c>
      <c r="O260" s="63" t="s">
        <v>2255</v>
      </c>
      <c r="P260" s="63"/>
      <c r="Q260" s="42"/>
      <c r="R260" s="271"/>
      <c r="S260" s="63" t="s">
        <v>2255</v>
      </c>
      <c r="T260" s="56" t="s">
        <v>2649</v>
      </c>
      <c r="U260" s="63"/>
      <c r="V260" s="41"/>
      <c r="W260" s="63" t="s">
        <v>2650</v>
      </c>
      <c r="X260" s="63" t="s">
        <v>2651</v>
      </c>
      <c r="Y260" s="56" t="s">
        <v>2652</v>
      </c>
      <c r="Z260" s="32" t="s">
        <v>112</v>
      </c>
      <c r="AA260" s="42"/>
      <c r="AB260" s="123" t="s">
        <v>113</v>
      </c>
      <c r="AC260" s="60"/>
      <c r="AD260" s="66"/>
      <c r="AE260" s="171"/>
      <c r="AF260" s="34" t="s">
        <v>74</v>
      </c>
      <c r="AG260" s="56" t="s">
        <v>2653</v>
      </c>
      <c r="AH260" s="266"/>
      <c r="AI260" s="266"/>
      <c r="AJ260" s="268">
        <v>42433.0</v>
      </c>
      <c r="AK260" s="268"/>
      <c r="AL260" s="63"/>
    </row>
    <row r="261" ht="22.5" customHeight="1">
      <c r="A261" s="27" t="s">
        <v>2654</v>
      </c>
      <c r="B261" s="63" t="s">
        <v>2655</v>
      </c>
      <c r="C261" s="63" t="s">
        <v>2656</v>
      </c>
      <c r="D261" s="270" t="s">
        <v>75</v>
      </c>
      <c r="E261" s="149" t="s">
        <v>2657</v>
      </c>
      <c r="F261" s="34" t="s">
        <v>2</v>
      </c>
      <c r="G261" s="34" t="s">
        <v>85</v>
      </c>
      <c r="H261" s="48"/>
      <c r="I261" s="271"/>
      <c r="J261" s="271"/>
      <c r="K261" s="63" t="s">
        <v>86</v>
      </c>
      <c r="L261" s="34" t="s">
        <v>115</v>
      </c>
      <c r="M261" s="63" t="s">
        <v>88</v>
      </c>
      <c r="N261" s="63" t="s">
        <v>89</v>
      </c>
      <c r="O261" s="63" t="s">
        <v>2255</v>
      </c>
      <c r="P261" s="42"/>
      <c r="Q261" s="42"/>
      <c r="R261" s="271"/>
      <c r="S261" s="63" t="s">
        <v>2255</v>
      </c>
      <c r="T261" s="56" t="s">
        <v>2658</v>
      </c>
      <c r="U261" s="63"/>
      <c r="V261" s="34" t="s">
        <v>74</v>
      </c>
      <c r="W261" s="32" t="s">
        <v>2659</v>
      </c>
      <c r="X261" s="63" t="s">
        <v>2660</v>
      </c>
      <c r="Y261" s="56" t="s">
        <v>2661</v>
      </c>
      <c r="Z261" s="32" t="s">
        <v>112</v>
      </c>
      <c r="AA261" s="42"/>
      <c r="AB261" s="123" t="s">
        <v>113</v>
      </c>
      <c r="AC261" s="60"/>
      <c r="AD261" s="66">
        <v>42534.0</v>
      </c>
      <c r="AE261" s="171"/>
      <c r="AF261" s="34" t="s">
        <v>74</v>
      </c>
      <c r="AG261" s="56" t="s">
        <v>2662</v>
      </c>
      <c r="AH261" s="266"/>
      <c r="AI261" s="268"/>
      <c r="AJ261" s="268">
        <v>42495.0</v>
      </c>
      <c r="AK261" s="83">
        <v>42242.0</v>
      </c>
      <c r="AL261" s="63"/>
    </row>
    <row r="262" ht="22.5" customHeight="1">
      <c r="A262" s="27" t="s">
        <v>2663</v>
      </c>
      <c r="B262" s="63" t="s">
        <v>2664</v>
      </c>
      <c r="C262" s="63" t="s">
        <v>2665</v>
      </c>
      <c r="D262" s="270" t="s">
        <v>75</v>
      </c>
      <c r="E262" s="149" t="s">
        <v>2666</v>
      </c>
      <c r="F262" s="34" t="s">
        <v>2</v>
      </c>
      <c r="G262" s="34" t="s">
        <v>85</v>
      </c>
      <c r="H262" s="48">
        <v>42486.0</v>
      </c>
      <c r="I262" s="271"/>
      <c r="J262" s="271"/>
      <c r="K262" s="63" t="s">
        <v>86</v>
      </c>
      <c r="L262" s="34" t="s">
        <v>115</v>
      </c>
      <c r="M262" s="32" t="s">
        <v>313</v>
      </c>
      <c r="N262" s="63" t="s">
        <v>89</v>
      </c>
      <c r="O262" s="63" t="s">
        <v>2255</v>
      </c>
      <c r="P262" s="42"/>
      <c r="Q262" s="42"/>
      <c r="R262" s="271"/>
      <c r="S262" s="63" t="s">
        <v>2255</v>
      </c>
      <c r="T262" s="56" t="s">
        <v>2667</v>
      </c>
      <c r="U262" s="63"/>
      <c r="V262" s="41"/>
      <c r="W262" s="63" t="s">
        <v>2668</v>
      </c>
      <c r="X262" s="63" t="s">
        <v>2669</v>
      </c>
      <c r="Y262" s="56" t="s">
        <v>2670</v>
      </c>
      <c r="Z262" s="32" t="s">
        <v>112</v>
      </c>
      <c r="AA262" s="42"/>
      <c r="AB262" s="149" t="s">
        <v>481</v>
      </c>
      <c r="AC262" s="60"/>
      <c r="AD262" s="66">
        <v>42486.0</v>
      </c>
      <c r="AE262" s="171"/>
      <c r="AF262" s="34" t="s">
        <v>80</v>
      </c>
      <c r="AG262" s="56" t="s">
        <v>2671</v>
      </c>
      <c r="AH262" s="266"/>
      <c r="AI262" s="266"/>
      <c r="AJ262" s="268">
        <v>42480.0</v>
      </c>
      <c r="AK262" s="268"/>
      <c r="AL262" s="63"/>
    </row>
    <row r="263" ht="22.5" customHeight="1">
      <c r="A263" s="27" t="s">
        <v>2672</v>
      </c>
      <c r="B263" s="63" t="s">
        <v>2673</v>
      </c>
      <c r="C263" s="63" t="s">
        <v>2674</v>
      </c>
      <c r="D263" s="34" t="s">
        <v>75</v>
      </c>
      <c r="E263" s="32" t="s">
        <v>2675</v>
      </c>
      <c r="F263" s="34" t="s">
        <v>140</v>
      </c>
      <c r="G263" s="34" t="s">
        <v>85</v>
      </c>
      <c r="H263" s="48">
        <v>42541.0</v>
      </c>
      <c r="I263" s="48">
        <v>42541.0</v>
      </c>
      <c r="J263" s="48">
        <v>42541.0</v>
      </c>
      <c r="K263" s="32" t="s">
        <v>70</v>
      </c>
      <c r="L263" s="34" t="s">
        <v>115</v>
      </c>
      <c r="M263" s="63" t="s">
        <v>218</v>
      </c>
      <c r="N263" s="32" t="s">
        <v>89</v>
      </c>
      <c r="O263" s="32" t="s">
        <v>1045</v>
      </c>
      <c r="P263" s="38"/>
      <c r="Q263" s="32" t="s">
        <v>2676</v>
      </c>
      <c r="R263" s="58">
        <v>43636.0</v>
      </c>
      <c r="S263" s="32" t="s">
        <v>1045</v>
      </c>
      <c r="T263" s="56" t="s">
        <v>2677</v>
      </c>
      <c r="U263" s="45" t="s">
        <v>2678</v>
      </c>
      <c r="V263" s="34" t="s">
        <v>80</v>
      </c>
      <c r="W263" s="32" t="s">
        <v>2679</v>
      </c>
      <c r="X263" s="149" t="s">
        <v>2680</v>
      </c>
      <c r="Y263" s="152" t="s">
        <v>2681</v>
      </c>
      <c r="Z263" s="32" t="s">
        <v>112</v>
      </c>
      <c r="AA263" s="38"/>
      <c r="AB263" s="32" t="s">
        <v>113</v>
      </c>
      <c r="AC263" s="60" t="s">
        <v>2682</v>
      </c>
      <c r="AD263" s="136">
        <v>42545.0</v>
      </c>
      <c r="AE263" s="53"/>
      <c r="AF263" s="34" t="s">
        <v>80</v>
      </c>
      <c r="AG263" s="56" t="s">
        <v>2683</v>
      </c>
      <c r="AH263" s="63" t="s">
        <v>1709</v>
      </c>
      <c r="AI263" s="41"/>
      <c r="AJ263" s="41"/>
      <c r="AK263" s="58">
        <v>42450.0</v>
      </c>
      <c r="AL263" s="56" t="s">
        <v>1048</v>
      </c>
    </row>
    <row r="264" ht="22.5" customHeight="1">
      <c r="A264" s="27" t="s">
        <v>2684</v>
      </c>
      <c r="B264" s="63" t="s">
        <v>888</v>
      </c>
      <c r="C264" s="32" t="s">
        <v>1281</v>
      </c>
      <c r="D264" s="41" t="s">
        <v>75</v>
      </c>
      <c r="E264" s="38" t="s">
        <v>1282</v>
      </c>
      <c r="F264" s="34" t="s">
        <v>140</v>
      </c>
      <c r="G264" s="34" t="s">
        <v>168</v>
      </c>
      <c r="H264" s="48">
        <v>42535.0</v>
      </c>
      <c r="I264" s="48">
        <v>42535.0</v>
      </c>
      <c r="J264" s="36"/>
      <c r="K264" s="32" t="s">
        <v>70</v>
      </c>
      <c r="L264" s="34" t="s">
        <v>115</v>
      </c>
      <c r="M264" s="32" t="s">
        <v>88</v>
      </c>
      <c r="N264" s="32" t="s">
        <v>89</v>
      </c>
      <c r="O264" s="32" t="s">
        <v>2187</v>
      </c>
      <c r="P264" s="38"/>
      <c r="Q264" s="32" t="s">
        <v>2685</v>
      </c>
      <c r="R264" s="48">
        <v>43630.0</v>
      </c>
      <c r="S264" s="32" t="s">
        <v>196</v>
      </c>
      <c r="T264" s="45" t="s">
        <v>1285</v>
      </c>
      <c r="U264" s="45" t="s">
        <v>2686</v>
      </c>
      <c r="V264" s="34" t="s">
        <v>74</v>
      </c>
      <c r="W264" s="32" t="s">
        <v>561</v>
      </c>
      <c r="X264" s="60" t="s">
        <v>1287</v>
      </c>
      <c r="Y264" s="45" t="s">
        <v>1288</v>
      </c>
      <c r="Z264" s="32" t="s">
        <v>112</v>
      </c>
      <c r="AA264" s="32"/>
      <c r="AB264" s="32" t="s">
        <v>113</v>
      </c>
      <c r="AC264" s="60"/>
      <c r="AD264" s="136"/>
      <c r="AE264" s="53"/>
      <c r="AF264" s="34" t="s">
        <v>80</v>
      </c>
      <c r="AG264" s="56" t="s">
        <v>900</v>
      </c>
      <c r="AH264" s="41"/>
      <c r="AI264" s="41"/>
      <c r="AJ264" s="41"/>
      <c r="AK264" s="155">
        <v>41770.0</v>
      </c>
      <c r="AL264" s="56" t="s">
        <v>2687</v>
      </c>
    </row>
    <row r="265" ht="22.5" customHeight="1">
      <c r="A265" s="27" t="s">
        <v>2688</v>
      </c>
      <c r="B265" s="63" t="s">
        <v>190</v>
      </c>
      <c r="C265" s="32" t="s">
        <v>191</v>
      </c>
      <c r="D265" s="34" t="s">
        <v>752</v>
      </c>
      <c r="E265" s="38" t="s">
        <v>193</v>
      </c>
      <c r="F265" s="54" t="s">
        <v>93</v>
      </c>
      <c r="G265" s="34" t="s">
        <v>168</v>
      </c>
      <c r="H265" s="48">
        <v>42535.0</v>
      </c>
      <c r="I265" s="48">
        <v>42535.0</v>
      </c>
      <c r="J265" s="36"/>
      <c r="K265" s="32" t="s">
        <v>70</v>
      </c>
      <c r="L265" s="41" t="s">
        <v>115</v>
      </c>
      <c r="M265" s="63" t="s">
        <v>88</v>
      </c>
      <c r="N265" s="38" t="s">
        <v>89</v>
      </c>
      <c r="O265" s="32" t="s">
        <v>2187</v>
      </c>
      <c r="P265" s="38"/>
      <c r="Q265" s="32" t="s">
        <v>2685</v>
      </c>
      <c r="R265" s="48">
        <v>43630.0</v>
      </c>
      <c r="S265" s="57" t="s">
        <v>116</v>
      </c>
      <c r="T265" s="56" t="s">
        <v>198</v>
      </c>
      <c r="U265" s="45" t="s">
        <v>2689</v>
      </c>
      <c r="V265" s="34" t="s">
        <v>74</v>
      </c>
      <c r="W265" s="32" t="s">
        <v>201</v>
      </c>
      <c r="X265" s="32" t="s">
        <v>202</v>
      </c>
      <c r="Y265" s="45" t="s">
        <v>203</v>
      </c>
      <c r="Z265" s="32" t="s">
        <v>112</v>
      </c>
      <c r="AA265" s="32"/>
      <c r="AB265" s="32" t="s">
        <v>113</v>
      </c>
      <c r="AC265" s="60"/>
      <c r="AD265" s="66"/>
      <c r="AE265" s="53"/>
      <c r="AF265" s="34" t="s">
        <v>80</v>
      </c>
      <c r="AG265" s="56" t="s">
        <v>206</v>
      </c>
      <c r="AH265" s="41"/>
      <c r="AI265" s="41"/>
      <c r="AJ265" s="41"/>
      <c r="AK265" s="58">
        <v>41215.0</v>
      </c>
      <c r="AL265" s="56" t="s">
        <v>2687</v>
      </c>
    </row>
    <row r="266" ht="22.5" customHeight="1">
      <c r="A266" s="27" t="s">
        <v>2690</v>
      </c>
      <c r="B266" s="63" t="s">
        <v>1585</v>
      </c>
      <c r="C266" s="63" t="s">
        <v>1586</v>
      </c>
      <c r="D266" s="34" t="s">
        <v>584</v>
      </c>
      <c r="E266" s="38" t="s">
        <v>1588</v>
      </c>
      <c r="F266" s="34" t="s">
        <v>140</v>
      </c>
      <c r="G266" s="34" t="s">
        <v>168</v>
      </c>
      <c r="H266" s="48">
        <v>42307.0</v>
      </c>
      <c r="I266" s="48">
        <v>42307.0</v>
      </c>
      <c r="J266" s="36"/>
      <c r="K266" s="32" t="s">
        <v>70</v>
      </c>
      <c r="L266" s="41" t="s">
        <v>115</v>
      </c>
      <c r="M266" s="63" t="s">
        <v>313</v>
      </c>
      <c r="N266" s="38" t="s">
        <v>89</v>
      </c>
      <c r="O266" s="32" t="s">
        <v>1195</v>
      </c>
      <c r="P266" s="32"/>
      <c r="Q266" s="32" t="s">
        <v>2691</v>
      </c>
      <c r="R266" s="48">
        <v>43402.0</v>
      </c>
      <c r="S266" s="32" t="s">
        <v>327</v>
      </c>
      <c r="T266" s="203" t="s">
        <v>1591</v>
      </c>
      <c r="U266" s="45" t="s">
        <v>2692</v>
      </c>
      <c r="V266" s="34" t="s">
        <v>80</v>
      </c>
      <c r="W266" s="32" t="s">
        <v>561</v>
      </c>
      <c r="X266" s="60" t="s">
        <v>1595</v>
      </c>
      <c r="Y266" s="45" t="s">
        <v>1596</v>
      </c>
      <c r="Z266" s="32" t="s">
        <v>112</v>
      </c>
      <c r="AA266" s="32"/>
      <c r="AB266" s="32" t="s">
        <v>113</v>
      </c>
      <c r="AC266" s="60"/>
      <c r="AD266" s="192"/>
      <c r="AE266" s="53"/>
      <c r="AF266" s="272" t="s">
        <v>80</v>
      </c>
      <c r="AG266" s="56" t="s">
        <v>1598</v>
      </c>
      <c r="AH266" s="266"/>
      <c r="AI266" s="266"/>
      <c r="AJ266" s="266"/>
      <c r="AK266" s="58">
        <v>41770.0</v>
      </c>
      <c r="AL266" s="56" t="s">
        <v>1215</v>
      </c>
    </row>
    <row r="267" ht="22.5" customHeight="1">
      <c r="A267" s="27" t="s">
        <v>2693</v>
      </c>
      <c r="B267" s="63" t="s">
        <v>190</v>
      </c>
      <c r="C267" s="63" t="s">
        <v>211</v>
      </c>
      <c r="D267" s="39" t="s">
        <v>91</v>
      </c>
      <c r="E267" s="38" t="s">
        <v>214</v>
      </c>
      <c r="F267" s="34" t="s">
        <v>140</v>
      </c>
      <c r="G267" s="34" t="s">
        <v>168</v>
      </c>
      <c r="H267" s="48">
        <v>42530.0</v>
      </c>
      <c r="I267" s="48">
        <v>42530.0</v>
      </c>
      <c r="J267" s="48">
        <v>42530.0</v>
      </c>
      <c r="K267" s="32" t="s">
        <v>86</v>
      </c>
      <c r="L267" s="41" t="s">
        <v>115</v>
      </c>
      <c r="M267" s="63" t="s">
        <v>218</v>
      </c>
      <c r="N267" s="38" t="s">
        <v>89</v>
      </c>
      <c r="O267" s="32" t="s">
        <v>142</v>
      </c>
      <c r="P267" s="38" t="s">
        <v>1050</v>
      </c>
      <c r="Q267" s="32" t="s">
        <v>2590</v>
      </c>
      <c r="R267" s="48">
        <v>42561.0</v>
      </c>
      <c r="S267" s="32" t="s">
        <v>196</v>
      </c>
      <c r="T267" s="56" t="s">
        <v>248</v>
      </c>
      <c r="U267" s="45" t="s">
        <v>2694</v>
      </c>
      <c r="V267" s="34" t="s">
        <v>80</v>
      </c>
      <c r="W267" s="32" t="s">
        <v>201</v>
      </c>
      <c r="X267" s="32" t="s">
        <v>202</v>
      </c>
      <c r="Y267" s="45" t="s">
        <v>203</v>
      </c>
      <c r="Z267" s="32" t="s">
        <v>112</v>
      </c>
      <c r="AA267" s="32"/>
      <c r="AB267" s="32" t="s">
        <v>113</v>
      </c>
      <c r="AC267" s="60"/>
      <c r="AD267" s="192"/>
      <c r="AE267" s="30" t="s">
        <v>2695</v>
      </c>
      <c r="AF267" s="272" t="s">
        <v>74</v>
      </c>
      <c r="AG267" s="56" t="s">
        <v>206</v>
      </c>
      <c r="AH267" s="266"/>
      <c r="AI267" s="266"/>
      <c r="AJ267" s="266"/>
      <c r="AK267" s="58">
        <v>41224.0</v>
      </c>
      <c r="AL267" s="56" t="s">
        <v>262</v>
      </c>
    </row>
    <row r="268" ht="22.5" customHeight="1">
      <c r="A268" s="27" t="s">
        <v>2696</v>
      </c>
      <c r="B268" s="63" t="s">
        <v>190</v>
      </c>
      <c r="C268" s="149" t="s">
        <v>211</v>
      </c>
      <c r="D268" s="34" t="s">
        <v>752</v>
      </c>
      <c r="E268" s="32" t="s">
        <v>947</v>
      </c>
      <c r="F268" s="34" t="s">
        <v>93</v>
      </c>
      <c r="G268" s="34" t="s">
        <v>168</v>
      </c>
      <c r="H268" s="48">
        <v>42502.0</v>
      </c>
      <c r="I268" s="48">
        <v>42502.0</v>
      </c>
      <c r="J268" s="36"/>
      <c r="K268" s="32" t="s">
        <v>70</v>
      </c>
      <c r="L268" s="41" t="s">
        <v>115</v>
      </c>
      <c r="M268" s="63" t="s">
        <v>218</v>
      </c>
      <c r="N268" s="32" t="s">
        <v>434</v>
      </c>
      <c r="O268" s="32" t="s">
        <v>954</v>
      </c>
      <c r="P268" s="38"/>
      <c r="Q268" s="32" t="s">
        <v>2493</v>
      </c>
      <c r="R268" s="36"/>
      <c r="S268" s="32" t="s">
        <v>116</v>
      </c>
      <c r="T268" s="56" t="s">
        <v>198</v>
      </c>
      <c r="U268" s="45" t="s">
        <v>2697</v>
      </c>
      <c r="V268" s="34" t="s">
        <v>80</v>
      </c>
      <c r="W268" s="32" t="s">
        <v>201</v>
      </c>
      <c r="X268" s="32" t="s">
        <v>202</v>
      </c>
      <c r="Y268" s="45" t="s">
        <v>203</v>
      </c>
      <c r="Z268" s="32" t="s">
        <v>112</v>
      </c>
      <c r="AA268" s="32"/>
      <c r="AB268" s="32" t="s">
        <v>113</v>
      </c>
      <c r="AC268" s="60"/>
      <c r="AD268" s="192"/>
      <c r="AE268" s="30"/>
      <c r="AF268" s="272" t="s">
        <v>80</v>
      </c>
      <c r="AG268" s="56" t="s">
        <v>206</v>
      </c>
      <c r="AH268" s="266"/>
      <c r="AI268" s="266"/>
      <c r="AJ268" s="266"/>
      <c r="AK268" s="58">
        <v>42212.0</v>
      </c>
      <c r="AL268" s="56" t="s">
        <v>965</v>
      </c>
    </row>
    <row r="269" ht="22.5" customHeight="1">
      <c r="A269" s="27" t="s">
        <v>2698</v>
      </c>
      <c r="B269" s="63" t="s">
        <v>190</v>
      </c>
      <c r="C269" s="63" t="s">
        <v>191</v>
      </c>
      <c r="D269" s="34" t="s">
        <v>752</v>
      </c>
      <c r="E269" s="38" t="s">
        <v>193</v>
      </c>
      <c r="F269" s="54" t="s">
        <v>93</v>
      </c>
      <c r="G269" s="34" t="s">
        <v>168</v>
      </c>
      <c r="H269" s="48">
        <v>42502.0</v>
      </c>
      <c r="I269" s="48">
        <v>42502.0</v>
      </c>
      <c r="J269" s="36"/>
      <c r="K269" s="32" t="s">
        <v>70</v>
      </c>
      <c r="L269" s="41" t="s">
        <v>115</v>
      </c>
      <c r="M269" s="63" t="s">
        <v>88</v>
      </c>
      <c r="N269" s="38" t="s">
        <v>89</v>
      </c>
      <c r="O269" s="32" t="s">
        <v>954</v>
      </c>
      <c r="P269" s="38"/>
      <c r="Q269" s="32" t="s">
        <v>2493</v>
      </c>
      <c r="R269" s="34"/>
      <c r="S269" s="57" t="s">
        <v>116</v>
      </c>
      <c r="T269" s="56" t="s">
        <v>198</v>
      </c>
      <c r="U269" s="45" t="s">
        <v>2699</v>
      </c>
      <c r="V269" s="34" t="s">
        <v>80</v>
      </c>
      <c r="W269" s="32" t="s">
        <v>201</v>
      </c>
      <c r="X269" s="32" t="s">
        <v>202</v>
      </c>
      <c r="Y269" s="45" t="s">
        <v>203</v>
      </c>
      <c r="Z269" s="32" t="s">
        <v>112</v>
      </c>
      <c r="AA269" s="32"/>
      <c r="AB269" s="32" t="s">
        <v>113</v>
      </c>
      <c r="AC269" s="60"/>
      <c r="AD269" s="192"/>
      <c r="AE269" s="53"/>
      <c r="AF269" s="272" t="s">
        <v>80</v>
      </c>
      <c r="AG269" s="56" t="s">
        <v>206</v>
      </c>
      <c r="AH269" s="266"/>
      <c r="AI269" s="266"/>
      <c r="AJ269" s="266"/>
      <c r="AK269" s="58">
        <v>41215.0</v>
      </c>
      <c r="AL269" s="56" t="s">
        <v>965</v>
      </c>
    </row>
    <row r="270" ht="22.5" customHeight="1">
      <c r="A270" s="27" t="s">
        <v>2700</v>
      </c>
      <c r="B270" s="63" t="s">
        <v>190</v>
      </c>
      <c r="C270" s="149" t="s">
        <v>211</v>
      </c>
      <c r="D270" s="34" t="s">
        <v>752</v>
      </c>
      <c r="E270" s="32" t="s">
        <v>947</v>
      </c>
      <c r="F270" s="34" t="s">
        <v>93</v>
      </c>
      <c r="G270" s="34" t="s">
        <v>168</v>
      </c>
      <c r="H270" s="48">
        <v>42478.0</v>
      </c>
      <c r="I270" s="36"/>
      <c r="J270" s="48">
        <v>42478.0</v>
      </c>
      <c r="K270" s="32" t="s">
        <v>70</v>
      </c>
      <c r="L270" s="34" t="s">
        <v>115</v>
      </c>
      <c r="M270" s="63" t="s">
        <v>218</v>
      </c>
      <c r="N270" s="32" t="s">
        <v>434</v>
      </c>
      <c r="O270" s="32" t="s">
        <v>142</v>
      </c>
      <c r="P270" s="50" t="s">
        <v>2701</v>
      </c>
      <c r="Q270" s="32" t="s">
        <v>2702</v>
      </c>
      <c r="R270" s="34"/>
      <c r="S270" s="32" t="s">
        <v>116</v>
      </c>
      <c r="T270" s="56" t="s">
        <v>198</v>
      </c>
      <c r="U270" s="45" t="s">
        <v>2703</v>
      </c>
      <c r="V270" s="34" t="s">
        <v>80</v>
      </c>
      <c r="W270" s="32" t="s">
        <v>201</v>
      </c>
      <c r="X270" s="32" t="s">
        <v>202</v>
      </c>
      <c r="Y270" s="45" t="s">
        <v>203</v>
      </c>
      <c r="Z270" s="32" t="s">
        <v>112</v>
      </c>
      <c r="AA270" s="32"/>
      <c r="AB270" s="32" t="s">
        <v>113</v>
      </c>
      <c r="AC270" s="60"/>
      <c r="AD270" s="192"/>
      <c r="AE270" s="30"/>
      <c r="AF270" s="272" t="s">
        <v>80</v>
      </c>
      <c r="AG270" s="56" t="s">
        <v>206</v>
      </c>
      <c r="AH270" s="266"/>
      <c r="AI270" s="266"/>
      <c r="AJ270" s="266"/>
      <c r="AK270" s="58">
        <v>42212.0</v>
      </c>
      <c r="AL270" s="56" t="s">
        <v>262</v>
      </c>
    </row>
    <row r="271" ht="22.5" customHeight="1">
      <c r="A271" s="27" t="s">
        <v>2704</v>
      </c>
      <c r="B271" s="63" t="s">
        <v>190</v>
      </c>
      <c r="C271" s="149" t="s">
        <v>211</v>
      </c>
      <c r="D271" s="34" t="s">
        <v>752</v>
      </c>
      <c r="E271" s="32" t="s">
        <v>947</v>
      </c>
      <c r="F271" s="34" t="s">
        <v>93</v>
      </c>
      <c r="G271" s="34" t="s">
        <v>168</v>
      </c>
      <c r="H271" s="48">
        <v>42352.0</v>
      </c>
      <c r="I271" s="48">
        <v>42352.0</v>
      </c>
      <c r="J271" s="48">
        <v>42352.0</v>
      </c>
      <c r="K271" s="32" t="s">
        <v>70</v>
      </c>
      <c r="L271" s="34" t="s">
        <v>115</v>
      </c>
      <c r="M271" s="63" t="s">
        <v>218</v>
      </c>
      <c r="N271" s="32" t="s">
        <v>434</v>
      </c>
      <c r="O271" s="32" t="s">
        <v>142</v>
      </c>
      <c r="P271" s="50" t="s">
        <v>2705</v>
      </c>
      <c r="Q271" s="32" t="s">
        <v>2706</v>
      </c>
      <c r="R271" s="48">
        <v>43448.0</v>
      </c>
      <c r="S271" s="32" t="s">
        <v>116</v>
      </c>
      <c r="T271" s="56" t="s">
        <v>198</v>
      </c>
      <c r="U271" s="45" t="s">
        <v>2707</v>
      </c>
      <c r="V271" s="34" t="s">
        <v>80</v>
      </c>
      <c r="W271" s="32" t="s">
        <v>201</v>
      </c>
      <c r="X271" s="32" t="s">
        <v>202</v>
      </c>
      <c r="Y271" s="45" t="s">
        <v>203</v>
      </c>
      <c r="Z271" s="32" t="s">
        <v>112</v>
      </c>
      <c r="AA271" s="32"/>
      <c r="AB271" s="32" t="s">
        <v>113</v>
      </c>
      <c r="AC271" s="60"/>
      <c r="AD271" s="192"/>
      <c r="AE271" s="30"/>
      <c r="AF271" s="272" t="s">
        <v>80</v>
      </c>
      <c r="AG271" s="56" t="s">
        <v>206</v>
      </c>
      <c r="AH271" s="266"/>
      <c r="AI271" s="266"/>
      <c r="AJ271" s="266"/>
      <c r="AK271" s="58">
        <v>42212.0</v>
      </c>
      <c r="AL271" s="56" t="s">
        <v>262</v>
      </c>
    </row>
    <row r="272" ht="22.5" customHeight="1">
      <c r="A272" s="27" t="s">
        <v>2708</v>
      </c>
      <c r="B272" s="63" t="s">
        <v>190</v>
      </c>
      <c r="C272" s="63" t="s">
        <v>191</v>
      </c>
      <c r="D272" s="34" t="s">
        <v>752</v>
      </c>
      <c r="E272" s="38" t="s">
        <v>193</v>
      </c>
      <c r="F272" s="54" t="s">
        <v>93</v>
      </c>
      <c r="G272" s="34" t="s">
        <v>168</v>
      </c>
      <c r="H272" s="48">
        <v>42314.0</v>
      </c>
      <c r="I272" s="48">
        <v>42314.0</v>
      </c>
      <c r="J272" s="36"/>
      <c r="K272" s="32" t="s">
        <v>86</v>
      </c>
      <c r="L272" s="41" t="s">
        <v>115</v>
      </c>
      <c r="M272" s="63" t="s">
        <v>88</v>
      </c>
      <c r="N272" s="38" t="s">
        <v>89</v>
      </c>
      <c r="O272" s="50" t="s">
        <v>743</v>
      </c>
      <c r="P272" s="50"/>
      <c r="Q272" s="32" t="s">
        <v>2709</v>
      </c>
      <c r="R272" s="34"/>
      <c r="S272" s="57" t="s">
        <v>116</v>
      </c>
      <c r="T272" s="56" t="s">
        <v>198</v>
      </c>
      <c r="U272" s="45" t="s">
        <v>2710</v>
      </c>
      <c r="V272" s="34" t="s">
        <v>80</v>
      </c>
      <c r="W272" s="32" t="s">
        <v>201</v>
      </c>
      <c r="X272" s="32" t="s">
        <v>202</v>
      </c>
      <c r="Y272" s="45" t="s">
        <v>203</v>
      </c>
      <c r="Z272" s="32" t="s">
        <v>112</v>
      </c>
      <c r="AA272" s="32"/>
      <c r="AB272" s="32" t="s">
        <v>113</v>
      </c>
      <c r="AC272" s="60"/>
      <c r="AD272" s="192"/>
      <c r="AE272" s="30" t="s">
        <v>2711</v>
      </c>
      <c r="AF272" s="272" t="s">
        <v>74</v>
      </c>
      <c r="AG272" s="56" t="s">
        <v>206</v>
      </c>
      <c r="AH272" s="266"/>
      <c r="AI272" s="266"/>
      <c r="AJ272" s="266"/>
      <c r="AK272" s="58">
        <v>41215.0</v>
      </c>
      <c r="AL272" s="56" t="s">
        <v>1953</v>
      </c>
    </row>
    <row r="273" ht="22.5" customHeight="1">
      <c r="A273" s="27" t="s">
        <v>2712</v>
      </c>
      <c r="B273" s="63" t="s">
        <v>190</v>
      </c>
      <c r="C273" s="63" t="s">
        <v>211</v>
      </c>
      <c r="D273" s="39" t="s">
        <v>91</v>
      </c>
      <c r="E273" s="38" t="s">
        <v>214</v>
      </c>
      <c r="F273" s="34" t="s">
        <v>140</v>
      </c>
      <c r="G273" s="34" t="s">
        <v>168</v>
      </c>
      <c r="H273" s="48">
        <v>42543.0</v>
      </c>
      <c r="I273" s="48">
        <v>42543.0</v>
      </c>
      <c r="J273" s="48">
        <v>42543.0</v>
      </c>
      <c r="K273" s="32" t="s">
        <v>86</v>
      </c>
      <c r="L273" s="41" t="s">
        <v>115</v>
      </c>
      <c r="M273" s="63" t="s">
        <v>218</v>
      </c>
      <c r="N273" s="38" t="s">
        <v>89</v>
      </c>
      <c r="O273" s="32" t="s">
        <v>142</v>
      </c>
      <c r="P273" s="38" t="s">
        <v>1050</v>
      </c>
      <c r="Q273" s="32" t="s">
        <v>2590</v>
      </c>
      <c r="R273" s="48">
        <v>42901.0</v>
      </c>
      <c r="S273" s="32" t="s">
        <v>196</v>
      </c>
      <c r="T273" s="56" t="s">
        <v>248</v>
      </c>
      <c r="U273" s="45" t="s">
        <v>2713</v>
      </c>
      <c r="V273" s="34" t="s">
        <v>80</v>
      </c>
      <c r="W273" s="32" t="s">
        <v>201</v>
      </c>
      <c r="X273" s="32" t="s">
        <v>202</v>
      </c>
      <c r="Y273" s="45" t="s">
        <v>203</v>
      </c>
      <c r="Z273" s="32" t="s">
        <v>112</v>
      </c>
      <c r="AA273" s="68"/>
      <c r="AB273" s="32" t="s">
        <v>113</v>
      </c>
      <c r="AC273" s="60"/>
      <c r="AD273" s="192"/>
      <c r="AE273" s="30" t="s">
        <v>2714</v>
      </c>
      <c r="AF273" s="272" t="s">
        <v>80</v>
      </c>
      <c r="AG273" s="56" t="s">
        <v>206</v>
      </c>
      <c r="AH273" s="266"/>
      <c r="AI273" s="266"/>
      <c r="AJ273" s="266"/>
      <c r="AK273" s="58">
        <v>41224.0</v>
      </c>
      <c r="AL273" s="56" t="s">
        <v>262</v>
      </c>
    </row>
    <row r="274" ht="22.5" customHeight="1">
      <c r="A274" s="27" t="s">
        <v>2715</v>
      </c>
      <c r="B274" s="63" t="s">
        <v>888</v>
      </c>
      <c r="C274" s="32" t="s">
        <v>1281</v>
      </c>
      <c r="D274" s="41" t="s">
        <v>75</v>
      </c>
      <c r="E274" s="38" t="s">
        <v>1282</v>
      </c>
      <c r="F274" s="34" t="s">
        <v>140</v>
      </c>
      <c r="G274" s="34" t="s">
        <v>168</v>
      </c>
      <c r="H274" s="48">
        <v>42557.0</v>
      </c>
      <c r="I274" s="48">
        <v>42557.0</v>
      </c>
      <c r="J274" s="36"/>
      <c r="K274" s="32" t="s">
        <v>70</v>
      </c>
      <c r="L274" s="34" t="s">
        <v>115</v>
      </c>
      <c r="M274" s="32" t="s">
        <v>88</v>
      </c>
      <c r="N274" s="32" t="s">
        <v>89</v>
      </c>
      <c r="O274" s="38" t="s">
        <v>220</v>
      </c>
      <c r="P274" s="50"/>
      <c r="Q274" s="32" t="s">
        <v>2610</v>
      </c>
      <c r="R274" s="34"/>
      <c r="S274" s="32" t="s">
        <v>196</v>
      </c>
      <c r="T274" s="45" t="s">
        <v>1285</v>
      </c>
      <c r="U274" s="45" t="s">
        <v>2716</v>
      </c>
      <c r="V274" s="34" t="s">
        <v>80</v>
      </c>
      <c r="W274" s="32" t="s">
        <v>561</v>
      </c>
      <c r="X274" s="60" t="s">
        <v>1287</v>
      </c>
      <c r="Y274" s="45" t="s">
        <v>1288</v>
      </c>
      <c r="Z274" s="32" t="s">
        <v>112</v>
      </c>
      <c r="AA274" s="32"/>
      <c r="AB274" s="32" t="s">
        <v>113</v>
      </c>
      <c r="AC274" s="60"/>
      <c r="AD274" s="192"/>
      <c r="AE274" s="53"/>
      <c r="AF274" s="180" t="s">
        <v>80</v>
      </c>
      <c r="AG274" s="56" t="s">
        <v>900</v>
      </c>
      <c r="AH274" s="53"/>
      <c r="AI274" s="77"/>
      <c r="AJ274" s="41"/>
      <c r="AK274" s="155">
        <v>41770.0</v>
      </c>
      <c r="AL274" s="56" t="s">
        <v>232</v>
      </c>
    </row>
    <row r="275" ht="22.5" customHeight="1">
      <c r="A275" s="27" t="s">
        <v>2717</v>
      </c>
      <c r="B275" s="63" t="s">
        <v>888</v>
      </c>
      <c r="C275" s="32" t="s">
        <v>889</v>
      </c>
      <c r="D275" s="34" t="s">
        <v>752</v>
      </c>
      <c r="E275" s="38" t="s">
        <v>892</v>
      </c>
      <c r="F275" s="41" t="s">
        <v>93</v>
      </c>
      <c r="G275" s="34" t="s">
        <v>168</v>
      </c>
      <c r="H275" s="48">
        <v>42557.0</v>
      </c>
      <c r="I275" s="48">
        <v>42557.0</v>
      </c>
      <c r="J275" s="36"/>
      <c r="K275" s="32" t="s">
        <v>70</v>
      </c>
      <c r="L275" s="41" t="s">
        <v>115</v>
      </c>
      <c r="M275" s="42" t="s">
        <v>88</v>
      </c>
      <c r="N275" s="32" t="s">
        <v>89</v>
      </c>
      <c r="O275" s="38" t="s">
        <v>220</v>
      </c>
      <c r="P275" s="50"/>
      <c r="Q275" s="32" t="s">
        <v>2610</v>
      </c>
      <c r="R275" s="34"/>
      <c r="S275" s="32" t="s">
        <v>116</v>
      </c>
      <c r="T275" s="56" t="s">
        <v>1950</v>
      </c>
      <c r="U275" s="45" t="s">
        <v>2718</v>
      </c>
      <c r="V275" s="34" t="s">
        <v>80</v>
      </c>
      <c r="W275" s="60" t="s">
        <v>1934</v>
      </c>
      <c r="X275" s="109" t="s">
        <v>1935</v>
      </c>
      <c r="Y275" s="109" t="s">
        <v>899</v>
      </c>
      <c r="Z275" s="32" t="s">
        <v>112</v>
      </c>
      <c r="AA275" s="32"/>
      <c r="AB275" s="149" t="s">
        <v>481</v>
      </c>
      <c r="AC275" s="68"/>
      <c r="AD275" s="66"/>
      <c r="AE275" s="38"/>
      <c r="AF275" s="34" t="s">
        <v>80</v>
      </c>
      <c r="AG275" s="56" t="s">
        <v>900</v>
      </c>
      <c r="AH275" s="41"/>
      <c r="AI275" s="41"/>
      <c r="AJ275" s="41"/>
      <c r="AK275" s="41"/>
      <c r="AL275" s="56" t="s">
        <v>232</v>
      </c>
    </row>
    <row r="276" ht="22.5" customHeight="1">
      <c r="A276" s="27" t="s">
        <v>2719</v>
      </c>
      <c r="B276" s="63" t="s">
        <v>888</v>
      </c>
      <c r="C276" s="32" t="s">
        <v>889</v>
      </c>
      <c r="D276" s="34" t="s">
        <v>192</v>
      </c>
      <c r="E276" s="38" t="s">
        <v>892</v>
      </c>
      <c r="F276" s="41" t="s">
        <v>93</v>
      </c>
      <c r="G276" s="34" t="s">
        <v>85</v>
      </c>
      <c r="H276" s="48">
        <v>42542.0</v>
      </c>
      <c r="I276" s="48">
        <v>42509.0</v>
      </c>
      <c r="J276" s="48">
        <v>42542.0</v>
      </c>
      <c r="K276" s="32" t="s">
        <v>86</v>
      </c>
      <c r="L276" s="41" t="s">
        <v>115</v>
      </c>
      <c r="M276" s="42" t="s">
        <v>88</v>
      </c>
      <c r="N276" s="32" t="s">
        <v>89</v>
      </c>
      <c r="O276" s="50" t="s">
        <v>116</v>
      </c>
      <c r="P276" s="50"/>
      <c r="Q276" s="32" t="s">
        <v>117</v>
      </c>
      <c r="R276" s="34"/>
      <c r="S276" s="32" t="s">
        <v>116</v>
      </c>
      <c r="T276" s="56" t="s">
        <v>1950</v>
      </c>
      <c r="U276" s="45" t="s">
        <v>2720</v>
      </c>
      <c r="V276" s="34" t="s">
        <v>80</v>
      </c>
      <c r="W276" s="172" t="s">
        <v>897</v>
      </c>
      <c r="X276" s="111" t="s">
        <v>898</v>
      </c>
      <c r="Y276" s="109" t="s">
        <v>899</v>
      </c>
      <c r="Z276" s="32" t="s">
        <v>112</v>
      </c>
      <c r="AA276" s="32"/>
      <c r="AB276" s="149" t="s">
        <v>481</v>
      </c>
      <c r="AC276" s="68"/>
      <c r="AD276" s="66">
        <v>42542.0</v>
      </c>
      <c r="AE276" s="32"/>
      <c r="AF276" s="34" t="s">
        <v>74</v>
      </c>
      <c r="AG276" s="56" t="s">
        <v>900</v>
      </c>
      <c r="AH276" s="177"/>
      <c r="AI276" s="41"/>
      <c r="AJ276" s="41"/>
      <c r="AK276" s="155">
        <v>41352.0</v>
      </c>
      <c r="AL276" s="63"/>
    </row>
    <row r="277" ht="22.5" customHeight="1">
      <c r="A277" s="27" t="s">
        <v>2721</v>
      </c>
      <c r="B277" s="63" t="s">
        <v>888</v>
      </c>
      <c r="C277" s="63" t="s">
        <v>918</v>
      </c>
      <c r="D277" s="34" t="s">
        <v>91</v>
      </c>
      <c r="E277" s="103" t="s">
        <v>919</v>
      </c>
      <c r="F277" s="41" t="s">
        <v>93</v>
      </c>
      <c r="G277" s="34" t="s">
        <v>85</v>
      </c>
      <c r="H277" s="48">
        <v>42542.0</v>
      </c>
      <c r="I277" s="48">
        <v>42509.0</v>
      </c>
      <c r="J277" s="48">
        <v>42542.0</v>
      </c>
      <c r="K277" s="32" t="s">
        <v>86</v>
      </c>
      <c r="L277" s="34" t="s">
        <v>115</v>
      </c>
      <c r="M277" s="32" t="s">
        <v>88</v>
      </c>
      <c r="N277" s="32" t="s">
        <v>89</v>
      </c>
      <c r="O277" s="32" t="s">
        <v>116</v>
      </c>
      <c r="P277" s="38"/>
      <c r="Q277" s="32" t="s">
        <v>117</v>
      </c>
      <c r="R277" s="34"/>
      <c r="S277" s="32" t="s">
        <v>116</v>
      </c>
      <c r="T277" s="45" t="s">
        <v>926</v>
      </c>
      <c r="U277" s="45" t="s">
        <v>927</v>
      </c>
      <c r="V277" s="34" t="s">
        <v>80</v>
      </c>
      <c r="W277" s="172" t="s">
        <v>897</v>
      </c>
      <c r="X277" s="111" t="s">
        <v>898</v>
      </c>
      <c r="Y277" s="45" t="s">
        <v>929</v>
      </c>
      <c r="Z277" s="32" t="s">
        <v>112</v>
      </c>
      <c r="AA277" s="32"/>
      <c r="AB277" s="149" t="s">
        <v>481</v>
      </c>
      <c r="AC277" s="68" t="s">
        <v>930</v>
      </c>
      <c r="AD277" s="66">
        <v>42542.0</v>
      </c>
      <c r="AE277" s="32" t="s">
        <v>2722</v>
      </c>
      <c r="AF277" s="34" t="s">
        <v>74</v>
      </c>
      <c r="AG277" s="56" t="s">
        <v>900</v>
      </c>
      <c r="AH277" s="41"/>
      <c r="AI277" s="41"/>
      <c r="AJ277" s="41"/>
      <c r="AK277" s="155">
        <v>41185.0</v>
      </c>
      <c r="AL277" s="63"/>
    </row>
    <row r="278" ht="22.5" customHeight="1">
      <c r="A278" s="27" t="s">
        <v>2723</v>
      </c>
      <c r="B278" s="63" t="s">
        <v>69</v>
      </c>
      <c r="C278" s="63" t="s">
        <v>90</v>
      </c>
      <c r="D278" s="39" t="s">
        <v>91</v>
      </c>
      <c r="E278" s="38" t="s">
        <v>92</v>
      </c>
      <c r="F278" s="34" t="s">
        <v>93</v>
      </c>
      <c r="G278" s="34" t="s">
        <v>168</v>
      </c>
      <c r="H278" s="48">
        <v>42521.0</v>
      </c>
      <c r="I278" s="36"/>
      <c r="J278" s="48">
        <v>42521.0</v>
      </c>
      <c r="K278" s="32" t="s">
        <v>70</v>
      </c>
      <c r="L278" s="34" t="s">
        <v>115</v>
      </c>
      <c r="M278" s="121" t="s">
        <v>88</v>
      </c>
      <c r="N278" s="38" t="s">
        <v>89</v>
      </c>
      <c r="O278" s="38" t="s">
        <v>1023</v>
      </c>
      <c r="P278" s="32" t="s">
        <v>1024</v>
      </c>
      <c r="Q278" s="32" t="s">
        <v>2724</v>
      </c>
      <c r="R278" s="34"/>
      <c r="S278" s="32" t="s">
        <v>116</v>
      </c>
      <c r="T278" s="56" t="s">
        <v>118</v>
      </c>
      <c r="U278" s="45" t="s">
        <v>2725</v>
      </c>
      <c r="V278" s="34" t="s">
        <v>80</v>
      </c>
      <c r="W278" s="60" t="s">
        <v>122</v>
      </c>
      <c r="X278" s="60" t="s">
        <v>130</v>
      </c>
      <c r="Y278" s="45" t="s">
        <v>131</v>
      </c>
      <c r="Z278" s="32" t="s">
        <v>112</v>
      </c>
      <c r="AA278" s="172"/>
      <c r="AB278" s="60" t="s">
        <v>113</v>
      </c>
      <c r="AC278" s="60"/>
      <c r="AD278" s="192"/>
      <c r="AE278" s="30" t="s">
        <v>2726</v>
      </c>
      <c r="AF278" s="180" t="s">
        <v>80</v>
      </c>
      <c r="AG278" s="56" t="s">
        <v>159</v>
      </c>
      <c r="AH278" s="53"/>
      <c r="AI278" s="77"/>
      <c r="AJ278" s="41"/>
      <c r="AK278" s="58">
        <v>41100.0</v>
      </c>
      <c r="AL278" s="56" t="s">
        <v>1028</v>
      </c>
    </row>
    <row r="279" ht="22.5" customHeight="1">
      <c r="A279" s="27" t="s">
        <v>2727</v>
      </c>
      <c r="B279" s="63" t="s">
        <v>190</v>
      </c>
      <c r="C279" s="63" t="s">
        <v>191</v>
      </c>
      <c r="D279" s="34" t="s">
        <v>752</v>
      </c>
      <c r="E279" s="38" t="s">
        <v>193</v>
      </c>
      <c r="F279" s="54" t="s">
        <v>93</v>
      </c>
      <c r="G279" s="34" t="s">
        <v>168</v>
      </c>
      <c r="H279" s="48">
        <v>42551.0</v>
      </c>
      <c r="I279" s="48">
        <v>42551.0</v>
      </c>
      <c r="J279" s="36"/>
      <c r="K279" s="32" t="s">
        <v>70</v>
      </c>
      <c r="L279" s="34" t="s">
        <v>115</v>
      </c>
      <c r="M279" s="63" t="s">
        <v>88</v>
      </c>
      <c r="N279" s="32" t="s">
        <v>89</v>
      </c>
      <c r="O279" s="32" t="s">
        <v>1195</v>
      </c>
      <c r="P279" s="32"/>
      <c r="Q279" s="32" t="s">
        <v>2691</v>
      </c>
      <c r="R279" s="48">
        <v>43646.0</v>
      </c>
      <c r="S279" s="57" t="s">
        <v>116</v>
      </c>
      <c r="T279" s="56" t="s">
        <v>198</v>
      </c>
      <c r="U279" s="45" t="s">
        <v>2728</v>
      </c>
      <c r="V279" s="34" t="s">
        <v>80</v>
      </c>
      <c r="W279" s="32" t="s">
        <v>201</v>
      </c>
      <c r="X279" s="32" t="s">
        <v>202</v>
      </c>
      <c r="Y279" s="45" t="s">
        <v>203</v>
      </c>
      <c r="Z279" s="32" t="s">
        <v>112</v>
      </c>
      <c r="AA279" s="32"/>
      <c r="AB279" s="32" t="s">
        <v>113</v>
      </c>
      <c r="AC279" s="60"/>
      <c r="AD279" s="192"/>
      <c r="AE279" s="53"/>
      <c r="AF279" s="180" t="s">
        <v>80</v>
      </c>
      <c r="AG279" s="56" t="s">
        <v>206</v>
      </c>
      <c r="AH279" s="53"/>
      <c r="AI279" s="77"/>
      <c r="AJ279" s="266"/>
      <c r="AK279" s="58">
        <v>41215.0</v>
      </c>
      <c r="AL279" s="56" t="s">
        <v>1215</v>
      </c>
    </row>
    <row r="280" ht="22.5" customHeight="1">
      <c r="A280" s="27" t="s">
        <v>2729</v>
      </c>
      <c r="B280" s="63" t="s">
        <v>411</v>
      </c>
      <c r="C280" s="32" t="s">
        <v>413</v>
      </c>
      <c r="D280" s="34" t="s">
        <v>91</v>
      </c>
      <c r="E280" s="38" t="s">
        <v>416</v>
      </c>
      <c r="F280" s="41" t="s">
        <v>93</v>
      </c>
      <c r="G280" s="34" t="s">
        <v>85</v>
      </c>
      <c r="H280" s="48">
        <v>42542.0</v>
      </c>
      <c r="I280" s="48">
        <v>42509.0</v>
      </c>
      <c r="J280" s="48">
        <v>42542.0</v>
      </c>
      <c r="K280" s="32" t="s">
        <v>86</v>
      </c>
      <c r="L280" s="34" t="s">
        <v>115</v>
      </c>
      <c r="M280" s="32" t="s">
        <v>313</v>
      </c>
      <c r="N280" s="32" t="s">
        <v>434</v>
      </c>
      <c r="O280" s="32" t="s">
        <v>116</v>
      </c>
      <c r="P280" s="38"/>
      <c r="Q280" s="32" t="s">
        <v>117</v>
      </c>
      <c r="R280" s="34"/>
      <c r="S280" s="32" t="s">
        <v>116</v>
      </c>
      <c r="T280" s="56" t="s">
        <v>436</v>
      </c>
      <c r="U280" s="45" t="s">
        <v>2730</v>
      </c>
      <c r="V280" s="34" t="s">
        <v>80</v>
      </c>
      <c r="W280" s="60" t="s">
        <v>444</v>
      </c>
      <c r="X280" s="32" t="s">
        <v>445</v>
      </c>
      <c r="Y280" s="109" t="s">
        <v>446</v>
      </c>
      <c r="Z280" s="32" t="s">
        <v>112</v>
      </c>
      <c r="AA280" s="32"/>
      <c r="AB280" s="32" t="s">
        <v>113</v>
      </c>
      <c r="AC280" s="60" t="s">
        <v>452</v>
      </c>
      <c r="AD280" s="192">
        <v>42542.0</v>
      </c>
      <c r="AE280" s="30" t="s">
        <v>2731</v>
      </c>
      <c r="AF280" s="180" t="s">
        <v>74</v>
      </c>
      <c r="AG280" s="56" t="s">
        <v>454</v>
      </c>
      <c r="AH280" s="266"/>
      <c r="AI280" s="266"/>
      <c r="AJ280" s="266"/>
      <c r="AK280" s="58">
        <v>42212.0</v>
      </c>
      <c r="AL280" s="63"/>
    </row>
    <row r="281" ht="22.5" customHeight="1">
      <c r="A281" s="27" t="s">
        <v>2732</v>
      </c>
      <c r="B281" s="63" t="s">
        <v>190</v>
      </c>
      <c r="C281" s="149" t="s">
        <v>211</v>
      </c>
      <c r="D281" s="34" t="s">
        <v>192</v>
      </c>
      <c r="E281" s="32" t="s">
        <v>947</v>
      </c>
      <c r="F281" s="34" t="s">
        <v>93</v>
      </c>
      <c r="G281" s="34" t="s">
        <v>85</v>
      </c>
      <c r="H281" s="48">
        <v>42542.0</v>
      </c>
      <c r="I281" s="48">
        <v>42509.0</v>
      </c>
      <c r="J281" s="48">
        <v>42542.0</v>
      </c>
      <c r="K281" s="32" t="s">
        <v>70</v>
      </c>
      <c r="L281" s="34" t="s">
        <v>115</v>
      </c>
      <c r="M281" s="63" t="s">
        <v>218</v>
      </c>
      <c r="N281" s="32" t="s">
        <v>434</v>
      </c>
      <c r="O281" s="32" t="s">
        <v>116</v>
      </c>
      <c r="P281" s="38"/>
      <c r="Q281" s="32" t="s">
        <v>117</v>
      </c>
      <c r="R281" s="34"/>
      <c r="S281" s="32" t="s">
        <v>116</v>
      </c>
      <c r="T281" s="56" t="s">
        <v>2733</v>
      </c>
      <c r="U281" s="45" t="s">
        <v>2734</v>
      </c>
      <c r="V281" s="34" t="s">
        <v>80</v>
      </c>
      <c r="W281" s="32" t="s">
        <v>201</v>
      </c>
      <c r="X281" s="32" t="s">
        <v>202</v>
      </c>
      <c r="Y281" s="45" t="s">
        <v>203</v>
      </c>
      <c r="Z281" s="32" t="s">
        <v>112</v>
      </c>
      <c r="AA281" s="32"/>
      <c r="AB281" s="32" t="s">
        <v>113</v>
      </c>
      <c r="AC281" s="60" t="s">
        <v>2735</v>
      </c>
      <c r="AD281" s="192">
        <v>42542.0</v>
      </c>
      <c r="AE281" s="30" t="s">
        <v>2736</v>
      </c>
      <c r="AF281" s="180" t="s">
        <v>80</v>
      </c>
      <c r="AG281" s="56" t="s">
        <v>206</v>
      </c>
      <c r="AH281" s="266"/>
      <c r="AI281" s="266"/>
      <c r="AJ281" s="266"/>
      <c r="AK281" s="58">
        <v>42212.0</v>
      </c>
      <c r="AL281" s="63"/>
    </row>
    <row r="282" ht="22.5" customHeight="1">
      <c r="A282" s="27" t="s">
        <v>2737</v>
      </c>
      <c r="B282" s="63" t="s">
        <v>2257</v>
      </c>
      <c r="C282" s="32" t="s">
        <v>2258</v>
      </c>
      <c r="D282" s="34" t="s">
        <v>584</v>
      </c>
      <c r="E282" s="103" t="s">
        <v>2259</v>
      </c>
      <c r="F282" s="41" t="s">
        <v>140</v>
      </c>
      <c r="G282" s="34" t="s">
        <v>168</v>
      </c>
      <c r="H282" s="48">
        <v>42463.0</v>
      </c>
      <c r="I282" s="48">
        <v>42463.0</v>
      </c>
      <c r="J282" s="48">
        <v>42463.0</v>
      </c>
      <c r="K282" s="32" t="s">
        <v>70</v>
      </c>
      <c r="L282" s="41" t="s">
        <v>115</v>
      </c>
      <c r="M282" s="32" t="s">
        <v>313</v>
      </c>
      <c r="N282" s="32" t="s">
        <v>89</v>
      </c>
      <c r="O282" s="32" t="s">
        <v>142</v>
      </c>
      <c r="P282" s="32" t="s">
        <v>1050</v>
      </c>
      <c r="Q282" s="32" t="s">
        <v>2590</v>
      </c>
      <c r="R282" s="48">
        <v>43361.0</v>
      </c>
      <c r="S282" s="38" t="s">
        <v>954</v>
      </c>
      <c r="T282" s="56" t="s">
        <v>2260</v>
      </c>
      <c r="U282" s="45" t="s">
        <v>2738</v>
      </c>
      <c r="V282" s="34" t="s">
        <v>80</v>
      </c>
      <c r="W282" s="149" t="s">
        <v>2261</v>
      </c>
      <c r="X282" s="198" t="s">
        <v>2515</v>
      </c>
      <c r="Y282" s="45" t="s">
        <v>2263</v>
      </c>
      <c r="Z282" s="32" t="s">
        <v>112</v>
      </c>
      <c r="AA282" s="32"/>
      <c r="AB282" s="32" t="s">
        <v>113</v>
      </c>
      <c r="AC282" s="60"/>
      <c r="AD282" s="192"/>
      <c r="AE282" s="53"/>
      <c r="AF282" s="34" t="s">
        <v>80</v>
      </c>
      <c r="AG282" s="56" t="s">
        <v>2265</v>
      </c>
      <c r="AH282" s="41"/>
      <c r="AI282" s="41"/>
      <c r="AJ282" s="41"/>
      <c r="AK282" s="155">
        <v>41963.0</v>
      </c>
      <c r="AL282" s="56" t="s">
        <v>262</v>
      </c>
    </row>
    <row r="283" ht="22.5" customHeight="1">
      <c r="A283" s="27" t="s">
        <v>2739</v>
      </c>
      <c r="B283" s="63" t="s">
        <v>888</v>
      </c>
      <c r="C283" s="149" t="s">
        <v>2740</v>
      </c>
      <c r="D283" s="34" t="s">
        <v>91</v>
      </c>
      <c r="E283" s="32" t="s">
        <v>2741</v>
      </c>
      <c r="F283" s="34" t="s">
        <v>93</v>
      </c>
      <c r="G283" s="34" t="s">
        <v>85</v>
      </c>
      <c r="H283" s="48">
        <v>42542.0</v>
      </c>
      <c r="I283" s="48">
        <v>42509.0</v>
      </c>
      <c r="J283" s="48">
        <v>42542.0</v>
      </c>
      <c r="K283" s="32" t="s">
        <v>86</v>
      </c>
      <c r="L283" s="41" t="s">
        <v>115</v>
      </c>
      <c r="M283" s="63" t="s">
        <v>218</v>
      </c>
      <c r="N283" s="32" t="s">
        <v>434</v>
      </c>
      <c r="O283" s="32" t="s">
        <v>116</v>
      </c>
      <c r="P283" s="38"/>
      <c r="Q283" s="32" t="s">
        <v>117</v>
      </c>
      <c r="R283" s="34"/>
      <c r="S283" s="32" t="s">
        <v>116</v>
      </c>
      <c r="T283" s="56" t="s">
        <v>926</v>
      </c>
      <c r="U283" s="45" t="s">
        <v>2742</v>
      </c>
      <c r="V283" s="34" t="s">
        <v>80</v>
      </c>
      <c r="W283" s="32" t="s">
        <v>897</v>
      </c>
      <c r="X283" s="109" t="s">
        <v>898</v>
      </c>
      <c r="Y283" s="109" t="s">
        <v>899</v>
      </c>
      <c r="Z283" s="32" t="s">
        <v>112</v>
      </c>
      <c r="AA283" s="32"/>
      <c r="AB283" s="32" t="s">
        <v>481</v>
      </c>
      <c r="AC283" s="60" t="s">
        <v>2743</v>
      </c>
      <c r="AD283" s="192">
        <v>42542.0</v>
      </c>
      <c r="AE283" s="53"/>
      <c r="AF283" s="34" t="s">
        <v>74</v>
      </c>
      <c r="AG283" s="56" t="s">
        <v>900</v>
      </c>
      <c r="AH283" s="53"/>
      <c r="AI283" s="77"/>
      <c r="AJ283" s="41"/>
      <c r="AK283" s="155">
        <v>42212.0</v>
      </c>
      <c r="AL283" s="63"/>
    </row>
    <row r="284" ht="22.5" customHeight="1">
      <c r="A284" s="27" t="s">
        <v>2744</v>
      </c>
      <c r="B284" s="63" t="s">
        <v>888</v>
      </c>
      <c r="C284" s="149" t="s">
        <v>2745</v>
      </c>
      <c r="D284" s="34" t="s">
        <v>192</v>
      </c>
      <c r="E284" s="32" t="s">
        <v>2746</v>
      </c>
      <c r="F284" s="34" t="s">
        <v>93</v>
      </c>
      <c r="G284" s="34" t="s">
        <v>85</v>
      </c>
      <c r="H284" s="48">
        <v>42542.0</v>
      </c>
      <c r="I284" s="48">
        <v>42509.0</v>
      </c>
      <c r="J284" s="48">
        <v>42542.0</v>
      </c>
      <c r="K284" s="32" t="s">
        <v>86</v>
      </c>
      <c r="L284" s="34" t="s">
        <v>115</v>
      </c>
      <c r="M284" s="63" t="s">
        <v>218</v>
      </c>
      <c r="N284" s="32" t="s">
        <v>434</v>
      </c>
      <c r="O284" s="32" t="s">
        <v>116</v>
      </c>
      <c r="P284" s="38"/>
      <c r="Q284" s="32" t="s">
        <v>117</v>
      </c>
      <c r="R284" s="34"/>
      <c r="S284" s="32" t="s">
        <v>116</v>
      </c>
      <c r="T284" s="56" t="s">
        <v>1931</v>
      </c>
      <c r="U284" s="45" t="s">
        <v>2747</v>
      </c>
      <c r="V284" s="34" t="s">
        <v>80</v>
      </c>
      <c r="W284" s="32" t="s">
        <v>897</v>
      </c>
      <c r="X284" s="109" t="s">
        <v>898</v>
      </c>
      <c r="Y284" s="109" t="s">
        <v>899</v>
      </c>
      <c r="Z284" s="32" t="s">
        <v>112</v>
      </c>
      <c r="AA284" s="32"/>
      <c r="AB284" s="32" t="s">
        <v>481</v>
      </c>
      <c r="AC284" s="60"/>
      <c r="AD284" s="192">
        <v>42542.0</v>
      </c>
      <c r="AE284" s="53"/>
      <c r="AF284" s="180" t="s">
        <v>80</v>
      </c>
      <c r="AG284" s="56" t="s">
        <v>900</v>
      </c>
      <c r="AH284" s="53"/>
      <c r="AI284" s="77"/>
      <c r="AJ284" s="41"/>
      <c r="AK284" s="155">
        <v>42212.0</v>
      </c>
      <c r="AL284" s="63"/>
    </row>
    <row r="285" ht="22.5" customHeight="1">
      <c r="A285" s="27" t="s">
        <v>2748</v>
      </c>
      <c r="B285" s="63" t="s">
        <v>2749</v>
      </c>
      <c r="C285" s="149" t="s">
        <v>2750</v>
      </c>
      <c r="D285" s="34" t="s">
        <v>75</v>
      </c>
      <c r="E285" s="32" t="s">
        <v>2751</v>
      </c>
      <c r="F285" s="34" t="s">
        <v>140</v>
      </c>
      <c r="G285" s="34" t="s">
        <v>85</v>
      </c>
      <c r="H285" s="48">
        <v>42570.0</v>
      </c>
      <c r="I285" s="48">
        <v>42570.0</v>
      </c>
      <c r="J285" s="36"/>
      <c r="K285" s="32" t="s">
        <v>70</v>
      </c>
      <c r="L285" s="34" t="s">
        <v>115</v>
      </c>
      <c r="M285" s="32" t="s">
        <v>313</v>
      </c>
      <c r="N285" s="32" t="s">
        <v>89</v>
      </c>
      <c r="O285" s="32" t="s">
        <v>1570</v>
      </c>
      <c r="P285" s="38"/>
      <c r="Q285" s="32" t="s">
        <v>2752</v>
      </c>
      <c r="R285" s="34"/>
      <c r="S285" s="32" t="s">
        <v>1570</v>
      </c>
      <c r="T285" s="63" t="s">
        <v>2753</v>
      </c>
      <c r="U285" s="45" t="s">
        <v>2754</v>
      </c>
      <c r="V285" s="34" t="s">
        <v>74</v>
      </c>
      <c r="W285" s="32" t="s">
        <v>2755</v>
      </c>
      <c r="X285" s="32" t="s">
        <v>2756</v>
      </c>
      <c r="Y285" s="32" t="s">
        <v>2757</v>
      </c>
      <c r="Z285" s="32" t="s">
        <v>112</v>
      </c>
      <c r="AA285" s="32"/>
      <c r="AB285" s="60" t="s">
        <v>389</v>
      </c>
      <c r="AC285" s="60" t="s">
        <v>2758</v>
      </c>
      <c r="AD285" s="192">
        <v>42580.0</v>
      </c>
      <c r="AE285" s="53"/>
      <c r="AF285" s="180" t="s">
        <v>80</v>
      </c>
      <c r="AG285" s="56" t="s">
        <v>2759</v>
      </c>
      <c r="AH285" s="53"/>
      <c r="AI285" s="77"/>
      <c r="AJ285" s="58">
        <v>42348.0</v>
      </c>
      <c r="AK285" s="58">
        <v>42383.0</v>
      </c>
      <c r="AL285" s="109" t="s">
        <v>2055</v>
      </c>
    </row>
    <row r="286" ht="22.5" customHeight="1">
      <c r="A286" s="27" t="s">
        <v>2760</v>
      </c>
      <c r="B286" s="63" t="s">
        <v>888</v>
      </c>
      <c r="C286" s="32" t="s">
        <v>889</v>
      </c>
      <c r="D286" s="34" t="s">
        <v>752</v>
      </c>
      <c r="E286" s="38" t="s">
        <v>892</v>
      </c>
      <c r="F286" s="41" t="s">
        <v>93</v>
      </c>
      <c r="G286" s="34" t="s">
        <v>168</v>
      </c>
      <c r="H286" s="48">
        <v>42471.0</v>
      </c>
      <c r="I286" s="48">
        <v>42471.0</v>
      </c>
      <c r="J286" s="36"/>
      <c r="K286" s="32" t="s">
        <v>70</v>
      </c>
      <c r="L286" s="41" t="s">
        <v>115</v>
      </c>
      <c r="M286" s="42" t="s">
        <v>88</v>
      </c>
      <c r="N286" s="32" t="s">
        <v>89</v>
      </c>
      <c r="O286" s="32" t="s">
        <v>1610</v>
      </c>
      <c r="P286" s="38"/>
      <c r="Q286" s="32" t="s">
        <v>2761</v>
      </c>
      <c r="R286" s="34"/>
      <c r="S286" s="32" t="s">
        <v>116</v>
      </c>
      <c r="T286" s="56" t="s">
        <v>1950</v>
      </c>
      <c r="U286" s="45" t="s">
        <v>2762</v>
      </c>
      <c r="V286" s="34" t="s">
        <v>80</v>
      </c>
      <c r="W286" s="60" t="s">
        <v>1934</v>
      </c>
      <c r="X286" s="109" t="s">
        <v>1935</v>
      </c>
      <c r="Y286" s="109" t="s">
        <v>899</v>
      </c>
      <c r="Z286" s="32" t="s">
        <v>112</v>
      </c>
      <c r="AA286" s="32"/>
      <c r="AB286" s="149" t="s">
        <v>481</v>
      </c>
      <c r="AC286" s="68"/>
      <c r="AD286" s="192"/>
      <c r="AE286" s="53"/>
      <c r="AF286" s="34" t="s">
        <v>80</v>
      </c>
      <c r="AG286" s="56" t="s">
        <v>900</v>
      </c>
      <c r="AH286" s="53"/>
      <c r="AI286" s="77"/>
      <c r="AJ286" s="41"/>
      <c r="AK286" s="155">
        <v>41352.0</v>
      </c>
      <c r="AL286" s="56" t="s">
        <v>1745</v>
      </c>
    </row>
    <row r="287" ht="22.5" customHeight="1">
      <c r="A287" s="27" t="s">
        <v>2763</v>
      </c>
      <c r="B287" s="63" t="s">
        <v>1251</v>
      </c>
      <c r="C287" s="149" t="s">
        <v>1832</v>
      </c>
      <c r="D287" s="41" t="s">
        <v>75</v>
      </c>
      <c r="E287" s="103" t="s">
        <v>1833</v>
      </c>
      <c r="F287" s="41" t="s">
        <v>93</v>
      </c>
      <c r="G287" s="34" t="s">
        <v>168</v>
      </c>
      <c r="H287" s="48">
        <v>42361.0</v>
      </c>
      <c r="I287" s="48">
        <v>42361.0</v>
      </c>
      <c r="J287" s="36"/>
      <c r="K287" s="32" t="s">
        <v>70</v>
      </c>
      <c r="L287" s="41" t="s">
        <v>115</v>
      </c>
      <c r="M287" s="103" t="s">
        <v>88</v>
      </c>
      <c r="N287" s="32" t="s">
        <v>89</v>
      </c>
      <c r="O287" s="32" t="s">
        <v>954</v>
      </c>
      <c r="P287" s="32" t="s">
        <v>1283</v>
      </c>
      <c r="Q287" s="32" t="s">
        <v>1284</v>
      </c>
      <c r="R287" s="34"/>
      <c r="S287" s="32" t="s">
        <v>116</v>
      </c>
      <c r="T287" s="45" t="s">
        <v>1835</v>
      </c>
      <c r="U287" s="45" t="s">
        <v>2764</v>
      </c>
      <c r="V287" s="34" t="s">
        <v>80</v>
      </c>
      <c r="W287" s="60" t="s">
        <v>1838</v>
      </c>
      <c r="X287" s="60" t="s">
        <v>1839</v>
      </c>
      <c r="Y287" s="109" t="s">
        <v>1841</v>
      </c>
      <c r="Z287" s="32" t="s">
        <v>112</v>
      </c>
      <c r="AA287" s="32"/>
      <c r="AB287" s="123" t="s">
        <v>113</v>
      </c>
      <c r="AC287" s="60"/>
      <c r="AD287" s="192"/>
      <c r="AE287" s="53"/>
      <c r="AF287" s="34" t="s">
        <v>80</v>
      </c>
      <c r="AG287" s="56" t="s">
        <v>1845</v>
      </c>
      <c r="AH287" s="53"/>
      <c r="AI287" s="77"/>
      <c r="AJ287" s="41"/>
      <c r="AK287" s="58">
        <v>41340.0</v>
      </c>
      <c r="AL287" s="56" t="s">
        <v>965</v>
      </c>
    </row>
    <row r="288" ht="22.5" customHeight="1">
      <c r="A288" s="27" t="s">
        <v>2765</v>
      </c>
      <c r="B288" s="63" t="s">
        <v>888</v>
      </c>
      <c r="C288" s="32" t="s">
        <v>889</v>
      </c>
      <c r="D288" s="34" t="s">
        <v>752</v>
      </c>
      <c r="E288" s="38" t="s">
        <v>892</v>
      </c>
      <c r="F288" s="41" t="s">
        <v>93</v>
      </c>
      <c r="G288" s="34" t="s">
        <v>168</v>
      </c>
      <c r="H288" s="48">
        <v>42360.0</v>
      </c>
      <c r="I288" s="36"/>
      <c r="J288" s="48">
        <v>42360.0</v>
      </c>
      <c r="K288" s="32" t="s">
        <v>70</v>
      </c>
      <c r="L288" s="41" t="s">
        <v>115</v>
      </c>
      <c r="M288" s="42" t="s">
        <v>88</v>
      </c>
      <c r="N288" s="32" t="s">
        <v>89</v>
      </c>
      <c r="O288" s="32" t="s">
        <v>1610</v>
      </c>
      <c r="P288" s="38"/>
      <c r="Q288" s="32" t="s">
        <v>2766</v>
      </c>
      <c r="R288" s="48">
        <v>43456.0</v>
      </c>
      <c r="S288" s="32" t="s">
        <v>116</v>
      </c>
      <c r="T288" s="56" t="s">
        <v>1950</v>
      </c>
      <c r="U288" s="45" t="s">
        <v>2767</v>
      </c>
      <c r="V288" s="34" t="s">
        <v>80</v>
      </c>
      <c r="W288" s="60" t="s">
        <v>1934</v>
      </c>
      <c r="X288" s="109" t="s">
        <v>1935</v>
      </c>
      <c r="Y288" s="109" t="s">
        <v>899</v>
      </c>
      <c r="Z288" s="32" t="s">
        <v>112</v>
      </c>
      <c r="AA288" s="32"/>
      <c r="AB288" s="149" t="s">
        <v>481</v>
      </c>
      <c r="AC288" s="68"/>
      <c r="AD288" s="192"/>
      <c r="AE288" s="53"/>
      <c r="AF288" s="34" t="s">
        <v>80</v>
      </c>
      <c r="AG288" s="56" t="s">
        <v>900</v>
      </c>
      <c r="AH288" s="53"/>
      <c r="AI288" s="77"/>
      <c r="AJ288" s="77"/>
      <c r="AK288" s="155">
        <v>41352.0</v>
      </c>
      <c r="AL288" s="56" t="s">
        <v>1745</v>
      </c>
    </row>
    <row r="289" ht="22.5" customHeight="1">
      <c r="A289" s="27" t="s">
        <v>2768</v>
      </c>
      <c r="B289" s="63" t="s">
        <v>190</v>
      </c>
      <c r="C289" s="149" t="s">
        <v>191</v>
      </c>
      <c r="D289" s="34" t="s">
        <v>752</v>
      </c>
      <c r="E289" s="38" t="s">
        <v>193</v>
      </c>
      <c r="F289" s="54" t="s">
        <v>93</v>
      </c>
      <c r="G289" s="34" t="s">
        <v>168</v>
      </c>
      <c r="H289" s="48">
        <v>42572.0</v>
      </c>
      <c r="I289" s="48">
        <v>42572.0</v>
      </c>
      <c r="J289" s="36"/>
      <c r="K289" s="32" t="s">
        <v>70</v>
      </c>
      <c r="L289" s="34" t="s">
        <v>115</v>
      </c>
      <c r="M289" s="63" t="s">
        <v>88</v>
      </c>
      <c r="N289" s="32" t="s">
        <v>89</v>
      </c>
      <c r="O289" s="32" t="s">
        <v>1195</v>
      </c>
      <c r="P289" s="38"/>
      <c r="Q289" s="32" t="s">
        <v>2769</v>
      </c>
      <c r="R289" s="34"/>
      <c r="S289" s="57" t="s">
        <v>116</v>
      </c>
      <c r="T289" s="56" t="s">
        <v>198</v>
      </c>
      <c r="U289" s="45" t="s">
        <v>2770</v>
      </c>
      <c r="V289" s="34" t="s">
        <v>80</v>
      </c>
      <c r="W289" s="32" t="s">
        <v>201</v>
      </c>
      <c r="X289" s="32" t="s">
        <v>202</v>
      </c>
      <c r="Y289" s="45" t="s">
        <v>203</v>
      </c>
      <c r="Z289" s="32" t="s">
        <v>112</v>
      </c>
      <c r="AA289" s="32"/>
      <c r="AB289" s="32" t="s">
        <v>113</v>
      </c>
      <c r="AC289" s="60"/>
      <c r="AD289" s="192"/>
      <c r="AE289" s="53"/>
      <c r="AF289" s="180" t="s">
        <v>80</v>
      </c>
      <c r="AG289" s="56" t="s">
        <v>206</v>
      </c>
      <c r="AH289" s="53"/>
      <c r="AI289" s="77"/>
      <c r="AJ289" s="77"/>
      <c r="AK289" s="58">
        <v>41215.0</v>
      </c>
      <c r="AL289" s="56" t="s">
        <v>1215</v>
      </c>
    </row>
    <row r="290" ht="22.5" customHeight="1">
      <c r="A290" s="27" t="s">
        <v>2771</v>
      </c>
      <c r="B290" s="63" t="s">
        <v>190</v>
      </c>
      <c r="C290" s="149" t="s">
        <v>191</v>
      </c>
      <c r="D290" s="34" t="s">
        <v>752</v>
      </c>
      <c r="E290" s="38" t="s">
        <v>193</v>
      </c>
      <c r="F290" s="54" t="s">
        <v>93</v>
      </c>
      <c r="G290" s="34" t="s">
        <v>168</v>
      </c>
      <c r="H290" s="48">
        <v>42454.0</v>
      </c>
      <c r="I290" s="48">
        <v>42454.0</v>
      </c>
      <c r="J290" s="36"/>
      <c r="K290" s="32" t="s">
        <v>70</v>
      </c>
      <c r="L290" s="34" t="s">
        <v>115</v>
      </c>
      <c r="M290" s="63" t="s">
        <v>88</v>
      </c>
      <c r="N290" s="32" t="s">
        <v>89</v>
      </c>
      <c r="O290" s="32" t="s">
        <v>1045</v>
      </c>
      <c r="P290" s="38"/>
      <c r="Q290" s="32" t="s">
        <v>2540</v>
      </c>
      <c r="R290" s="34"/>
      <c r="S290" s="57" t="s">
        <v>116</v>
      </c>
      <c r="T290" s="56" t="s">
        <v>198</v>
      </c>
      <c r="U290" s="45" t="s">
        <v>2772</v>
      </c>
      <c r="V290" s="34" t="s">
        <v>80</v>
      </c>
      <c r="W290" s="32" t="s">
        <v>201</v>
      </c>
      <c r="X290" s="32" t="s">
        <v>202</v>
      </c>
      <c r="Y290" s="45" t="s">
        <v>203</v>
      </c>
      <c r="Z290" s="32" t="s">
        <v>112</v>
      </c>
      <c r="AA290" s="172"/>
      <c r="AB290" s="32" t="s">
        <v>113</v>
      </c>
      <c r="AC290" s="60"/>
      <c r="AD290" s="192"/>
      <c r="AE290" s="53"/>
      <c r="AF290" s="180" t="s">
        <v>80</v>
      </c>
      <c r="AG290" s="56" t="s">
        <v>206</v>
      </c>
      <c r="AH290" s="53"/>
      <c r="AI290" s="77"/>
      <c r="AJ290" s="77"/>
      <c r="AK290" s="58">
        <v>41215.0</v>
      </c>
      <c r="AL290" s="56" t="s">
        <v>1048</v>
      </c>
    </row>
    <row r="291" ht="22.5" customHeight="1">
      <c r="A291" s="27" t="s">
        <v>2773</v>
      </c>
      <c r="B291" s="63" t="s">
        <v>2026</v>
      </c>
      <c r="C291" s="32" t="s">
        <v>2027</v>
      </c>
      <c r="D291" s="41" t="s">
        <v>75</v>
      </c>
      <c r="E291" s="103" t="s">
        <v>2028</v>
      </c>
      <c r="F291" s="34" t="s">
        <v>140</v>
      </c>
      <c r="G291" s="34" t="s">
        <v>85</v>
      </c>
      <c r="H291" s="48">
        <v>42563.0</v>
      </c>
      <c r="I291" s="48">
        <v>42563.0</v>
      </c>
      <c r="J291" s="36"/>
      <c r="K291" s="32" t="s">
        <v>86</v>
      </c>
      <c r="L291" s="41" t="s">
        <v>115</v>
      </c>
      <c r="M291" s="63" t="s">
        <v>218</v>
      </c>
      <c r="N291" s="38" t="s">
        <v>89</v>
      </c>
      <c r="O291" s="32" t="s">
        <v>402</v>
      </c>
      <c r="P291" s="38"/>
      <c r="Q291" s="32" t="s">
        <v>2774</v>
      </c>
      <c r="R291" s="34"/>
      <c r="S291" s="32" t="s">
        <v>402</v>
      </c>
      <c r="T291" s="45" t="s">
        <v>2030</v>
      </c>
      <c r="U291" s="45" t="s">
        <v>2775</v>
      </c>
      <c r="V291" s="34" t="s">
        <v>80</v>
      </c>
      <c r="W291" s="60" t="s">
        <v>2032</v>
      </c>
      <c r="X291" s="32" t="s">
        <v>2033</v>
      </c>
      <c r="Y291" s="109" t="s">
        <v>2034</v>
      </c>
      <c r="Z291" s="32" t="s">
        <v>112</v>
      </c>
      <c r="AA291" s="32"/>
      <c r="AB291" s="32" t="s">
        <v>113</v>
      </c>
      <c r="AC291" s="60" t="s">
        <v>2776</v>
      </c>
      <c r="AD291" s="192">
        <v>42563.0</v>
      </c>
      <c r="AE291" s="30" t="s">
        <v>2041</v>
      </c>
      <c r="AF291" s="34" t="s">
        <v>74</v>
      </c>
      <c r="AG291" s="63"/>
      <c r="AH291" s="41" t="s">
        <v>727</v>
      </c>
      <c r="AI291" s="77"/>
      <c r="AJ291" s="77"/>
      <c r="AK291" s="83">
        <v>41770.0</v>
      </c>
      <c r="AL291" s="56" t="s">
        <v>1033</v>
      </c>
    </row>
    <row r="292" ht="22.5" customHeight="1">
      <c r="A292" s="27" t="s">
        <v>2777</v>
      </c>
      <c r="B292" s="63" t="s">
        <v>1765</v>
      </c>
      <c r="C292" s="32" t="s">
        <v>1766</v>
      </c>
      <c r="D292" s="34" t="s">
        <v>845</v>
      </c>
      <c r="E292" s="38" t="s">
        <v>1768</v>
      </c>
      <c r="F292" s="41" t="s">
        <v>140</v>
      </c>
      <c r="G292" s="34" t="s">
        <v>168</v>
      </c>
      <c r="H292" s="48">
        <v>42573.0</v>
      </c>
      <c r="I292" s="48">
        <v>42573.0</v>
      </c>
      <c r="J292" s="36"/>
      <c r="K292" s="32" t="s">
        <v>70</v>
      </c>
      <c r="L292" s="34" t="s">
        <v>115</v>
      </c>
      <c r="M292" s="42" t="s">
        <v>88</v>
      </c>
      <c r="N292" s="32" t="s">
        <v>89</v>
      </c>
      <c r="O292" s="32" t="s">
        <v>1012</v>
      </c>
      <c r="P292" s="32"/>
      <c r="Q292" s="32" t="s">
        <v>2778</v>
      </c>
      <c r="R292" s="48">
        <v>43668.0</v>
      </c>
      <c r="S292" s="38" t="s">
        <v>954</v>
      </c>
      <c r="T292" s="45" t="s">
        <v>1769</v>
      </c>
      <c r="U292" s="45" t="s">
        <v>2779</v>
      </c>
      <c r="V292" s="34" t="s">
        <v>80</v>
      </c>
      <c r="W292" s="60" t="s">
        <v>1772</v>
      </c>
      <c r="X292" s="60" t="s">
        <v>1773</v>
      </c>
      <c r="Y292" s="109" t="s">
        <v>1774</v>
      </c>
      <c r="Z292" s="32" t="s">
        <v>112</v>
      </c>
      <c r="AA292" s="32"/>
      <c r="AB292" s="32" t="s">
        <v>113</v>
      </c>
      <c r="AC292" s="60"/>
      <c r="AD292" s="192"/>
      <c r="AE292" s="53"/>
      <c r="AF292" s="34" t="s">
        <v>80</v>
      </c>
      <c r="AG292" s="56" t="s">
        <v>1775</v>
      </c>
      <c r="AH292" s="41"/>
      <c r="AI292" s="41"/>
      <c r="AJ292" s="77"/>
      <c r="AK292" s="132">
        <v>42018.0</v>
      </c>
      <c r="AL292" s="56" t="s">
        <v>1021</v>
      </c>
    </row>
    <row r="293" ht="22.5" customHeight="1">
      <c r="A293" s="27" t="s">
        <v>2780</v>
      </c>
      <c r="B293" s="63" t="s">
        <v>355</v>
      </c>
      <c r="C293" s="32" t="s">
        <v>1345</v>
      </c>
      <c r="D293" s="34" t="s">
        <v>75</v>
      </c>
      <c r="E293" s="38" t="s">
        <v>1346</v>
      </c>
      <c r="F293" s="41" t="s">
        <v>140</v>
      </c>
      <c r="G293" s="34" t="s">
        <v>168</v>
      </c>
      <c r="H293" s="48">
        <v>42502.0</v>
      </c>
      <c r="I293" s="48">
        <v>42487.0</v>
      </c>
      <c r="J293" s="48">
        <v>42502.0</v>
      </c>
      <c r="K293" s="32" t="s">
        <v>70</v>
      </c>
      <c r="L293" s="41" t="s">
        <v>115</v>
      </c>
      <c r="M293" s="42" t="s">
        <v>313</v>
      </c>
      <c r="N293" s="32" t="s">
        <v>89</v>
      </c>
      <c r="O293" s="32" t="s">
        <v>1798</v>
      </c>
      <c r="P293" s="38"/>
      <c r="Q293" s="32" t="s">
        <v>1799</v>
      </c>
      <c r="R293" s="48">
        <v>43581.0</v>
      </c>
      <c r="S293" s="32" t="s">
        <v>402</v>
      </c>
      <c r="T293" s="56" t="s">
        <v>1349</v>
      </c>
      <c r="U293" s="45" t="s">
        <v>2781</v>
      </c>
      <c r="V293" s="34" t="s">
        <v>80</v>
      </c>
      <c r="W293" s="32" t="s">
        <v>1351</v>
      </c>
      <c r="X293" s="149" t="s">
        <v>1352</v>
      </c>
      <c r="Y293" s="152" t="s">
        <v>1353</v>
      </c>
      <c r="Z293" s="32" t="s">
        <v>112</v>
      </c>
      <c r="AA293" s="172"/>
      <c r="AB293" s="32" t="s">
        <v>113</v>
      </c>
      <c r="AC293" s="68"/>
      <c r="AD293" s="192"/>
      <c r="AE293" s="53"/>
      <c r="AF293" s="34" t="s">
        <v>80</v>
      </c>
      <c r="AG293" s="56" t="s">
        <v>1355</v>
      </c>
      <c r="AH293" s="41"/>
      <c r="AI293" s="41"/>
      <c r="AJ293" s="77"/>
      <c r="AK293" s="58">
        <v>41770.0</v>
      </c>
      <c r="AL293" s="56" t="s">
        <v>1813</v>
      </c>
    </row>
    <row r="294" ht="22.5" customHeight="1">
      <c r="A294" s="27" t="s">
        <v>2782</v>
      </c>
      <c r="B294" s="63" t="s">
        <v>1321</v>
      </c>
      <c r="C294" s="32" t="s">
        <v>1322</v>
      </c>
      <c r="D294" s="34" t="s">
        <v>845</v>
      </c>
      <c r="E294" s="38" t="s">
        <v>1323</v>
      </c>
      <c r="F294" s="41" t="s">
        <v>140</v>
      </c>
      <c r="G294" s="34" t="s">
        <v>168</v>
      </c>
      <c r="H294" s="48">
        <v>42569.0</v>
      </c>
      <c r="I294" s="48">
        <v>42432.0</v>
      </c>
      <c r="J294" s="48">
        <v>42569.0</v>
      </c>
      <c r="K294" s="32" t="s">
        <v>70</v>
      </c>
      <c r="L294" s="41" t="s">
        <v>115</v>
      </c>
      <c r="M294" s="42" t="s">
        <v>88</v>
      </c>
      <c r="N294" s="32" t="s">
        <v>89</v>
      </c>
      <c r="O294" s="32" t="s">
        <v>196</v>
      </c>
      <c r="P294" s="32" t="s">
        <v>1837</v>
      </c>
      <c r="Q294" s="32" t="s">
        <v>2434</v>
      </c>
      <c r="R294" s="34"/>
      <c r="S294" s="32" t="s">
        <v>196</v>
      </c>
      <c r="T294" s="45" t="s">
        <v>1324</v>
      </c>
      <c r="U294" s="45" t="s">
        <v>2783</v>
      </c>
      <c r="V294" s="34" t="s">
        <v>80</v>
      </c>
      <c r="W294" s="32" t="s">
        <v>561</v>
      </c>
      <c r="X294" s="32" t="s">
        <v>1326</v>
      </c>
      <c r="Y294" s="109" t="s">
        <v>1327</v>
      </c>
      <c r="Z294" s="32" t="s">
        <v>112</v>
      </c>
      <c r="AA294" s="32"/>
      <c r="AB294" s="32" t="s">
        <v>113</v>
      </c>
      <c r="AC294" s="60"/>
      <c r="AD294" s="192"/>
      <c r="AE294" s="53"/>
      <c r="AF294" s="34" t="s">
        <v>80</v>
      </c>
      <c r="AG294" s="56" t="s">
        <v>1329</v>
      </c>
      <c r="AH294" s="41"/>
      <c r="AI294" s="41"/>
      <c r="AJ294" s="77"/>
      <c r="AK294" s="58">
        <v>41619.0</v>
      </c>
      <c r="AL294" s="56" t="s">
        <v>208</v>
      </c>
    </row>
    <row r="295" ht="22.5" customHeight="1">
      <c r="A295" s="27" t="s">
        <v>2784</v>
      </c>
      <c r="B295" s="63" t="s">
        <v>2637</v>
      </c>
      <c r="C295" s="63" t="s">
        <v>2638</v>
      </c>
      <c r="D295" s="270" t="s">
        <v>75</v>
      </c>
      <c r="E295" s="63" t="s">
        <v>2639</v>
      </c>
      <c r="F295" s="34" t="s">
        <v>140</v>
      </c>
      <c r="G295" s="34" t="s">
        <v>85</v>
      </c>
      <c r="H295" s="48">
        <v>42354.0</v>
      </c>
      <c r="I295" s="48">
        <v>42354.0</v>
      </c>
      <c r="J295" s="48">
        <v>42354.0</v>
      </c>
      <c r="K295" s="32" t="s">
        <v>86</v>
      </c>
      <c r="L295" s="34" t="s">
        <v>115</v>
      </c>
      <c r="M295" s="32" t="s">
        <v>383</v>
      </c>
      <c r="N295" s="32" t="s">
        <v>89</v>
      </c>
      <c r="O295" s="32" t="s">
        <v>1195</v>
      </c>
      <c r="P295" s="32"/>
      <c r="Q295" s="32" t="s">
        <v>2785</v>
      </c>
      <c r="R295" s="48">
        <v>42720.0</v>
      </c>
      <c r="S295" s="32" t="s">
        <v>1195</v>
      </c>
      <c r="T295" s="56" t="s">
        <v>2640</v>
      </c>
      <c r="U295" s="45" t="s">
        <v>2786</v>
      </c>
      <c r="V295" s="34" t="s">
        <v>80</v>
      </c>
      <c r="W295" s="63" t="s">
        <v>2641</v>
      </c>
      <c r="X295" s="63" t="s">
        <v>2787</v>
      </c>
      <c r="Y295" s="56" t="s">
        <v>263</v>
      </c>
      <c r="Z295" s="32" t="s">
        <v>112</v>
      </c>
      <c r="AA295" s="42"/>
      <c r="AB295" s="60" t="s">
        <v>613</v>
      </c>
      <c r="AC295" s="60" t="s">
        <v>2643</v>
      </c>
      <c r="AD295" s="192">
        <v>42444.0</v>
      </c>
      <c r="AE295" s="30" t="s">
        <v>2788</v>
      </c>
      <c r="AF295" s="34" t="s">
        <v>74</v>
      </c>
      <c r="AG295" s="56" t="s">
        <v>261</v>
      </c>
      <c r="AH295" s="53"/>
      <c r="AI295" s="77"/>
      <c r="AJ295" s="58">
        <v>42412.0</v>
      </c>
      <c r="AK295" s="77"/>
      <c r="AL295" s="56" t="s">
        <v>1215</v>
      </c>
    </row>
    <row r="296" ht="22.5" customHeight="1">
      <c r="A296" s="27" t="s">
        <v>2789</v>
      </c>
      <c r="B296" s="63" t="s">
        <v>1321</v>
      </c>
      <c r="C296" s="32" t="s">
        <v>1322</v>
      </c>
      <c r="D296" s="34" t="s">
        <v>845</v>
      </c>
      <c r="E296" s="38" t="s">
        <v>1323</v>
      </c>
      <c r="F296" s="41" t="s">
        <v>140</v>
      </c>
      <c r="G296" s="34" t="s">
        <v>168</v>
      </c>
      <c r="H296" s="48">
        <v>42417.0</v>
      </c>
      <c r="I296" s="48">
        <v>42417.0</v>
      </c>
      <c r="J296" s="48">
        <v>42417.0</v>
      </c>
      <c r="K296" s="32" t="s">
        <v>70</v>
      </c>
      <c r="L296" s="41" t="s">
        <v>115</v>
      </c>
      <c r="M296" s="42" t="s">
        <v>88</v>
      </c>
      <c r="N296" s="32" t="s">
        <v>89</v>
      </c>
      <c r="O296" s="32" t="s">
        <v>1798</v>
      </c>
      <c r="P296" s="38"/>
      <c r="Q296" s="32" t="s">
        <v>1799</v>
      </c>
      <c r="R296" s="48">
        <v>43512.0</v>
      </c>
      <c r="S296" s="32" t="s">
        <v>196</v>
      </c>
      <c r="T296" s="45" t="s">
        <v>1324</v>
      </c>
      <c r="U296" s="45" t="s">
        <v>2790</v>
      </c>
      <c r="V296" s="34" t="s">
        <v>80</v>
      </c>
      <c r="W296" s="32" t="s">
        <v>561</v>
      </c>
      <c r="X296" s="32" t="s">
        <v>1326</v>
      </c>
      <c r="Y296" s="109" t="s">
        <v>1327</v>
      </c>
      <c r="Z296" s="32" t="s">
        <v>112</v>
      </c>
      <c r="AA296" s="32"/>
      <c r="AB296" s="32" t="s">
        <v>113</v>
      </c>
      <c r="AC296" s="60"/>
      <c r="AD296" s="192"/>
      <c r="AE296" s="53"/>
      <c r="AF296" s="34" t="s">
        <v>80</v>
      </c>
      <c r="AG296" s="56" t="s">
        <v>1329</v>
      </c>
      <c r="AH296" s="41"/>
      <c r="AI296" s="41"/>
      <c r="AJ296" s="77"/>
      <c r="AK296" s="58">
        <v>41619.0</v>
      </c>
      <c r="AL296" s="56" t="s">
        <v>1813</v>
      </c>
    </row>
    <row r="297" ht="22.5" customHeight="1">
      <c r="A297" s="27" t="s">
        <v>2791</v>
      </c>
      <c r="B297" s="63" t="s">
        <v>1321</v>
      </c>
      <c r="C297" s="32" t="s">
        <v>1322</v>
      </c>
      <c r="D297" s="34" t="s">
        <v>845</v>
      </c>
      <c r="E297" s="38" t="s">
        <v>1323</v>
      </c>
      <c r="F297" s="41" t="s">
        <v>140</v>
      </c>
      <c r="G297" s="34" t="s">
        <v>168</v>
      </c>
      <c r="H297" s="48">
        <v>42381.0</v>
      </c>
      <c r="I297" s="48">
        <v>42381.0</v>
      </c>
      <c r="J297" s="48">
        <v>42381.0</v>
      </c>
      <c r="K297" s="32" t="s">
        <v>86</v>
      </c>
      <c r="L297" s="41" t="s">
        <v>115</v>
      </c>
      <c r="M297" s="42" t="s">
        <v>88</v>
      </c>
      <c r="N297" s="32" t="s">
        <v>89</v>
      </c>
      <c r="O297" s="32" t="s">
        <v>1798</v>
      </c>
      <c r="P297" s="38"/>
      <c r="Q297" s="32" t="s">
        <v>1799</v>
      </c>
      <c r="R297" s="48">
        <v>42521.0</v>
      </c>
      <c r="S297" s="32" t="s">
        <v>196</v>
      </c>
      <c r="T297" s="45" t="s">
        <v>1324</v>
      </c>
      <c r="U297" s="45" t="s">
        <v>2792</v>
      </c>
      <c r="V297" s="34" t="s">
        <v>80</v>
      </c>
      <c r="W297" s="32" t="s">
        <v>561</v>
      </c>
      <c r="X297" s="32" t="s">
        <v>1326</v>
      </c>
      <c r="Y297" s="109" t="s">
        <v>1327</v>
      </c>
      <c r="Z297" s="32" t="s">
        <v>112</v>
      </c>
      <c r="AA297" s="32"/>
      <c r="AB297" s="32" t="s">
        <v>113</v>
      </c>
      <c r="AC297" s="60"/>
      <c r="AD297" s="192"/>
      <c r="AE297" s="53"/>
      <c r="AF297" s="34" t="s">
        <v>74</v>
      </c>
      <c r="AG297" s="56" t="s">
        <v>1329</v>
      </c>
      <c r="AH297" s="41"/>
      <c r="AI297" s="41"/>
      <c r="AJ297" s="77"/>
      <c r="AK297" s="58">
        <v>41619.0</v>
      </c>
      <c r="AL297" s="56" t="s">
        <v>1813</v>
      </c>
    </row>
    <row r="298" ht="22.5" customHeight="1">
      <c r="A298" s="27" t="s">
        <v>2793</v>
      </c>
      <c r="B298" s="63" t="s">
        <v>190</v>
      </c>
      <c r="C298" s="149" t="s">
        <v>211</v>
      </c>
      <c r="D298" s="34" t="s">
        <v>752</v>
      </c>
      <c r="E298" s="32" t="s">
        <v>947</v>
      </c>
      <c r="F298" s="34" t="s">
        <v>93</v>
      </c>
      <c r="G298" s="34" t="s">
        <v>168</v>
      </c>
      <c r="H298" s="48">
        <v>42487.0</v>
      </c>
      <c r="I298" s="48">
        <v>42487.0</v>
      </c>
      <c r="J298" s="48"/>
      <c r="K298" s="32" t="s">
        <v>70</v>
      </c>
      <c r="L298" s="41" t="s">
        <v>115</v>
      </c>
      <c r="M298" s="63" t="s">
        <v>218</v>
      </c>
      <c r="N298" s="32" t="s">
        <v>434</v>
      </c>
      <c r="O298" s="32" t="s">
        <v>954</v>
      </c>
      <c r="P298" s="32" t="s">
        <v>955</v>
      </c>
      <c r="Q298" s="32" t="s">
        <v>1558</v>
      </c>
      <c r="R298" s="34"/>
      <c r="S298" s="32" t="s">
        <v>116</v>
      </c>
      <c r="T298" s="56" t="s">
        <v>198</v>
      </c>
      <c r="U298" s="45" t="s">
        <v>2794</v>
      </c>
      <c r="V298" s="34" t="s">
        <v>80</v>
      </c>
      <c r="W298" s="32" t="s">
        <v>201</v>
      </c>
      <c r="X298" s="32" t="s">
        <v>202</v>
      </c>
      <c r="Y298" s="45" t="s">
        <v>203</v>
      </c>
      <c r="Z298" s="32" t="s">
        <v>112</v>
      </c>
      <c r="AA298" s="32"/>
      <c r="AB298" s="32" t="s">
        <v>113</v>
      </c>
      <c r="AC298" s="60"/>
      <c r="AD298" s="192"/>
      <c r="AE298" s="53"/>
      <c r="AF298" s="200" t="s">
        <v>80</v>
      </c>
      <c r="AG298" s="56" t="s">
        <v>206</v>
      </c>
      <c r="AH298" s="41"/>
      <c r="AI298" s="41"/>
      <c r="AJ298" s="77"/>
      <c r="AK298" s="58">
        <v>42212.0</v>
      </c>
      <c r="AL298" s="56" t="s">
        <v>965</v>
      </c>
    </row>
    <row r="299" ht="22.5" customHeight="1">
      <c r="A299" s="27" t="s">
        <v>2795</v>
      </c>
      <c r="B299" s="57" t="s">
        <v>2044</v>
      </c>
      <c r="C299" s="57" t="s">
        <v>2045</v>
      </c>
      <c r="D299" s="54" t="s">
        <v>91</v>
      </c>
      <c r="E299" s="57" t="s">
        <v>2046</v>
      </c>
      <c r="F299" s="54" t="s">
        <v>93</v>
      </c>
      <c r="G299" s="54" t="s">
        <v>85</v>
      </c>
      <c r="H299" s="155">
        <v>42586.0</v>
      </c>
      <c r="I299" s="155">
        <v>42562.0</v>
      </c>
      <c r="J299" s="155">
        <v>42586.0</v>
      </c>
      <c r="K299" s="32" t="s">
        <v>70</v>
      </c>
      <c r="L299" s="54" t="s">
        <v>115</v>
      </c>
      <c r="M299" s="63" t="s">
        <v>313</v>
      </c>
      <c r="N299" s="32" t="s">
        <v>89</v>
      </c>
      <c r="O299" s="32" t="s">
        <v>116</v>
      </c>
      <c r="P299" s="47"/>
      <c r="Q299" s="47"/>
      <c r="R299" s="47"/>
      <c r="S299" s="32" t="s">
        <v>116</v>
      </c>
      <c r="T299" s="45" t="s">
        <v>2796</v>
      </c>
      <c r="U299" s="45" t="s">
        <v>2797</v>
      </c>
      <c r="V299" s="65"/>
      <c r="W299" s="57" t="s">
        <v>2798</v>
      </c>
      <c r="X299" s="57" t="s">
        <v>2052</v>
      </c>
      <c r="Y299" s="67" t="s">
        <v>2053</v>
      </c>
      <c r="Z299" s="32" t="s">
        <v>112</v>
      </c>
      <c r="AA299" s="47"/>
      <c r="AB299" s="123" t="s">
        <v>113</v>
      </c>
      <c r="AC299" s="60" t="s">
        <v>2799</v>
      </c>
      <c r="AD299" s="261">
        <v>42586.0</v>
      </c>
      <c r="AE299" s="47"/>
      <c r="AF299" s="54" t="s">
        <v>80</v>
      </c>
      <c r="AG299" s="56" t="s">
        <v>2054</v>
      </c>
      <c r="AH299" s="47"/>
      <c r="AI299" s="58"/>
      <c r="AJ299" s="77"/>
      <c r="AK299" s="83">
        <v>42047.0</v>
      </c>
      <c r="AL299" s="63"/>
    </row>
    <row r="300" ht="22.5" customHeight="1">
      <c r="A300" s="27" t="s">
        <v>2800</v>
      </c>
      <c r="B300" s="57" t="s">
        <v>888</v>
      </c>
      <c r="C300" s="32" t="s">
        <v>1281</v>
      </c>
      <c r="D300" s="41" t="s">
        <v>75</v>
      </c>
      <c r="E300" s="38" t="s">
        <v>1282</v>
      </c>
      <c r="F300" s="34" t="s">
        <v>140</v>
      </c>
      <c r="G300" s="34" t="s">
        <v>168</v>
      </c>
      <c r="H300" s="155">
        <v>42586.0</v>
      </c>
      <c r="I300" s="155">
        <v>42586.0</v>
      </c>
      <c r="J300" s="155">
        <v>42586.0</v>
      </c>
      <c r="K300" s="32" t="s">
        <v>70</v>
      </c>
      <c r="L300" s="34" t="s">
        <v>115</v>
      </c>
      <c r="M300" s="32" t="s">
        <v>88</v>
      </c>
      <c r="N300" s="32" t="s">
        <v>89</v>
      </c>
      <c r="O300" s="38" t="s">
        <v>1513</v>
      </c>
      <c r="P300" s="47"/>
      <c r="Q300" s="57" t="s">
        <v>2485</v>
      </c>
      <c r="R300" s="34"/>
      <c r="S300" s="32" t="s">
        <v>196</v>
      </c>
      <c r="T300" s="45" t="s">
        <v>1285</v>
      </c>
      <c r="U300" s="45" t="s">
        <v>2801</v>
      </c>
      <c r="V300" s="34" t="s">
        <v>74</v>
      </c>
      <c r="W300" s="32" t="s">
        <v>561</v>
      </c>
      <c r="X300" s="60" t="s">
        <v>1287</v>
      </c>
      <c r="Y300" s="45" t="s">
        <v>1288</v>
      </c>
      <c r="Z300" s="32" t="s">
        <v>112</v>
      </c>
      <c r="AA300" s="47"/>
      <c r="AB300" s="32" t="s">
        <v>113</v>
      </c>
      <c r="AC300" s="60"/>
      <c r="AD300" s="261"/>
      <c r="AE300" s="47"/>
      <c r="AF300" s="180" t="s">
        <v>80</v>
      </c>
      <c r="AG300" s="56" t="s">
        <v>900</v>
      </c>
      <c r="AH300" s="47"/>
      <c r="AI300" s="58"/>
      <c r="AJ300" s="41"/>
      <c r="AK300" s="155">
        <v>41770.0</v>
      </c>
      <c r="AL300" s="56" t="s">
        <v>2423</v>
      </c>
    </row>
    <row r="301" ht="22.5" customHeight="1">
      <c r="A301" s="27" t="s">
        <v>2802</v>
      </c>
      <c r="B301" s="57" t="s">
        <v>69</v>
      </c>
      <c r="C301" s="32" t="s">
        <v>90</v>
      </c>
      <c r="D301" s="39" t="s">
        <v>91</v>
      </c>
      <c r="E301" s="38" t="s">
        <v>92</v>
      </c>
      <c r="F301" s="34" t="s">
        <v>93</v>
      </c>
      <c r="G301" s="34" t="s">
        <v>168</v>
      </c>
      <c r="H301" s="155">
        <v>42473.0</v>
      </c>
      <c r="I301" s="155">
        <v>42473.0</v>
      </c>
      <c r="J301" s="155"/>
      <c r="K301" s="32" t="s">
        <v>86</v>
      </c>
      <c r="L301" s="34" t="s">
        <v>115</v>
      </c>
      <c r="M301" s="121" t="s">
        <v>88</v>
      </c>
      <c r="N301" s="32" t="s">
        <v>89</v>
      </c>
      <c r="O301" s="32" t="s">
        <v>220</v>
      </c>
      <c r="P301" s="47"/>
      <c r="Q301" s="57" t="s">
        <v>2610</v>
      </c>
      <c r="R301" s="58">
        <v>42838.0</v>
      </c>
      <c r="S301" s="32" t="s">
        <v>116</v>
      </c>
      <c r="T301" s="45" t="s">
        <v>118</v>
      </c>
      <c r="U301" s="45" t="s">
        <v>2803</v>
      </c>
      <c r="V301" s="34" t="s">
        <v>80</v>
      </c>
      <c r="W301" s="60" t="s">
        <v>122</v>
      </c>
      <c r="X301" s="60" t="s">
        <v>130</v>
      </c>
      <c r="Y301" s="45" t="s">
        <v>131</v>
      </c>
      <c r="Z301" s="32" t="s">
        <v>112</v>
      </c>
      <c r="AA301" s="47"/>
      <c r="AB301" s="60" t="s">
        <v>113</v>
      </c>
      <c r="AC301" s="60"/>
      <c r="AD301" s="261"/>
      <c r="AE301" s="47"/>
      <c r="AF301" s="180" t="s">
        <v>80</v>
      </c>
      <c r="AG301" s="56" t="s">
        <v>159</v>
      </c>
      <c r="AH301" s="47"/>
      <c r="AI301" s="58"/>
      <c r="AJ301" s="41"/>
      <c r="AK301" s="58">
        <v>41100.0</v>
      </c>
      <c r="AL301" s="56" t="s">
        <v>232</v>
      </c>
    </row>
    <row r="302" ht="22.5" customHeight="1">
      <c r="A302" s="27" t="s">
        <v>2804</v>
      </c>
      <c r="B302" s="57" t="s">
        <v>190</v>
      </c>
      <c r="C302" s="149" t="s">
        <v>191</v>
      </c>
      <c r="D302" s="34" t="s">
        <v>752</v>
      </c>
      <c r="E302" s="38" t="s">
        <v>193</v>
      </c>
      <c r="F302" s="54" t="s">
        <v>93</v>
      </c>
      <c r="G302" s="34" t="s">
        <v>168</v>
      </c>
      <c r="H302" s="155">
        <v>42473.0</v>
      </c>
      <c r="I302" s="155">
        <v>42473.0</v>
      </c>
      <c r="J302" s="155"/>
      <c r="K302" s="32" t="s">
        <v>86</v>
      </c>
      <c r="L302" s="34" t="s">
        <v>115</v>
      </c>
      <c r="M302" s="63" t="s">
        <v>88</v>
      </c>
      <c r="N302" s="32" t="s">
        <v>89</v>
      </c>
      <c r="O302" s="32" t="s">
        <v>220</v>
      </c>
      <c r="P302" s="47"/>
      <c r="Q302" s="57" t="s">
        <v>2610</v>
      </c>
      <c r="R302" s="58">
        <v>42838.0</v>
      </c>
      <c r="S302" s="57" t="s">
        <v>116</v>
      </c>
      <c r="T302" s="56" t="s">
        <v>198</v>
      </c>
      <c r="U302" s="45" t="s">
        <v>2805</v>
      </c>
      <c r="V302" s="34" t="s">
        <v>80</v>
      </c>
      <c r="W302" s="32" t="s">
        <v>201</v>
      </c>
      <c r="X302" s="32" t="s">
        <v>202</v>
      </c>
      <c r="Y302" s="45" t="s">
        <v>203</v>
      </c>
      <c r="Z302" s="32" t="s">
        <v>112</v>
      </c>
      <c r="AA302" s="47"/>
      <c r="AB302" s="32" t="s">
        <v>113</v>
      </c>
      <c r="AC302" s="60"/>
      <c r="AD302" s="261"/>
      <c r="AE302" s="47"/>
      <c r="AF302" s="180" t="s">
        <v>80</v>
      </c>
      <c r="AG302" s="56" t="s">
        <v>206</v>
      </c>
      <c r="AH302" s="47"/>
      <c r="AI302" s="58"/>
      <c r="AJ302" s="41"/>
      <c r="AK302" s="58">
        <v>41215.0</v>
      </c>
      <c r="AL302" s="56" t="s">
        <v>232</v>
      </c>
    </row>
    <row r="303" ht="22.5" customHeight="1">
      <c r="A303" s="27" t="s">
        <v>2806</v>
      </c>
      <c r="B303" s="57" t="s">
        <v>1251</v>
      </c>
      <c r="C303" s="32" t="s">
        <v>1252</v>
      </c>
      <c r="D303" s="41" t="s">
        <v>91</v>
      </c>
      <c r="E303" s="38" t="s">
        <v>1253</v>
      </c>
      <c r="F303" s="34" t="s">
        <v>93</v>
      </c>
      <c r="G303" s="34" t="s">
        <v>168</v>
      </c>
      <c r="H303" s="155">
        <v>42510.0</v>
      </c>
      <c r="I303" s="155">
        <v>42510.0</v>
      </c>
      <c r="J303" s="155"/>
      <c r="K303" s="32" t="s">
        <v>70</v>
      </c>
      <c r="L303" s="34" t="s">
        <v>115</v>
      </c>
      <c r="M303" s="63" t="s">
        <v>218</v>
      </c>
      <c r="N303" s="32" t="s">
        <v>89</v>
      </c>
      <c r="O303" s="38" t="s">
        <v>220</v>
      </c>
      <c r="P303" s="47"/>
      <c r="Q303" s="57" t="s">
        <v>2610</v>
      </c>
      <c r="R303" s="34"/>
      <c r="S303" s="32" t="s">
        <v>116</v>
      </c>
      <c r="T303" s="45" t="s">
        <v>1256</v>
      </c>
      <c r="U303" s="45" t="s">
        <v>2807</v>
      </c>
      <c r="V303" s="34" t="s">
        <v>80</v>
      </c>
      <c r="W303" s="60" t="s">
        <v>1261</v>
      </c>
      <c r="X303" s="32" t="s">
        <v>1262</v>
      </c>
      <c r="Y303" s="109" t="s">
        <v>1263</v>
      </c>
      <c r="Z303" s="32" t="s">
        <v>112</v>
      </c>
      <c r="AA303" s="47"/>
      <c r="AB303" s="32" t="s">
        <v>113</v>
      </c>
      <c r="AC303" s="60"/>
      <c r="AD303" s="261"/>
      <c r="AE303" s="47"/>
      <c r="AF303" s="180" t="s">
        <v>80</v>
      </c>
      <c r="AG303" s="56" t="s">
        <v>1269</v>
      </c>
      <c r="AH303" s="47"/>
      <c r="AI303" s="58"/>
      <c r="AJ303" s="41"/>
      <c r="AK303" s="58">
        <v>41162.0</v>
      </c>
      <c r="AL303" s="56" t="s">
        <v>232</v>
      </c>
    </row>
    <row r="304" ht="22.5" customHeight="1">
      <c r="A304" s="27" t="s">
        <v>2808</v>
      </c>
      <c r="B304" s="57" t="s">
        <v>1321</v>
      </c>
      <c r="C304" s="32" t="s">
        <v>1322</v>
      </c>
      <c r="D304" s="34" t="s">
        <v>845</v>
      </c>
      <c r="E304" s="38" t="s">
        <v>1323</v>
      </c>
      <c r="F304" s="34" t="s">
        <v>140</v>
      </c>
      <c r="G304" s="34" t="s">
        <v>168</v>
      </c>
      <c r="H304" s="155">
        <v>42531.0</v>
      </c>
      <c r="I304" s="155">
        <v>42531.0</v>
      </c>
      <c r="J304" s="155"/>
      <c r="K304" s="32" t="s">
        <v>86</v>
      </c>
      <c r="L304" s="34" t="s">
        <v>115</v>
      </c>
      <c r="M304" s="42" t="s">
        <v>88</v>
      </c>
      <c r="N304" s="32" t="s">
        <v>89</v>
      </c>
      <c r="O304" s="32" t="s">
        <v>220</v>
      </c>
      <c r="P304" s="47"/>
      <c r="Q304" s="57" t="s">
        <v>2610</v>
      </c>
      <c r="R304" s="58">
        <v>42714.0</v>
      </c>
      <c r="S304" s="32" t="s">
        <v>196</v>
      </c>
      <c r="T304" s="45" t="s">
        <v>1324</v>
      </c>
      <c r="U304" s="45" t="s">
        <v>2809</v>
      </c>
      <c r="V304" s="34" t="s">
        <v>80</v>
      </c>
      <c r="W304" s="32" t="s">
        <v>561</v>
      </c>
      <c r="X304" s="32" t="s">
        <v>1326</v>
      </c>
      <c r="Y304" s="109" t="s">
        <v>1327</v>
      </c>
      <c r="Z304" s="32" t="s">
        <v>112</v>
      </c>
      <c r="AA304" s="47"/>
      <c r="AB304" s="32" t="s">
        <v>113</v>
      </c>
      <c r="AC304" s="60"/>
      <c r="AD304" s="261"/>
      <c r="AE304" s="57" t="s">
        <v>2810</v>
      </c>
      <c r="AF304" s="34" t="s">
        <v>74</v>
      </c>
      <c r="AG304" s="56" t="s">
        <v>1329</v>
      </c>
      <c r="AH304" s="47"/>
      <c r="AI304" s="58"/>
      <c r="AJ304" s="41"/>
      <c r="AK304" s="58">
        <v>41619.0</v>
      </c>
      <c r="AL304" s="56" t="s">
        <v>232</v>
      </c>
    </row>
    <row r="305" ht="22.5" customHeight="1">
      <c r="A305" s="27" t="s">
        <v>2811</v>
      </c>
      <c r="B305" s="57" t="s">
        <v>2501</v>
      </c>
      <c r="C305" s="32" t="s">
        <v>2502</v>
      </c>
      <c r="D305" s="34" t="s">
        <v>75</v>
      </c>
      <c r="E305" s="32" t="s">
        <v>2503</v>
      </c>
      <c r="F305" s="34" t="s">
        <v>140</v>
      </c>
      <c r="G305" s="34" t="s">
        <v>85</v>
      </c>
      <c r="H305" s="155">
        <v>42566.0</v>
      </c>
      <c r="I305" s="155">
        <v>42566.0</v>
      </c>
      <c r="J305" s="155"/>
      <c r="K305" s="32" t="s">
        <v>86</v>
      </c>
      <c r="L305" s="34" t="s">
        <v>115</v>
      </c>
      <c r="M305" s="32" t="s">
        <v>313</v>
      </c>
      <c r="N305" s="32" t="s">
        <v>89</v>
      </c>
      <c r="O305" s="32" t="s">
        <v>220</v>
      </c>
      <c r="P305" s="47"/>
      <c r="Q305" s="57" t="s">
        <v>2610</v>
      </c>
      <c r="R305" s="58">
        <v>42750.0</v>
      </c>
      <c r="S305" s="32" t="s">
        <v>220</v>
      </c>
      <c r="T305" s="56" t="s">
        <v>2504</v>
      </c>
      <c r="U305" s="45" t="s">
        <v>2812</v>
      </c>
      <c r="V305" s="34" t="s">
        <v>80</v>
      </c>
      <c r="W305" s="32" t="s">
        <v>2506</v>
      </c>
      <c r="X305" s="32" t="s">
        <v>2507</v>
      </c>
      <c r="Y305" s="45" t="s">
        <v>2508</v>
      </c>
      <c r="Z305" s="32" t="s">
        <v>112</v>
      </c>
      <c r="AA305" s="47"/>
      <c r="AB305" s="32" t="s">
        <v>113</v>
      </c>
      <c r="AC305" s="255"/>
      <c r="AD305" s="261"/>
      <c r="AE305" s="57" t="s">
        <v>2810</v>
      </c>
      <c r="AF305" s="180" t="s">
        <v>80</v>
      </c>
      <c r="AG305" s="56" t="s">
        <v>2510</v>
      </c>
      <c r="AH305" s="47"/>
      <c r="AI305" s="58"/>
      <c r="AJ305" s="41"/>
      <c r="AK305" s="58">
        <v>42485.0</v>
      </c>
      <c r="AL305" s="56" t="s">
        <v>232</v>
      </c>
    </row>
    <row r="306" ht="22.5" customHeight="1">
      <c r="A306" s="27" t="s">
        <v>2813</v>
      </c>
      <c r="B306" s="57" t="s">
        <v>2044</v>
      </c>
      <c r="C306" s="32" t="s">
        <v>2045</v>
      </c>
      <c r="D306" s="54" t="s">
        <v>91</v>
      </c>
      <c r="E306" s="57" t="s">
        <v>2046</v>
      </c>
      <c r="F306" s="34" t="s">
        <v>93</v>
      </c>
      <c r="G306" s="34" t="s">
        <v>168</v>
      </c>
      <c r="H306" s="155">
        <v>42531.0</v>
      </c>
      <c r="I306" s="155">
        <v>42531.0</v>
      </c>
      <c r="J306" s="155"/>
      <c r="K306" s="32" t="s">
        <v>86</v>
      </c>
      <c r="L306" s="34" t="s">
        <v>115</v>
      </c>
      <c r="M306" s="63" t="s">
        <v>313</v>
      </c>
      <c r="N306" s="32" t="s">
        <v>89</v>
      </c>
      <c r="O306" s="32" t="s">
        <v>220</v>
      </c>
      <c r="P306" s="47"/>
      <c r="Q306" s="57" t="s">
        <v>2610</v>
      </c>
      <c r="R306" s="58">
        <v>42896.0</v>
      </c>
      <c r="S306" s="32" t="s">
        <v>116</v>
      </c>
      <c r="T306" s="45" t="s">
        <v>2796</v>
      </c>
      <c r="U306" s="45" t="s">
        <v>2814</v>
      </c>
      <c r="V306" s="34" t="s">
        <v>80</v>
      </c>
      <c r="W306" s="57" t="s">
        <v>2798</v>
      </c>
      <c r="X306" s="57" t="s">
        <v>2052</v>
      </c>
      <c r="Y306" s="67" t="s">
        <v>2053</v>
      </c>
      <c r="Z306" s="32" t="s">
        <v>112</v>
      </c>
      <c r="AA306" s="47"/>
      <c r="AB306" s="123" t="s">
        <v>113</v>
      </c>
      <c r="AC306" s="60"/>
      <c r="AD306" s="261"/>
      <c r="AE306" s="47"/>
      <c r="AF306" s="54" t="s">
        <v>74</v>
      </c>
      <c r="AG306" s="56" t="s">
        <v>2054</v>
      </c>
      <c r="AH306" s="47"/>
      <c r="AI306" s="58"/>
      <c r="AJ306" s="41"/>
      <c r="AK306" s="83">
        <v>42047.0</v>
      </c>
      <c r="AL306" s="56" t="s">
        <v>232</v>
      </c>
    </row>
    <row r="307" ht="22.5" customHeight="1">
      <c r="A307" s="27" t="s">
        <v>2815</v>
      </c>
      <c r="B307" s="57" t="s">
        <v>987</v>
      </c>
      <c r="C307" s="32" t="s">
        <v>988</v>
      </c>
      <c r="D307" s="41" t="s">
        <v>75</v>
      </c>
      <c r="E307" s="63" t="s">
        <v>990</v>
      </c>
      <c r="F307" s="34" t="s">
        <v>93</v>
      </c>
      <c r="G307" s="34" t="s">
        <v>168</v>
      </c>
      <c r="H307" s="155">
        <v>42592.0</v>
      </c>
      <c r="I307" s="155">
        <v>42592.0</v>
      </c>
      <c r="J307" s="155"/>
      <c r="K307" s="32" t="s">
        <v>86</v>
      </c>
      <c r="L307" s="34" t="s">
        <v>115</v>
      </c>
      <c r="M307" s="63" t="s">
        <v>218</v>
      </c>
      <c r="N307" s="32" t="s">
        <v>89</v>
      </c>
      <c r="O307" s="32" t="s">
        <v>220</v>
      </c>
      <c r="P307" s="57" t="s">
        <v>2816</v>
      </c>
      <c r="Q307" s="57" t="s">
        <v>2817</v>
      </c>
      <c r="R307" s="58">
        <v>43141.0</v>
      </c>
      <c r="S307" s="32" t="s">
        <v>116</v>
      </c>
      <c r="T307" s="203" t="s">
        <v>997</v>
      </c>
      <c r="U307" s="45" t="s">
        <v>2818</v>
      </c>
      <c r="V307" s="34" t="s">
        <v>80</v>
      </c>
      <c r="W307" s="63" t="s">
        <v>1001</v>
      </c>
      <c r="X307" s="63" t="s">
        <v>1002</v>
      </c>
      <c r="Y307" s="56" t="s">
        <v>1003</v>
      </c>
      <c r="Z307" s="32" t="s">
        <v>112</v>
      </c>
      <c r="AA307" s="47"/>
      <c r="AB307" s="32" t="s">
        <v>113</v>
      </c>
      <c r="AC307" s="60"/>
      <c r="AD307" s="261"/>
      <c r="AE307" s="47"/>
      <c r="AF307" s="54" t="s">
        <v>80</v>
      </c>
      <c r="AG307" s="56" t="s">
        <v>1005</v>
      </c>
      <c r="AH307" s="47"/>
      <c r="AI307" s="58"/>
      <c r="AJ307" s="41"/>
      <c r="AK307" s="83">
        <v>41736.0</v>
      </c>
      <c r="AL307" s="56" t="s">
        <v>232</v>
      </c>
    </row>
    <row r="308" ht="22.5" customHeight="1">
      <c r="A308" s="27" t="s">
        <v>2819</v>
      </c>
      <c r="B308" s="57" t="s">
        <v>2550</v>
      </c>
      <c r="C308" s="32" t="s">
        <v>2551</v>
      </c>
      <c r="D308" s="34" t="s">
        <v>584</v>
      </c>
      <c r="E308" s="149" t="s">
        <v>2552</v>
      </c>
      <c r="F308" s="34" t="s">
        <v>140</v>
      </c>
      <c r="G308" s="34" t="s">
        <v>168</v>
      </c>
      <c r="H308" s="155">
        <v>42593.0</v>
      </c>
      <c r="I308" s="155"/>
      <c r="J308" s="155">
        <v>42593.0</v>
      </c>
      <c r="K308" s="32" t="s">
        <v>70</v>
      </c>
      <c r="L308" s="34" t="s">
        <v>115</v>
      </c>
      <c r="M308" s="42" t="s">
        <v>88</v>
      </c>
      <c r="N308" s="32" t="s">
        <v>89</v>
      </c>
      <c r="O308" s="32" t="s">
        <v>1908</v>
      </c>
      <c r="P308" s="57"/>
      <c r="Q308" s="57" t="s">
        <v>2457</v>
      </c>
      <c r="R308" s="58"/>
      <c r="S308" s="32" t="s">
        <v>1023</v>
      </c>
      <c r="T308" s="56" t="s">
        <v>2553</v>
      </c>
      <c r="U308" s="45" t="s">
        <v>2820</v>
      </c>
      <c r="V308" s="34" t="s">
        <v>80</v>
      </c>
      <c r="W308" s="149" t="s">
        <v>2555</v>
      </c>
      <c r="X308" s="149" t="s">
        <v>2556</v>
      </c>
      <c r="Y308" s="152" t="s">
        <v>2557</v>
      </c>
      <c r="Z308" s="32" t="s">
        <v>112</v>
      </c>
      <c r="AA308" s="47"/>
      <c r="AB308" s="60" t="s">
        <v>389</v>
      </c>
      <c r="AC308" s="60"/>
      <c r="AD308" s="261"/>
      <c r="AE308" s="47"/>
      <c r="AF308" s="54" t="s">
        <v>80</v>
      </c>
      <c r="AG308" s="56" t="s">
        <v>2559</v>
      </c>
      <c r="AH308" s="47"/>
      <c r="AI308" s="58"/>
      <c r="AJ308" s="41"/>
      <c r="AK308" s="268">
        <v>41770.0</v>
      </c>
      <c r="AL308" s="56" t="s">
        <v>2432</v>
      </c>
    </row>
    <row r="309" ht="22.5" customHeight="1">
      <c r="A309" s="27" t="s">
        <v>2821</v>
      </c>
      <c r="B309" s="57" t="s">
        <v>1693</v>
      </c>
      <c r="C309" s="32" t="s">
        <v>1694</v>
      </c>
      <c r="D309" s="41" t="s">
        <v>75</v>
      </c>
      <c r="E309" s="32" t="s">
        <v>1695</v>
      </c>
      <c r="F309" s="34" t="s">
        <v>140</v>
      </c>
      <c r="G309" s="34" t="s">
        <v>168</v>
      </c>
      <c r="H309" s="155">
        <v>42367.0</v>
      </c>
      <c r="I309" s="155">
        <v>42367.0</v>
      </c>
      <c r="J309" s="155"/>
      <c r="K309" s="32" t="s">
        <v>86</v>
      </c>
      <c r="L309" s="41" t="s">
        <v>115</v>
      </c>
      <c r="M309" s="63" t="s">
        <v>218</v>
      </c>
      <c r="N309" s="38" t="s">
        <v>89</v>
      </c>
      <c r="O309" s="32" t="s">
        <v>954</v>
      </c>
      <c r="P309" s="32" t="s">
        <v>2000</v>
      </c>
      <c r="Q309" s="57" t="s">
        <v>2822</v>
      </c>
      <c r="R309" s="58">
        <v>42416.0</v>
      </c>
      <c r="S309" s="32" t="s">
        <v>1023</v>
      </c>
      <c r="T309" s="203" t="s">
        <v>1696</v>
      </c>
      <c r="U309" s="45" t="s">
        <v>2823</v>
      </c>
      <c r="V309" s="34" t="s">
        <v>80</v>
      </c>
      <c r="W309" s="60" t="s">
        <v>1699</v>
      </c>
      <c r="X309" s="109" t="s">
        <v>1700</v>
      </c>
      <c r="Y309" s="109" t="s">
        <v>1701</v>
      </c>
      <c r="Z309" s="32" t="s">
        <v>112</v>
      </c>
      <c r="AA309" s="32"/>
      <c r="AB309" s="60" t="s">
        <v>389</v>
      </c>
      <c r="AC309" s="60"/>
      <c r="AD309" s="261"/>
      <c r="AE309" s="57" t="s">
        <v>2824</v>
      </c>
      <c r="AF309" s="54" t="s">
        <v>74</v>
      </c>
      <c r="AG309" s="56" t="s">
        <v>1703</v>
      </c>
      <c r="AH309" s="47"/>
      <c r="AI309" s="58"/>
      <c r="AJ309" s="41"/>
      <c r="AK309" s="58">
        <v>42103.0</v>
      </c>
      <c r="AL309" s="56" t="s">
        <v>965</v>
      </c>
    </row>
    <row r="310" ht="22.5" customHeight="1">
      <c r="A310" s="27" t="s">
        <v>2825</v>
      </c>
      <c r="B310" s="57" t="s">
        <v>190</v>
      </c>
      <c r="C310" s="149" t="s">
        <v>211</v>
      </c>
      <c r="D310" s="34" t="s">
        <v>752</v>
      </c>
      <c r="E310" s="32" t="s">
        <v>947</v>
      </c>
      <c r="F310" s="34" t="s">
        <v>93</v>
      </c>
      <c r="G310" s="34" t="s">
        <v>168</v>
      </c>
      <c r="H310" s="155">
        <v>42605.0</v>
      </c>
      <c r="I310" s="155">
        <v>42605.0</v>
      </c>
      <c r="J310" s="155">
        <v>42605.0</v>
      </c>
      <c r="K310" s="32" t="s">
        <v>70</v>
      </c>
      <c r="L310" s="34" t="s">
        <v>115</v>
      </c>
      <c r="M310" s="63" t="s">
        <v>218</v>
      </c>
      <c r="N310" s="32" t="s">
        <v>434</v>
      </c>
      <c r="O310" s="32" t="s">
        <v>274</v>
      </c>
      <c r="P310" s="32"/>
      <c r="Q310" s="57" t="s">
        <v>2826</v>
      </c>
      <c r="R310" s="58"/>
      <c r="S310" s="32" t="s">
        <v>116</v>
      </c>
      <c r="T310" s="56" t="s">
        <v>198</v>
      </c>
      <c r="U310" s="45" t="s">
        <v>2827</v>
      </c>
      <c r="V310" s="34" t="s">
        <v>80</v>
      </c>
      <c r="W310" s="32" t="s">
        <v>201</v>
      </c>
      <c r="X310" s="32" t="s">
        <v>202</v>
      </c>
      <c r="Y310" s="45" t="s">
        <v>203</v>
      </c>
      <c r="Z310" s="32" t="s">
        <v>112</v>
      </c>
      <c r="AA310" s="32"/>
      <c r="AB310" s="32" t="s">
        <v>113</v>
      </c>
      <c r="AC310" s="60"/>
      <c r="AD310" s="261"/>
      <c r="AE310" s="57" t="s">
        <v>2828</v>
      </c>
      <c r="AF310" s="180" t="s">
        <v>80</v>
      </c>
      <c r="AG310" s="56" t="s">
        <v>206</v>
      </c>
      <c r="AH310" s="47"/>
      <c r="AI310" s="58"/>
      <c r="AJ310" s="41"/>
      <c r="AK310" s="58">
        <v>42212.0</v>
      </c>
      <c r="AL310" s="56" t="s">
        <v>280</v>
      </c>
    </row>
    <row r="311" ht="22.5" customHeight="1">
      <c r="A311" s="27" t="s">
        <v>2829</v>
      </c>
      <c r="B311" s="57" t="s">
        <v>888</v>
      </c>
      <c r="C311" s="32" t="s">
        <v>2745</v>
      </c>
      <c r="D311" s="34" t="s">
        <v>752</v>
      </c>
      <c r="E311" s="32" t="s">
        <v>2746</v>
      </c>
      <c r="F311" s="41" t="s">
        <v>93</v>
      </c>
      <c r="G311" s="34" t="s">
        <v>168</v>
      </c>
      <c r="H311" s="155">
        <v>42543.0</v>
      </c>
      <c r="I311" s="155"/>
      <c r="J311" s="155">
        <v>42543.0</v>
      </c>
      <c r="K311" s="32" t="s">
        <v>70</v>
      </c>
      <c r="L311" s="34" t="s">
        <v>115</v>
      </c>
      <c r="M311" s="63" t="s">
        <v>218</v>
      </c>
      <c r="N311" s="32" t="s">
        <v>434</v>
      </c>
      <c r="O311" s="32" t="s">
        <v>142</v>
      </c>
      <c r="P311" s="32" t="s">
        <v>1050</v>
      </c>
      <c r="Q311" s="57" t="s">
        <v>2590</v>
      </c>
      <c r="R311" s="58">
        <v>43646.0</v>
      </c>
      <c r="S311" s="32" t="s">
        <v>116</v>
      </c>
      <c r="T311" s="56" t="s">
        <v>1931</v>
      </c>
      <c r="U311" s="45" t="s">
        <v>2830</v>
      </c>
      <c r="V311" s="34" t="s">
        <v>80</v>
      </c>
      <c r="W311" s="32" t="s">
        <v>897</v>
      </c>
      <c r="X311" s="109" t="s">
        <v>898</v>
      </c>
      <c r="Y311" s="109" t="s">
        <v>899</v>
      </c>
      <c r="Z311" s="32" t="s">
        <v>112</v>
      </c>
      <c r="AA311" s="32"/>
      <c r="AB311" s="32" t="s">
        <v>481</v>
      </c>
      <c r="AC311" s="60"/>
      <c r="AD311" s="261"/>
      <c r="AE311" s="57"/>
      <c r="AF311" s="34" t="s">
        <v>80</v>
      </c>
      <c r="AG311" s="56" t="s">
        <v>900</v>
      </c>
      <c r="AH311" s="47"/>
      <c r="AI311" s="58"/>
      <c r="AJ311" s="41"/>
      <c r="AK311" s="155">
        <v>42212.0</v>
      </c>
      <c r="AL311" s="56" t="s">
        <v>262</v>
      </c>
    </row>
    <row r="312" ht="22.5" customHeight="1">
      <c r="A312" s="27" t="s">
        <v>2831</v>
      </c>
      <c r="B312" s="57" t="s">
        <v>190</v>
      </c>
      <c r="C312" s="149" t="s">
        <v>191</v>
      </c>
      <c r="D312" s="34" t="s">
        <v>752</v>
      </c>
      <c r="E312" s="38" t="s">
        <v>193</v>
      </c>
      <c r="F312" s="54" t="s">
        <v>93</v>
      </c>
      <c r="G312" s="34" t="s">
        <v>168</v>
      </c>
      <c r="H312" s="155">
        <v>42610.0</v>
      </c>
      <c r="I312" s="155">
        <v>42610.0</v>
      </c>
      <c r="J312" s="155">
        <v>42610.0</v>
      </c>
      <c r="K312" s="32" t="s">
        <v>70</v>
      </c>
      <c r="L312" s="41" t="s">
        <v>115</v>
      </c>
      <c r="M312" s="63" t="s">
        <v>88</v>
      </c>
      <c r="N312" s="38" t="s">
        <v>89</v>
      </c>
      <c r="O312" s="32" t="s">
        <v>142</v>
      </c>
      <c r="P312" s="38" t="s">
        <v>1050</v>
      </c>
      <c r="Q312" s="57" t="s">
        <v>2590</v>
      </c>
      <c r="R312" s="58"/>
      <c r="S312" s="57" t="s">
        <v>116</v>
      </c>
      <c r="T312" s="56" t="s">
        <v>198</v>
      </c>
      <c r="U312" s="45" t="s">
        <v>2832</v>
      </c>
      <c r="V312" s="34" t="s">
        <v>80</v>
      </c>
      <c r="W312" s="32" t="s">
        <v>201</v>
      </c>
      <c r="X312" s="32" t="s">
        <v>202</v>
      </c>
      <c r="Y312" s="45" t="s">
        <v>203</v>
      </c>
      <c r="Z312" s="32" t="s">
        <v>112</v>
      </c>
      <c r="AA312" s="32"/>
      <c r="AB312" s="32" t="s">
        <v>113</v>
      </c>
      <c r="AC312" s="60"/>
      <c r="AD312" s="261"/>
      <c r="AE312" s="57" t="s">
        <v>2833</v>
      </c>
      <c r="AF312" s="34" t="s">
        <v>80</v>
      </c>
      <c r="AG312" s="56" t="s">
        <v>206</v>
      </c>
      <c r="AH312" s="47"/>
      <c r="AI312" s="58"/>
      <c r="AJ312" s="41"/>
      <c r="AK312" s="58">
        <v>41215.0</v>
      </c>
      <c r="AL312" s="56" t="s">
        <v>262</v>
      </c>
    </row>
    <row r="313" ht="22.5" customHeight="1">
      <c r="A313" s="27" t="s">
        <v>2834</v>
      </c>
      <c r="B313" s="57" t="s">
        <v>190</v>
      </c>
      <c r="C313" s="149" t="s">
        <v>211</v>
      </c>
      <c r="D313" s="34" t="s">
        <v>752</v>
      </c>
      <c r="E313" s="32" t="s">
        <v>947</v>
      </c>
      <c r="F313" s="34" t="s">
        <v>93</v>
      </c>
      <c r="G313" s="34" t="s">
        <v>168</v>
      </c>
      <c r="H313" s="155">
        <v>42612.0</v>
      </c>
      <c r="I313" s="155">
        <v>42599.0</v>
      </c>
      <c r="J313" s="155">
        <v>42612.0</v>
      </c>
      <c r="K313" s="32" t="s">
        <v>70</v>
      </c>
      <c r="L313" s="34" t="s">
        <v>115</v>
      </c>
      <c r="M313" s="63" t="s">
        <v>218</v>
      </c>
      <c r="N313" s="32" t="s">
        <v>434</v>
      </c>
      <c r="O313" s="32" t="s">
        <v>402</v>
      </c>
      <c r="P313" s="38"/>
      <c r="Q313" s="57" t="s">
        <v>2835</v>
      </c>
      <c r="R313" s="58"/>
      <c r="S313" s="32" t="s">
        <v>116</v>
      </c>
      <c r="T313" s="56" t="s">
        <v>2733</v>
      </c>
      <c r="U313" s="45" t="s">
        <v>2836</v>
      </c>
      <c r="V313" s="34" t="s">
        <v>80</v>
      </c>
      <c r="W313" s="32" t="s">
        <v>201</v>
      </c>
      <c r="X313" s="32" t="s">
        <v>202</v>
      </c>
      <c r="Y313" s="45" t="s">
        <v>203</v>
      </c>
      <c r="Z313" s="32" t="s">
        <v>112</v>
      </c>
      <c r="AA313" s="32"/>
      <c r="AB313" s="32" t="s">
        <v>113</v>
      </c>
      <c r="AC313" s="60"/>
      <c r="AD313" s="261"/>
      <c r="AE313" s="57"/>
      <c r="AF313" s="34" t="s">
        <v>80</v>
      </c>
      <c r="AG313" s="56" t="s">
        <v>206</v>
      </c>
      <c r="AH313" s="47"/>
      <c r="AI313" s="58"/>
      <c r="AJ313" s="41"/>
      <c r="AK313" s="58">
        <v>42212.0</v>
      </c>
      <c r="AL313" s="56" t="s">
        <v>1033</v>
      </c>
    </row>
    <row r="314" ht="22.5" customHeight="1">
      <c r="A314" s="27" t="s">
        <v>2837</v>
      </c>
      <c r="B314" s="149" t="s">
        <v>2561</v>
      </c>
      <c r="C314" s="149" t="s">
        <v>2562</v>
      </c>
      <c r="D314" s="41" t="s">
        <v>75</v>
      </c>
      <c r="E314" s="149" t="s">
        <v>2563</v>
      </c>
      <c r="F314" s="34" t="s">
        <v>93</v>
      </c>
      <c r="G314" s="34" t="s">
        <v>168</v>
      </c>
      <c r="H314" s="155">
        <v>42612.0</v>
      </c>
      <c r="I314" s="155">
        <v>42599.0</v>
      </c>
      <c r="J314" s="155">
        <v>42612.0</v>
      </c>
      <c r="K314" s="32" t="s">
        <v>70</v>
      </c>
      <c r="L314" s="41" t="s">
        <v>115</v>
      </c>
      <c r="M314" s="63" t="s">
        <v>218</v>
      </c>
      <c r="N314" s="38" t="s">
        <v>89</v>
      </c>
      <c r="O314" s="32" t="s">
        <v>402</v>
      </c>
      <c r="P314" s="38"/>
      <c r="Q314" s="57" t="s">
        <v>2835</v>
      </c>
      <c r="R314" s="58"/>
      <c r="S314" s="32" t="s">
        <v>116</v>
      </c>
      <c r="T314" s="56" t="s">
        <v>2564</v>
      </c>
      <c r="U314" s="45" t="s">
        <v>2838</v>
      </c>
      <c r="V314" s="34" t="s">
        <v>80</v>
      </c>
      <c r="W314" s="149" t="s">
        <v>2566</v>
      </c>
      <c r="X314" s="149" t="s">
        <v>2567</v>
      </c>
      <c r="Y314" s="152" t="s">
        <v>2568</v>
      </c>
      <c r="Z314" s="32" t="s">
        <v>112</v>
      </c>
      <c r="AA314" s="32"/>
      <c r="AB314" s="32" t="s">
        <v>113</v>
      </c>
      <c r="AC314" s="68"/>
      <c r="AD314" s="261"/>
      <c r="AE314" s="57"/>
      <c r="AF314" s="34" t="s">
        <v>80</v>
      </c>
      <c r="AG314" s="56" t="s">
        <v>2571</v>
      </c>
      <c r="AH314" s="47"/>
      <c r="AI314" s="58"/>
      <c r="AJ314" s="266"/>
      <c r="AK314" s="268">
        <v>42046.0</v>
      </c>
      <c r="AL314" s="56" t="s">
        <v>1033</v>
      </c>
    </row>
    <row r="315" ht="22.5" customHeight="1">
      <c r="A315" s="27" t="s">
        <v>2839</v>
      </c>
      <c r="B315" s="57" t="s">
        <v>1251</v>
      </c>
      <c r="C315" s="149" t="s">
        <v>1832</v>
      </c>
      <c r="D315" s="41" t="s">
        <v>75</v>
      </c>
      <c r="E315" s="103" t="s">
        <v>1833</v>
      </c>
      <c r="F315" s="41" t="s">
        <v>93</v>
      </c>
      <c r="G315" s="34" t="s">
        <v>168</v>
      </c>
      <c r="H315" s="155">
        <v>42612.0</v>
      </c>
      <c r="I315" s="155">
        <v>42599.0</v>
      </c>
      <c r="J315" s="155">
        <v>42612.0</v>
      </c>
      <c r="K315" s="32" t="s">
        <v>70</v>
      </c>
      <c r="L315" s="41" t="s">
        <v>115</v>
      </c>
      <c r="M315" s="103" t="s">
        <v>88</v>
      </c>
      <c r="N315" s="32" t="s">
        <v>89</v>
      </c>
      <c r="O315" s="32" t="s">
        <v>402</v>
      </c>
      <c r="P315" s="38"/>
      <c r="Q315" s="57" t="s">
        <v>2835</v>
      </c>
      <c r="R315" s="58"/>
      <c r="S315" s="32" t="s">
        <v>116</v>
      </c>
      <c r="T315" s="45" t="s">
        <v>1835</v>
      </c>
      <c r="U315" s="45" t="s">
        <v>2840</v>
      </c>
      <c r="V315" s="34" t="s">
        <v>80</v>
      </c>
      <c r="W315" s="60" t="s">
        <v>1838</v>
      </c>
      <c r="X315" s="60" t="s">
        <v>1839</v>
      </c>
      <c r="Y315" s="109" t="s">
        <v>1841</v>
      </c>
      <c r="Z315" s="32" t="s">
        <v>112</v>
      </c>
      <c r="AA315" s="32"/>
      <c r="AB315" s="123" t="s">
        <v>113</v>
      </c>
      <c r="AC315" s="60"/>
      <c r="AD315" s="261"/>
      <c r="AE315" s="57"/>
      <c r="AF315" s="34" t="s">
        <v>80</v>
      </c>
      <c r="AG315" s="56" t="s">
        <v>1845</v>
      </c>
      <c r="AH315" s="53"/>
      <c r="AI315" s="77"/>
      <c r="AJ315" s="41"/>
      <c r="AK315" s="58">
        <v>41340.0</v>
      </c>
      <c r="AL315" s="56" t="s">
        <v>1033</v>
      </c>
    </row>
    <row r="316" ht="22.5" customHeight="1">
      <c r="A316" s="27" t="s">
        <v>2841</v>
      </c>
      <c r="B316" s="57" t="s">
        <v>843</v>
      </c>
      <c r="C316" s="32" t="s">
        <v>844</v>
      </c>
      <c r="D316" s="34" t="s">
        <v>845</v>
      </c>
      <c r="E316" s="38" t="s">
        <v>846</v>
      </c>
      <c r="F316" s="34" t="s">
        <v>140</v>
      </c>
      <c r="G316" s="34" t="s">
        <v>168</v>
      </c>
      <c r="H316" s="155">
        <v>42612.0</v>
      </c>
      <c r="I316" s="155">
        <v>42599.0</v>
      </c>
      <c r="J316" s="155">
        <v>42612.0</v>
      </c>
      <c r="K316" s="32" t="s">
        <v>70</v>
      </c>
      <c r="L316" s="41" t="s">
        <v>115</v>
      </c>
      <c r="M316" s="42" t="s">
        <v>88</v>
      </c>
      <c r="N316" s="38" t="s">
        <v>89</v>
      </c>
      <c r="O316" s="32" t="s">
        <v>402</v>
      </c>
      <c r="P316" s="38"/>
      <c r="Q316" s="57" t="s">
        <v>2835</v>
      </c>
      <c r="R316" s="58"/>
      <c r="S316" s="32" t="s">
        <v>220</v>
      </c>
      <c r="T316" s="45" t="s">
        <v>855</v>
      </c>
      <c r="U316" s="45" t="s">
        <v>2842</v>
      </c>
      <c r="V316" s="34" t="s">
        <v>80</v>
      </c>
      <c r="W316" s="32" t="s">
        <v>561</v>
      </c>
      <c r="X316" s="32" t="s">
        <v>561</v>
      </c>
      <c r="Y316" s="45" t="s">
        <v>859</v>
      </c>
      <c r="Z316" s="32" t="s">
        <v>112</v>
      </c>
      <c r="AA316" s="47"/>
      <c r="AB316" s="60" t="s">
        <v>860</v>
      </c>
      <c r="AC316" s="60"/>
      <c r="AD316" s="261"/>
      <c r="AE316" s="57"/>
      <c r="AF316" s="34" t="s">
        <v>80</v>
      </c>
      <c r="AG316" s="56" t="s">
        <v>865</v>
      </c>
      <c r="AH316" s="47"/>
      <c r="AI316" s="58"/>
      <c r="AJ316" s="58">
        <v>41779.0</v>
      </c>
      <c r="AK316" s="58">
        <v>41612.0</v>
      </c>
      <c r="AL316" s="56" t="s">
        <v>1033</v>
      </c>
    </row>
    <row r="317" ht="22.5" customHeight="1">
      <c r="A317" s="27" t="s">
        <v>2843</v>
      </c>
      <c r="B317" s="57" t="s">
        <v>2844</v>
      </c>
      <c r="C317" s="149" t="s">
        <v>2845</v>
      </c>
      <c r="D317" s="41" t="s">
        <v>75</v>
      </c>
      <c r="E317" s="60" t="s">
        <v>2846</v>
      </c>
      <c r="F317" s="41" t="s">
        <v>140</v>
      </c>
      <c r="G317" s="34" t="s">
        <v>85</v>
      </c>
      <c r="H317" s="48">
        <v>42612.0</v>
      </c>
      <c r="I317" s="155">
        <v>42599.0</v>
      </c>
      <c r="J317" s="155">
        <v>42612.0</v>
      </c>
      <c r="K317" s="32" t="s">
        <v>70</v>
      </c>
      <c r="L317" s="41" t="s">
        <v>115</v>
      </c>
      <c r="M317" s="32" t="s">
        <v>313</v>
      </c>
      <c r="N317" s="32" t="s">
        <v>89</v>
      </c>
      <c r="O317" s="32" t="s">
        <v>402</v>
      </c>
      <c r="P317" s="38"/>
      <c r="Q317" s="57" t="s">
        <v>2835</v>
      </c>
      <c r="R317" s="58"/>
      <c r="S317" s="32" t="s">
        <v>402</v>
      </c>
      <c r="T317" s="56" t="s">
        <v>2260</v>
      </c>
      <c r="U317" s="45" t="s">
        <v>2847</v>
      </c>
      <c r="V317" s="34" t="s">
        <v>80</v>
      </c>
      <c r="W317" s="149" t="s">
        <v>2261</v>
      </c>
      <c r="X317" s="198" t="s">
        <v>2515</v>
      </c>
      <c r="Y317" s="45" t="s">
        <v>2263</v>
      </c>
      <c r="Z317" s="32" t="s">
        <v>112</v>
      </c>
      <c r="AA317" s="32"/>
      <c r="AB317" s="32" t="s">
        <v>113</v>
      </c>
      <c r="AC317" s="60" t="s">
        <v>2848</v>
      </c>
      <c r="AD317" s="66">
        <v>42612.0</v>
      </c>
      <c r="AE317" s="57" t="s">
        <v>2849</v>
      </c>
      <c r="AF317" s="34" t="s">
        <v>80</v>
      </c>
      <c r="AG317" s="56" t="s">
        <v>2850</v>
      </c>
      <c r="AH317" s="63" t="s">
        <v>892</v>
      </c>
      <c r="AI317" s="41"/>
      <c r="AJ317" s="41"/>
      <c r="AK317" s="155">
        <v>41963.0</v>
      </c>
      <c r="AL317" s="56" t="s">
        <v>1033</v>
      </c>
    </row>
    <row r="318" ht="22.5" customHeight="1">
      <c r="A318" s="27" t="s">
        <v>2851</v>
      </c>
      <c r="B318" s="57" t="s">
        <v>987</v>
      </c>
      <c r="C318" s="32" t="s">
        <v>988</v>
      </c>
      <c r="D318" s="41" t="s">
        <v>75</v>
      </c>
      <c r="E318" s="63" t="s">
        <v>990</v>
      </c>
      <c r="F318" s="34" t="s">
        <v>93</v>
      </c>
      <c r="G318" s="34" t="s">
        <v>168</v>
      </c>
      <c r="H318" s="155">
        <v>42612.0</v>
      </c>
      <c r="I318" s="155">
        <v>42599.0</v>
      </c>
      <c r="J318" s="155">
        <v>42612.0</v>
      </c>
      <c r="K318" s="32" t="s">
        <v>70</v>
      </c>
      <c r="L318" s="34" t="s">
        <v>115</v>
      </c>
      <c r="M318" s="63" t="s">
        <v>218</v>
      </c>
      <c r="N318" s="32" t="s">
        <v>89</v>
      </c>
      <c r="O318" s="32" t="s">
        <v>402</v>
      </c>
      <c r="P318" s="38"/>
      <c r="Q318" s="57" t="s">
        <v>2835</v>
      </c>
      <c r="R318" s="58"/>
      <c r="S318" s="32" t="s">
        <v>116</v>
      </c>
      <c r="T318" s="203" t="s">
        <v>997</v>
      </c>
      <c r="U318" s="45" t="s">
        <v>2852</v>
      </c>
      <c r="V318" s="34" t="s">
        <v>80</v>
      </c>
      <c r="W318" s="63" t="s">
        <v>1001</v>
      </c>
      <c r="X318" s="63" t="s">
        <v>1002</v>
      </c>
      <c r="Y318" s="56" t="s">
        <v>1003</v>
      </c>
      <c r="Z318" s="32" t="s">
        <v>112</v>
      </c>
      <c r="AA318" s="47"/>
      <c r="AB318" s="32" t="s">
        <v>113</v>
      </c>
      <c r="AC318" s="60"/>
      <c r="AD318" s="261"/>
      <c r="AE318" s="57"/>
      <c r="AF318" s="54" t="s">
        <v>80</v>
      </c>
      <c r="AG318" s="56" t="s">
        <v>1005</v>
      </c>
      <c r="AH318" s="47"/>
      <c r="AI318" s="58"/>
      <c r="AJ318" s="41"/>
      <c r="AK318" s="83">
        <v>41736.0</v>
      </c>
      <c r="AL318" s="56" t="s">
        <v>1033</v>
      </c>
    </row>
    <row r="319" ht="22.5" customHeight="1">
      <c r="A319" s="27" t="s">
        <v>2853</v>
      </c>
      <c r="B319" s="32" t="s">
        <v>1251</v>
      </c>
      <c r="C319" s="32" t="s">
        <v>2854</v>
      </c>
      <c r="D319" s="34" t="s">
        <v>91</v>
      </c>
      <c r="E319" s="32" t="s">
        <v>2855</v>
      </c>
      <c r="F319" s="34" t="s">
        <v>140</v>
      </c>
      <c r="G319" s="34" t="s">
        <v>85</v>
      </c>
      <c r="H319" s="58">
        <v>42605.0</v>
      </c>
      <c r="I319" s="58">
        <v>42605.0</v>
      </c>
      <c r="J319" s="58">
        <v>42605.0</v>
      </c>
      <c r="K319" s="32" t="s">
        <v>70</v>
      </c>
      <c r="L319" s="34" t="s">
        <v>115</v>
      </c>
      <c r="M319" s="63" t="s">
        <v>218</v>
      </c>
      <c r="N319" s="32" t="s">
        <v>89</v>
      </c>
      <c r="O319" s="32" t="s">
        <v>142</v>
      </c>
      <c r="P319" s="32" t="s">
        <v>1050</v>
      </c>
      <c r="Q319" s="32" t="s">
        <v>2590</v>
      </c>
      <c r="R319" s="38"/>
      <c r="S319" s="32" t="s">
        <v>142</v>
      </c>
      <c r="T319" s="45" t="s">
        <v>2856</v>
      </c>
      <c r="U319" s="45" t="s">
        <v>2857</v>
      </c>
      <c r="V319" s="34" t="s">
        <v>80</v>
      </c>
      <c r="W319" s="32" t="s">
        <v>2858</v>
      </c>
      <c r="X319" s="32" t="s">
        <v>2859</v>
      </c>
      <c r="Y319" s="45" t="s">
        <v>2860</v>
      </c>
      <c r="Z319" s="32" t="s">
        <v>112</v>
      </c>
      <c r="AA319" s="38"/>
      <c r="AB319" s="32" t="s">
        <v>113</v>
      </c>
      <c r="AC319" s="60" t="s">
        <v>2861</v>
      </c>
      <c r="AD319" s="273">
        <v>42605.0</v>
      </c>
      <c r="AE319" s="38"/>
      <c r="AF319" s="34" t="s">
        <v>80</v>
      </c>
      <c r="AG319" s="56" t="s">
        <v>1269</v>
      </c>
      <c r="AH319" s="38"/>
      <c r="AI319" s="41"/>
      <c r="AJ319" s="41"/>
      <c r="AK319" s="58">
        <v>41789.0</v>
      </c>
      <c r="AL319" s="56" t="s">
        <v>262</v>
      </c>
    </row>
    <row r="320" ht="22.5" customHeight="1">
      <c r="A320" s="27" t="s">
        <v>2862</v>
      </c>
      <c r="B320" s="32" t="s">
        <v>987</v>
      </c>
      <c r="C320" s="32" t="s">
        <v>988</v>
      </c>
      <c r="D320" s="41" t="s">
        <v>75</v>
      </c>
      <c r="E320" s="63" t="s">
        <v>990</v>
      </c>
      <c r="F320" s="34" t="s">
        <v>93</v>
      </c>
      <c r="G320" s="34" t="s">
        <v>168</v>
      </c>
      <c r="H320" s="58">
        <v>42604.0</v>
      </c>
      <c r="I320" s="58">
        <v>42599.0</v>
      </c>
      <c r="J320" s="58">
        <v>42604.0</v>
      </c>
      <c r="K320" s="32" t="s">
        <v>70</v>
      </c>
      <c r="L320" s="34" t="s">
        <v>115</v>
      </c>
      <c r="M320" s="63" t="s">
        <v>218</v>
      </c>
      <c r="N320" s="32" t="s">
        <v>89</v>
      </c>
      <c r="O320" s="32" t="s">
        <v>196</v>
      </c>
      <c r="P320" s="32" t="s">
        <v>1837</v>
      </c>
      <c r="Q320" s="32" t="s">
        <v>2434</v>
      </c>
      <c r="R320" s="41"/>
      <c r="S320" s="32" t="s">
        <v>116</v>
      </c>
      <c r="T320" s="203" t="s">
        <v>997</v>
      </c>
      <c r="U320" s="45" t="s">
        <v>2863</v>
      </c>
      <c r="V320" s="34" t="s">
        <v>80</v>
      </c>
      <c r="W320" s="63" t="s">
        <v>1001</v>
      </c>
      <c r="X320" s="63" t="s">
        <v>1002</v>
      </c>
      <c r="Y320" s="56" t="s">
        <v>1003</v>
      </c>
      <c r="Z320" s="32" t="s">
        <v>112</v>
      </c>
      <c r="AA320" s="47"/>
      <c r="AB320" s="32" t="s">
        <v>113</v>
      </c>
      <c r="AC320" s="60"/>
      <c r="AD320" s="273"/>
      <c r="AE320" s="38"/>
      <c r="AF320" s="54" t="s">
        <v>80</v>
      </c>
      <c r="AG320" s="56" t="s">
        <v>1005</v>
      </c>
      <c r="AH320" s="47"/>
      <c r="AI320" s="58"/>
      <c r="AJ320" s="41"/>
      <c r="AK320" s="83">
        <v>41736.0</v>
      </c>
      <c r="AL320" s="56" t="s">
        <v>208</v>
      </c>
    </row>
    <row r="321" ht="22.5" customHeight="1">
      <c r="A321" s="27" t="s">
        <v>2864</v>
      </c>
      <c r="B321" s="32" t="s">
        <v>490</v>
      </c>
      <c r="C321" s="32" t="s">
        <v>494</v>
      </c>
      <c r="D321" s="39" t="s">
        <v>91</v>
      </c>
      <c r="E321" s="38" t="s">
        <v>496</v>
      </c>
      <c r="F321" s="34" t="s">
        <v>93</v>
      </c>
      <c r="G321" s="34" t="s">
        <v>168</v>
      </c>
      <c r="H321" s="58">
        <v>42612.0</v>
      </c>
      <c r="I321" s="58">
        <v>42612.0</v>
      </c>
      <c r="J321" s="58"/>
      <c r="K321" s="121" t="s">
        <v>70</v>
      </c>
      <c r="L321" s="34" t="s">
        <v>115</v>
      </c>
      <c r="M321" s="63" t="s">
        <v>218</v>
      </c>
      <c r="N321" s="32" t="s">
        <v>89</v>
      </c>
      <c r="O321" s="32" t="s">
        <v>175</v>
      </c>
      <c r="P321" s="32"/>
      <c r="Q321" s="32" t="s">
        <v>2865</v>
      </c>
      <c r="R321" s="41"/>
      <c r="S321" s="32" t="s">
        <v>116</v>
      </c>
      <c r="T321" s="226" t="s">
        <v>505</v>
      </c>
      <c r="U321" s="45" t="s">
        <v>2866</v>
      </c>
      <c r="V321" s="34" t="s">
        <v>80</v>
      </c>
      <c r="W321" s="123" t="s">
        <v>508</v>
      </c>
      <c r="X321" s="32" t="s">
        <v>511</v>
      </c>
      <c r="Y321" s="226" t="s">
        <v>512</v>
      </c>
      <c r="Z321" s="32" t="s">
        <v>112</v>
      </c>
      <c r="AA321" s="47"/>
      <c r="AB321" s="149" t="s">
        <v>481</v>
      </c>
      <c r="AC321" s="60"/>
      <c r="AD321" s="273"/>
      <c r="AE321" s="38"/>
      <c r="AF321" s="54" t="s">
        <v>80</v>
      </c>
      <c r="AG321" s="56" t="s">
        <v>515</v>
      </c>
      <c r="AH321" s="47"/>
      <c r="AI321" s="58"/>
      <c r="AJ321" s="41"/>
      <c r="AK321" s="132">
        <v>41074.0</v>
      </c>
      <c r="AL321" s="56" t="s">
        <v>188</v>
      </c>
    </row>
    <row r="322" ht="22.5" customHeight="1">
      <c r="A322" s="27" t="s">
        <v>2867</v>
      </c>
      <c r="B322" s="57" t="s">
        <v>1707</v>
      </c>
      <c r="C322" s="32" t="s">
        <v>1708</v>
      </c>
      <c r="D322" s="177" t="s">
        <v>584</v>
      </c>
      <c r="E322" s="103" t="s">
        <v>1709</v>
      </c>
      <c r="F322" s="34" t="s">
        <v>93</v>
      </c>
      <c r="G322" s="34" t="s">
        <v>168</v>
      </c>
      <c r="H322" s="58">
        <v>42614.0</v>
      </c>
      <c r="I322" s="58">
        <v>42614.0</v>
      </c>
      <c r="J322" s="58"/>
      <c r="K322" s="32" t="s">
        <v>70</v>
      </c>
      <c r="L322" s="34" t="s">
        <v>115</v>
      </c>
      <c r="M322" s="63" t="s">
        <v>218</v>
      </c>
      <c r="N322" s="38" t="s">
        <v>89</v>
      </c>
      <c r="O322" s="32" t="s">
        <v>969</v>
      </c>
      <c r="P322" s="32" t="s">
        <v>1635</v>
      </c>
      <c r="Q322" s="32" t="s">
        <v>956</v>
      </c>
      <c r="R322" s="41"/>
      <c r="S322" s="32" t="s">
        <v>116</v>
      </c>
      <c r="T322" s="203" t="s">
        <v>1712</v>
      </c>
      <c r="U322" s="45" t="s">
        <v>2868</v>
      </c>
      <c r="V322" s="34" t="s">
        <v>80</v>
      </c>
      <c r="W322" s="60" t="s">
        <v>1714</v>
      </c>
      <c r="X322" s="60" t="s">
        <v>1715</v>
      </c>
      <c r="Y322" s="109" t="s">
        <v>1716</v>
      </c>
      <c r="Z322" s="32" t="s">
        <v>112</v>
      </c>
      <c r="AA322" s="32"/>
      <c r="AB322" s="123" t="s">
        <v>113</v>
      </c>
      <c r="AC322" s="60"/>
      <c r="AD322" s="273"/>
      <c r="AE322" s="38"/>
      <c r="AF322" s="34" t="s">
        <v>80</v>
      </c>
      <c r="AG322" s="56" t="s">
        <v>1720</v>
      </c>
      <c r="AH322" s="41"/>
      <c r="AI322" s="41"/>
      <c r="AJ322" s="41"/>
      <c r="AK322" s="58">
        <v>41674.0</v>
      </c>
      <c r="AL322" s="56" t="s">
        <v>1043</v>
      </c>
    </row>
    <row r="323" ht="22.5" customHeight="1">
      <c r="A323" s="27" t="s">
        <v>2869</v>
      </c>
      <c r="B323" s="63" t="s">
        <v>411</v>
      </c>
      <c r="C323" s="32" t="s">
        <v>413</v>
      </c>
      <c r="D323" s="39" t="s">
        <v>91</v>
      </c>
      <c r="E323" s="38" t="s">
        <v>416</v>
      </c>
      <c r="F323" s="41" t="s">
        <v>93</v>
      </c>
      <c r="G323" s="34" t="s">
        <v>168</v>
      </c>
      <c r="H323" s="58">
        <v>42587.0</v>
      </c>
      <c r="I323" s="58">
        <v>42587.0</v>
      </c>
      <c r="J323" s="58">
        <v>42587.0</v>
      </c>
      <c r="K323" s="32" t="s">
        <v>86</v>
      </c>
      <c r="L323" s="34" t="s">
        <v>115</v>
      </c>
      <c r="M323" s="32" t="s">
        <v>313</v>
      </c>
      <c r="N323" s="32" t="s">
        <v>89</v>
      </c>
      <c r="O323" s="32" t="s">
        <v>994</v>
      </c>
      <c r="P323" s="32" t="s">
        <v>2870</v>
      </c>
      <c r="Q323" s="32" t="s">
        <v>1611</v>
      </c>
      <c r="R323" s="58">
        <v>42967.0</v>
      </c>
      <c r="S323" s="32" t="s">
        <v>116</v>
      </c>
      <c r="T323" s="45" t="s">
        <v>436</v>
      </c>
      <c r="U323" s="45" t="s">
        <v>2871</v>
      </c>
      <c r="V323" s="34" t="s">
        <v>80</v>
      </c>
      <c r="W323" s="60" t="s">
        <v>444</v>
      </c>
      <c r="X323" s="32" t="s">
        <v>445</v>
      </c>
      <c r="Y323" s="109" t="s">
        <v>446</v>
      </c>
      <c r="Z323" s="32" t="s">
        <v>112</v>
      </c>
      <c r="AA323" s="32"/>
      <c r="AB323" s="32" t="s">
        <v>113</v>
      </c>
      <c r="AC323" s="60"/>
      <c r="AD323" s="273"/>
      <c r="AE323" s="38"/>
      <c r="AF323" s="34" t="s">
        <v>80</v>
      </c>
      <c r="AG323" s="56" t="s">
        <v>454</v>
      </c>
      <c r="AH323" s="41"/>
      <c r="AI323" s="41"/>
      <c r="AJ323" s="41"/>
      <c r="AK323" s="58">
        <v>42212.0</v>
      </c>
      <c r="AL323" s="56" t="s">
        <v>1006</v>
      </c>
    </row>
    <row r="324" ht="22.5" customHeight="1">
      <c r="A324" s="27" t="s">
        <v>2872</v>
      </c>
      <c r="B324" s="32" t="s">
        <v>190</v>
      </c>
      <c r="C324" s="57" t="s">
        <v>191</v>
      </c>
      <c r="D324" s="34" t="s">
        <v>752</v>
      </c>
      <c r="E324" s="32" t="s">
        <v>193</v>
      </c>
      <c r="F324" s="54" t="s">
        <v>93</v>
      </c>
      <c r="G324" s="34" t="s">
        <v>168</v>
      </c>
      <c r="H324" s="58">
        <v>42587.0</v>
      </c>
      <c r="I324" s="58">
        <v>42587.0</v>
      </c>
      <c r="J324" s="58">
        <v>42587.0</v>
      </c>
      <c r="K324" s="32" t="s">
        <v>86</v>
      </c>
      <c r="L324" s="34" t="s">
        <v>115</v>
      </c>
      <c r="M324" s="63" t="s">
        <v>88</v>
      </c>
      <c r="N324" s="32" t="s">
        <v>89</v>
      </c>
      <c r="O324" s="32" t="s">
        <v>994</v>
      </c>
      <c r="P324" s="32" t="s">
        <v>2870</v>
      </c>
      <c r="Q324" s="32" t="s">
        <v>1611</v>
      </c>
      <c r="R324" s="58">
        <v>42967.0</v>
      </c>
      <c r="S324" s="57" t="s">
        <v>116</v>
      </c>
      <c r="T324" s="56" t="s">
        <v>198</v>
      </c>
      <c r="U324" s="45" t="s">
        <v>2873</v>
      </c>
      <c r="V324" s="34" t="s">
        <v>80</v>
      </c>
      <c r="W324" s="32" t="s">
        <v>201</v>
      </c>
      <c r="X324" s="32" t="s">
        <v>202</v>
      </c>
      <c r="Y324" s="45" t="s">
        <v>203</v>
      </c>
      <c r="Z324" s="32" t="s">
        <v>112</v>
      </c>
      <c r="AA324" s="32"/>
      <c r="AB324" s="32" t="s">
        <v>113</v>
      </c>
      <c r="AC324" s="60"/>
      <c r="AD324" s="273"/>
      <c r="AE324" s="38"/>
      <c r="AF324" s="34" t="s">
        <v>80</v>
      </c>
      <c r="AG324" s="56" t="s">
        <v>206</v>
      </c>
      <c r="AH324" s="47"/>
      <c r="AI324" s="58"/>
      <c r="AJ324" s="41"/>
      <c r="AK324" s="58">
        <v>41215.0</v>
      </c>
      <c r="AL324" s="56" t="s">
        <v>1006</v>
      </c>
    </row>
    <row r="325" ht="22.5" customHeight="1">
      <c r="A325" s="27" t="s">
        <v>2874</v>
      </c>
      <c r="B325" s="32" t="s">
        <v>1321</v>
      </c>
      <c r="C325" s="32" t="s">
        <v>1322</v>
      </c>
      <c r="D325" s="34" t="s">
        <v>845</v>
      </c>
      <c r="E325" s="38" t="s">
        <v>1323</v>
      </c>
      <c r="F325" s="34" t="s">
        <v>140</v>
      </c>
      <c r="G325" s="34" t="s">
        <v>168</v>
      </c>
      <c r="H325" s="58">
        <v>42622.0</v>
      </c>
      <c r="I325" s="58">
        <v>42619.0</v>
      </c>
      <c r="J325" s="58">
        <v>42622.0</v>
      </c>
      <c r="K325" s="32" t="s">
        <v>86</v>
      </c>
      <c r="L325" s="34" t="s">
        <v>115</v>
      </c>
      <c r="M325" s="42" t="s">
        <v>88</v>
      </c>
      <c r="N325" s="32" t="s">
        <v>89</v>
      </c>
      <c r="O325" s="32" t="s">
        <v>969</v>
      </c>
      <c r="P325" s="32" t="s">
        <v>2286</v>
      </c>
      <c r="Q325" s="32" t="s">
        <v>2875</v>
      </c>
      <c r="R325" s="58">
        <v>42987.0</v>
      </c>
      <c r="S325" s="32" t="s">
        <v>196</v>
      </c>
      <c r="T325" s="45" t="s">
        <v>1324</v>
      </c>
      <c r="U325" s="45" t="s">
        <v>2876</v>
      </c>
      <c r="V325" s="34" t="s">
        <v>80</v>
      </c>
      <c r="W325" s="32" t="s">
        <v>561</v>
      </c>
      <c r="X325" s="32" t="s">
        <v>1326</v>
      </c>
      <c r="Y325" s="109" t="s">
        <v>1327</v>
      </c>
      <c r="Z325" s="32" t="s">
        <v>112</v>
      </c>
      <c r="AA325" s="32"/>
      <c r="AB325" s="32" t="s">
        <v>113</v>
      </c>
      <c r="AC325" s="60"/>
      <c r="AD325" s="273"/>
      <c r="AE325" s="38"/>
      <c r="AF325" s="34" t="s">
        <v>74</v>
      </c>
      <c r="AG325" s="56" t="s">
        <v>1329</v>
      </c>
      <c r="AH325" s="47"/>
      <c r="AI325" s="58"/>
      <c r="AJ325" s="41"/>
      <c r="AK325" s="58">
        <v>41619.0</v>
      </c>
      <c r="AL325" s="56" t="s">
        <v>1043</v>
      </c>
    </row>
    <row r="326" ht="22.5" customHeight="1">
      <c r="A326" s="27" t="s">
        <v>2877</v>
      </c>
      <c r="B326" s="32" t="s">
        <v>901</v>
      </c>
      <c r="C326" s="32" t="s">
        <v>1995</v>
      </c>
      <c r="D326" s="41" t="s">
        <v>75</v>
      </c>
      <c r="E326" s="38" t="s">
        <v>1996</v>
      </c>
      <c r="F326" s="34" t="s">
        <v>93</v>
      </c>
      <c r="G326" s="34" t="s">
        <v>168</v>
      </c>
      <c r="H326" s="58">
        <v>42622.0</v>
      </c>
      <c r="I326" s="58">
        <v>42622.0</v>
      </c>
      <c r="J326" s="58">
        <v>42622.0</v>
      </c>
      <c r="K326" s="32" t="s">
        <v>70</v>
      </c>
      <c r="L326" s="41" t="s">
        <v>115</v>
      </c>
      <c r="M326" s="63" t="s">
        <v>218</v>
      </c>
      <c r="N326" s="38" t="s">
        <v>89</v>
      </c>
      <c r="O326" s="32" t="s">
        <v>1520</v>
      </c>
      <c r="P326" s="32"/>
      <c r="Q326" s="32" t="s">
        <v>2149</v>
      </c>
      <c r="R326" s="58"/>
      <c r="S326" s="32" t="s">
        <v>116</v>
      </c>
      <c r="T326" s="45" t="s">
        <v>1318</v>
      </c>
      <c r="U326" s="45" t="s">
        <v>2878</v>
      </c>
      <c r="V326" s="34" t="s">
        <v>80</v>
      </c>
      <c r="W326" s="60" t="s">
        <v>904</v>
      </c>
      <c r="X326" s="60" t="s">
        <v>905</v>
      </c>
      <c r="Y326" s="109" t="s">
        <v>1999</v>
      </c>
      <c r="Z326" s="32" t="s">
        <v>112</v>
      </c>
      <c r="AA326" s="68"/>
      <c r="AB326" s="123" t="s">
        <v>113</v>
      </c>
      <c r="AC326" s="60"/>
      <c r="AD326" s="273"/>
      <c r="AE326" s="38"/>
      <c r="AF326" s="34" t="s">
        <v>80</v>
      </c>
      <c r="AG326" s="56" t="s">
        <v>911</v>
      </c>
      <c r="AH326" s="41"/>
      <c r="AI326" s="41"/>
      <c r="AJ326" s="41"/>
      <c r="AK326" s="58">
        <v>41530.0</v>
      </c>
      <c r="AL326" s="56" t="s">
        <v>1530</v>
      </c>
    </row>
    <row r="327" ht="22.5" customHeight="1">
      <c r="A327" s="27" t="s">
        <v>2879</v>
      </c>
      <c r="B327" s="32" t="s">
        <v>190</v>
      </c>
      <c r="C327" s="32" t="s">
        <v>211</v>
      </c>
      <c r="D327" s="34" t="s">
        <v>91</v>
      </c>
      <c r="E327" s="38" t="s">
        <v>214</v>
      </c>
      <c r="F327" s="34" t="s">
        <v>140</v>
      </c>
      <c r="G327" s="34" t="s">
        <v>168</v>
      </c>
      <c r="H327" s="58">
        <v>42446.0</v>
      </c>
      <c r="I327" s="58">
        <v>42446.0</v>
      </c>
      <c r="J327" s="58"/>
      <c r="K327" s="32" t="s">
        <v>86</v>
      </c>
      <c r="L327" s="41" t="s">
        <v>115</v>
      </c>
      <c r="M327" s="63" t="s">
        <v>218</v>
      </c>
      <c r="N327" s="38" t="s">
        <v>89</v>
      </c>
      <c r="O327" s="32" t="s">
        <v>954</v>
      </c>
      <c r="P327" s="32" t="s">
        <v>1987</v>
      </c>
      <c r="Q327" s="32" t="s">
        <v>2880</v>
      </c>
      <c r="R327" s="58">
        <v>42826.0</v>
      </c>
      <c r="S327" s="32" t="s">
        <v>196</v>
      </c>
      <c r="T327" s="56" t="s">
        <v>198</v>
      </c>
      <c r="U327" s="45" t="s">
        <v>2881</v>
      </c>
      <c r="V327" s="34" t="s">
        <v>80</v>
      </c>
      <c r="W327" s="32" t="s">
        <v>201</v>
      </c>
      <c r="X327" s="32" t="s">
        <v>202</v>
      </c>
      <c r="Y327" s="45" t="s">
        <v>203</v>
      </c>
      <c r="Z327" s="32" t="s">
        <v>112</v>
      </c>
      <c r="AA327" s="68"/>
      <c r="AB327" s="32" t="s">
        <v>113</v>
      </c>
      <c r="AC327" s="60"/>
      <c r="AD327" s="273"/>
      <c r="AE327" s="32" t="s">
        <v>2882</v>
      </c>
      <c r="AF327" s="34" t="s">
        <v>80</v>
      </c>
      <c r="AG327" s="56" t="s">
        <v>206</v>
      </c>
      <c r="AH327" s="47"/>
      <c r="AI327" s="58"/>
      <c r="AJ327" s="41"/>
      <c r="AK327" s="58">
        <v>41224.0</v>
      </c>
      <c r="AL327" s="56" t="s">
        <v>965</v>
      </c>
    </row>
    <row r="328" ht="22.5" customHeight="1">
      <c r="A328" s="27" t="s">
        <v>2883</v>
      </c>
      <c r="B328" s="32" t="s">
        <v>190</v>
      </c>
      <c r="C328" s="149" t="s">
        <v>191</v>
      </c>
      <c r="D328" s="34" t="s">
        <v>752</v>
      </c>
      <c r="E328" s="38" t="s">
        <v>193</v>
      </c>
      <c r="F328" s="54" t="s">
        <v>93</v>
      </c>
      <c r="G328" s="34" t="s">
        <v>168</v>
      </c>
      <c r="H328" s="58">
        <v>42446.0</v>
      </c>
      <c r="I328" s="58">
        <v>42446.0</v>
      </c>
      <c r="J328" s="58"/>
      <c r="K328" s="32" t="s">
        <v>86</v>
      </c>
      <c r="L328" s="41" t="s">
        <v>115</v>
      </c>
      <c r="M328" s="63" t="s">
        <v>88</v>
      </c>
      <c r="N328" s="38" t="s">
        <v>89</v>
      </c>
      <c r="O328" s="32" t="s">
        <v>954</v>
      </c>
      <c r="P328" s="32" t="s">
        <v>1987</v>
      </c>
      <c r="Q328" s="32" t="s">
        <v>2880</v>
      </c>
      <c r="R328" s="58">
        <v>42826.0</v>
      </c>
      <c r="S328" s="57" t="s">
        <v>116</v>
      </c>
      <c r="T328" s="56" t="s">
        <v>198</v>
      </c>
      <c r="U328" s="45" t="s">
        <v>2884</v>
      </c>
      <c r="V328" s="34" t="s">
        <v>80</v>
      </c>
      <c r="W328" s="32" t="s">
        <v>201</v>
      </c>
      <c r="X328" s="32" t="s">
        <v>202</v>
      </c>
      <c r="Y328" s="45" t="s">
        <v>203</v>
      </c>
      <c r="Z328" s="32" t="s">
        <v>112</v>
      </c>
      <c r="AA328" s="68"/>
      <c r="AB328" s="32" t="s">
        <v>113</v>
      </c>
      <c r="AC328" s="60"/>
      <c r="AD328" s="273"/>
      <c r="AE328" s="32" t="s">
        <v>2882</v>
      </c>
      <c r="AF328" s="34" t="s">
        <v>80</v>
      </c>
      <c r="AG328" s="56" t="s">
        <v>206</v>
      </c>
      <c r="AH328" s="47"/>
      <c r="AI328" s="58"/>
      <c r="AJ328" s="41"/>
      <c r="AK328" s="58">
        <v>41215.0</v>
      </c>
      <c r="AL328" s="56" t="s">
        <v>965</v>
      </c>
    </row>
    <row r="329" ht="22.5" customHeight="1">
      <c r="A329" s="27" t="s">
        <v>2885</v>
      </c>
      <c r="B329" s="32" t="s">
        <v>355</v>
      </c>
      <c r="C329" s="32" t="s">
        <v>1345</v>
      </c>
      <c r="D329" s="34" t="s">
        <v>75</v>
      </c>
      <c r="E329" s="38" t="s">
        <v>1346</v>
      </c>
      <c r="F329" s="34" t="s">
        <v>140</v>
      </c>
      <c r="G329" s="34" t="s">
        <v>168</v>
      </c>
      <c r="H329" s="58">
        <v>42446.0</v>
      </c>
      <c r="I329" s="58">
        <v>42446.0</v>
      </c>
      <c r="J329" s="58"/>
      <c r="K329" s="32" t="s">
        <v>86</v>
      </c>
      <c r="L329" s="41" t="s">
        <v>115</v>
      </c>
      <c r="M329" s="42" t="s">
        <v>313</v>
      </c>
      <c r="N329" s="38" t="s">
        <v>89</v>
      </c>
      <c r="O329" s="32" t="s">
        <v>954</v>
      </c>
      <c r="P329" s="32" t="s">
        <v>1987</v>
      </c>
      <c r="Q329" s="32" t="s">
        <v>2880</v>
      </c>
      <c r="R329" s="58">
        <v>42826.0</v>
      </c>
      <c r="S329" s="32" t="s">
        <v>402</v>
      </c>
      <c r="T329" s="56" t="s">
        <v>1349</v>
      </c>
      <c r="U329" s="45" t="s">
        <v>2886</v>
      </c>
      <c r="V329" s="34" t="s">
        <v>80</v>
      </c>
      <c r="W329" s="32" t="s">
        <v>1351</v>
      </c>
      <c r="X329" s="149" t="s">
        <v>1352</v>
      </c>
      <c r="Y329" s="152" t="s">
        <v>1353</v>
      </c>
      <c r="Z329" s="32" t="s">
        <v>112</v>
      </c>
      <c r="AA329" s="68"/>
      <c r="AB329" s="32" t="s">
        <v>113</v>
      </c>
      <c r="AC329" s="68"/>
      <c r="AD329" s="273"/>
      <c r="AE329" s="32" t="s">
        <v>2882</v>
      </c>
      <c r="AF329" s="34" t="s">
        <v>80</v>
      </c>
      <c r="AG329" s="56" t="s">
        <v>1355</v>
      </c>
      <c r="AH329" s="41"/>
      <c r="AI329" s="41"/>
      <c r="AJ329" s="41"/>
      <c r="AK329" s="58">
        <v>41770.0</v>
      </c>
      <c r="AL329" s="56" t="s">
        <v>965</v>
      </c>
    </row>
    <row r="330" ht="22.5" customHeight="1">
      <c r="A330" s="27" t="s">
        <v>2887</v>
      </c>
      <c r="B330" s="32" t="s">
        <v>1251</v>
      </c>
      <c r="C330" s="149" t="s">
        <v>1832</v>
      </c>
      <c r="D330" s="41" t="s">
        <v>75</v>
      </c>
      <c r="E330" s="103" t="s">
        <v>1833</v>
      </c>
      <c r="F330" s="34" t="s">
        <v>93</v>
      </c>
      <c r="G330" s="34" t="s">
        <v>168</v>
      </c>
      <c r="H330" s="58">
        <v>42446.0</v>
      </c>
      <c r="I330" s="58">
        <v>42446.0</v>
      </c>
      <c r="J330" s="58"/>
      <c r="K330" s="32" t="s">
        <v>86</v>
      </c>
      <c r="L330" s="41" t="s">
        <v>115</v>
      </c>
      <c r="M330" s="103" t="s">
        <v>88</v>
      </c>
      <c r="N330" s="38" t="s">
        <v>89</v>
      </c>
      <c r="O330" s="32" t="s">
        <v>954</v>
      </c>
      <c r="P330" s="32" t="s">
        <v>1987</v>
      </c>
      <c r="Q330" s="32" t="s">
        <v>2880</v>
      </c>
      <c r="R330" s="58">
        <v>42826.0</v>
      </c>
      <c r="S330" s="32" t="s">
        <v>116</v>
      </c>
      <c r="T330" s="45" t="s">
        <v>1835</v>
      </c>
      <c r="U330" s="45" t="s">
        <v>2888</v>
      </c>
      <c r="V330" s="34" t="s">
        <v>80</v>
      </c>
      <c r="W330" s="60" t="s">
        <v>1838</v>
      </c>
      <c r="X330" s="60" t="s">
        <v>1839</v>
      </c>
      <c r="Y330" s="109" t="s">
        <v>1841</v>
      </c>
      <c r="Z330" s="32" t="s">
        <v>112</v>
      </c>
      <c r="AA330" s="68"/>
      <c r="AB330" s="123" t="s">
        <v>113</v>
      </c>
      <c r="AC330" s="60"/>
      <c r="AD330" s="273"/>
      <c r="AE330" s="32" t="s">
        <v>2882</v>
      </c>
      <c r="AF330" s="34" t="s">
        <v>80</v>
      </c>
      <c r="AG330" s="56" t="s">
        <v>1845</v>
      </c>
      <c r="AH330" s="53"/>
      <c r="AI330" s="77"/>
      <c r="AJ330" s="41"/>
      <c r="AK330" s="58">
        <v>41340.0</v>
      </c>
      <c r="AL330" s="56" t="s">
        <v>965</v>
      </c>
    </row>
    <row r="331" ht="22.5" customHeight="1">
      <c r="A331" s="27" t="s">
        <v>2889</v>
      </c>
      <c r="B331" s="32" t="s">
        <v>888</v>
      </c>
      <c r="C331" s="32" t="s">
        <v>889</v>
      </c>
      <c r="D331" s="34" t="s">
        <v>752</v>
      </c>
      <c r="E331" s="38" t="s">
        <v>892</v>
      </c>
      <c r="F331" s="34" t="s">
        <v>93</v>
      </c>
      <c r="G331" s="34" t="s">
        <v>168</v>
      </c>
      <c r="H331" s="58">
        <v>42446.0</v>
      </c>
      <c r="I331" s="58">
        <v>42446.0</v>
      </c>
      <c r="J331" s="58"/>
      <c r="K331" s="32" t="s">
        <v>86</v>
      </c>
      <c r="L331" s="41" t="s">
        <v>115</v>
      </c>
      <c r="M331" s="42" t="s">
        <v>88</v>
      </c>
      <c r="N331" s="38" t="s">
        <v>89</v>
      </c>
      <c r="O331" s="32" t="s">
        <v>954</v>
      </c>
      <c r="P331" s="32" t="s">
        <v>1987</v>
      </c>
      <c r="Q331" s="32" t="s">
        <v>2880</v>
      </c>
      <c r="R331" s="58">
        <v>42826.0</v>
      </c>
      <c r="S331" s="32" t="s">
        <v>116</v>
      </c>
      <c r="T331" s="56" t="s">
        <v>1950</v>
      </c>
      <c r="U331" s="45" t="s">
        <v>2890</v>
      </c>
      <c r="V331" s="34" t="s">
        <v>80</v>
      </c>
      <c r="W331" s="60" t="s">
        <v>1934</v>
      </c>
      <c r="X331" s="109" t="s">
        <v>1935</v>
      </c>
      <c r="Y331" s="109" t="s">
        <v>899</v>
      </c>
      <c r="Z331" s="32" t="s">
        <v>112</v>
      </c>
      <c r="AA331" s="68"/>
      <c r="AB331" s="149" t="s">
        <v>481</v>
      </c>
      <c r="AC331" s="60"/>
      <c r="AD331" s="273"/>
      <c r="AE331" s="32" t="s">
        <v>2882</v>
      </c>
      <c r="AF331" s="34" t="s">
        <v>80</v>
      </c>
      <c r="AG331" s="56" t="s">
        <v>900</v>
      </c>
      <c r="AH331" s="47"/>
      <c r="AI331" s="58"/>
      <c r="AJ331" s="41"/>
      <c r="AK331" s="155">
        <v>41352.0</v>
      </c>
      <c r="AL331" s="56" t="s">
        <v>965</v>
      </c>
    </row>
    <row r="332" ht="22.5" customHeight="1">
      <c r="A332" s="27" t="s">
        <v>2891</v>
      </c>
      <c r="B332" s="32" t="s">
        <v>901</v>
      </c>
      <c r="C332" s="32" t="s">
        <v>967</v>
      </c>
      <c r="D332" s="34" t="s">
        <v>584</v>
      </c>
      <c r="E332" s="103" t="s">
        <v>968</v>
      </c>
      <c r="F332" s="34" t="s">
        <v>93</v>
      </c>
      <c r="G332" s="34" t="s">
        <v>168</v>
      </c>
      <c r="H332" s="58">
        <v>42354.0</v>
      </c>
      <c r="I332" s="58">
        <v>42354.0</v>
      </c>
      <c r="J332" s="58"/>
      <c r="K332" s="32" t="s">
        <v>70</v>
      </c>
      <c r="L332" s="41" t="s">
        <v>115</v>
      </c>
      <c r="M332" s="42" t="s">
        <v>313</v>
      </c>
      <c r="N332" s="38" t="s">
        <v>89</v>
      </c>
      <c r="O332" s="32" t="s">
        <v>196</v>
      </c>
      <c r="P332" s="32"/>
      <c r="Q332" s="32" t="s">
        <v>1396</v>
      </c>
      <c r="R332" s="58">
        <v>43450.0</v>
      </c>
      <c r="S332" s="32" t="s">
        <v>116</v>
      </c>
      <c r="T332" s="45" t="s">
        <v>974</v>
      </c>
      <c r="U332" s="45" t="s">
        <v>2892</v>
      </c>
      <c r="V332" s="34" t="s">
        <v>80</v>
      </c>
      <c r="W332" s="60" t="s">
        <v>976</v>
      </c>
      <c r="X332" s="60" t="s">
        <v>977</v>
      </c>
      <c r="Y332" s="109" t="s">
        <v>906</v>
      </c>
      <c r="Z332" s="32" t="s">
        <v>112</v>
      </c>
      <c r="AA332" s="68"/>
      <c r="AB332" s="123" t="s">
        <v>113</v>
      </c>
      <c r="AC332" s="60"/>
      <c r="AD332" s="273"/>
      <c r="AE332" s="32"/>
      <c r="AF332" s="34" t="s">
        <v>80</v>
      </c>
      <c r="AG332" s="56" t="s">
        <v>911</v>
      </c>
      <c r="AH332" s="47"/>
      <c r="AI332" s="58"/>
      <c r="AJ332" s="41"/>
      <c r="AK332" s="58">
        <v>41368.0</v>
      </c>
      <c r="AL332" s="56" t="s">
        <v>208</v>
      </c>
    </row>
    <row r="333" ht="22.5" customHeight="1">
      <c r="A333" s="27" t="s">
        <v>2893</v>
      </c>
      <c r="B333" s="32" t="s">
        <v>190</v>
      </c>
      <c r="C333" s="149" t="s">
        <v>211</v>
      </c>
      <c r="D333" s="34" t="s">
        <v>752</v>
      </c>
      <c r="E333" s="32" t="s">
        <v>947</v>
      </c>
      <c r="F333" s="34" t="s">
        <v>93</v>
      </c>
      <c r="G333" s="34" t="s">
        <v>168</v>
      </c>
      <c r="H333" s="58">
        <v>42629.0</v>
      </c>
      <c r="I333" s="58">
        <v>42629.0</v>
      </c>
      <c r="J333" s="58"/>
      <c r="K333" s="32" t="s">
        <v>70</v>
      </c>
      <c r="L333" s="41" t="s">
        <v>115</v>
      </c>
      <c r="M333" s="63" t="s">
        <v>218</v>
      </c>
      <c r="N333" s="32" t="s">
        <v>434</v>
      </c>
      <c r="O333" s="32" t="s">
        <v>994</v>
      </c>
      <c r="P333" s="32" t="s">
        <v>2280</v>
      </c>
      <c r="Q333" s="32" t="s">
        <v>2281</v>
      </c>
      <c r="R333" s="58"/>
      <c r="S333" s="32" t="s">
        <v>116</v>
      </c>
      <c r="T333" s="56" t="s">
        <v>198</v>
      </c>
      <c r="U333" s="45" t="s">
        <v>2894</v>
      </c>
      <c r="V333" s="34" t="s">
        <v>80</v>
      </c>
      <c r="W333" s="32" t="s">
        <v>201</v>
      </c>
      <c r="X333" s="32" t="s">
        <v>202</v>
      </c>
      <c r="Y333" s="45" t="s">
        <v>203</v>
      </c>
      <c r="Z333" s="32" t="s">
        <v>112</v>
      </c>
      <c r="AA333" s="68"/>
      <c r="AB333" s="32" t="s">
        <v>113</v>
      </c>
      <c r="AC333" s="60"/>
      <c r="AD333" s="273"/>
      <c r="AE333" s="32"/>
      <c r="AF333" s="34" t="s">
        <v>80</v>
      </c>
      <c r="AG333" s="56" t="s">
        <v>206</v>
      </c>
      <c r="AH333" s="47"/>
      <c r="AI333" s="58"/>
      <c r="AJ333" s="41"/>
      <c r="AK333" s="58">
        <v>42212.0</v>
      </c>
      <c r="AL333" s="56" t="s">
        <v>1006</v>
      </c>
    </row>
    <row r="334" ht="22.5" customHeight="1">
      <c r="A334" s="27" t="s">
        <v>2895</v>
      </c>
      <c r="B334" s="60" t="s">
        <v>490</v>
      </c>
      <c r="C334" s="60" t="s">
        <v>494</v>
      </c>
      <c r="D334" s="39" t="s">
        <v>91</v>
      </c>
      <c r="E334" s="38" t="s">
        <v>496</v>
      </c>
      <c r="F334" s="41" t="s">
        <v>93</v>
      </c>
      <c r="G334" s="34" t="s">
        <v>168</v>
      </c>
      <c r="H334" s="58">
        <v>42626.0</v>
      </c>
      <c r="I334" s="58"/>
      <c r="J334" s="58">
        <v>42626.0</v>
      </c>
      <c r="K334" s="32" t="s">
        <v>70</v>
      </c>
      <c r="L334" s="34" t="s">
        <v>115</v>
      </c>
      <c r="M334" s="63" t="s">
        <v>218</v>
      </c>
      <c r="N334" s="32" t="s">
        <v>89</v>
      </c>
      <c r="O334" s="32" t="s">
        <v>175</v>
      </c>
      <c r="P334" s="32" t="s">
        <v>686</v>
      </c>
      <c r="Q334" s="32" t="s">
        <v>1218</v>
      </c>
      <c r="R334" s="58">
        <v>43721.0</v>
      </c>
      <c r="S334" s="32" t="s">
        <v>116</v>
      </c>
      <c r="T334" s="45" t="s">
        <v>505</v>
      </c>
      <c r="U334" s="45" t="s">
        <v>2896</v>
      </c>
      <c r="V334" s="34" t="s">
        <v>80</v>
      </c>
      <c r="W334" s="60" t="s">
        <v>508</v>
      </c>
      <c r="X334" s="32" t="s">
        <v>511</v>
      </c>
      <c r="Y334" s="45" t="s">
        <v>512</v>
      </c>
      <c r="Z334" s="32" t="s">
        <v>112</v>
      </c>
      <c r="AA334" s="38"/>
      <c r="AB334" s="60" t="s">
        <v>481</v>
      </c>
      <c r="AC334" s="60"/>
      <c r="AD334" s="273"/>
      <c r="AE334" s="32"/>
      <c r="AF334" s="34" t="s">
        <v>80</v>
      </c>
      <c r="AG334" s="56" t="s">
        <v>515</v>
      </c>
      <c r="AH334" s="41"/>
      <c r="AI334" s="41"/>
      <c r="AJ334" s="41"/>
      <c r="AK334" s="132">
        <v>41074.0</v>
      </c>
      <c r="AL334" s="56" t="s">
        <v>188</v>
      </c>
    </row>
    <row r="335" ht="22.5" customHeight="1">
      <c r="A335" s="27" t="s">
        <v>2897</v>
      </c>
      <c r="B335" s="60" t="s">
        <v>2401</v>
      </c>
      <c r="C335" s="149" t="s">
        <v>2402</v>
      </c>
      <c r="D335" s="41" t="s">
        <v>75</v>
      </c>
      <c r="E335" s="149" t="s">
        <v>2403</v>
      </c>
      <c r="F335" s="34" t="s">
        <v>140</v>
      </c>
      <c r="G335" s="34" t="s">
        <v>168</v>
      </c>
      <c r="H335" s="58">
        <v>42640.0</v>
      </c>
      <c r="I335" s="58">
        <v>42639.0</v>
      </c>
      <c r="J335" s="58">
        <v>42640.0</v>
      </c>
      <c r="K335" s="32" t="s">
        <v>86</v>
      </c>
      <c r="L335" s="41" t="s">
        <v>115</v>
      </c>
      <c r="M335" s="42" t="s">
        <v>88</v>
      </c>
      <c r="N335" s="38" t="s">
        <v>89</v>
      </c>
      <c r="O335" s="32" t="s">
        <v>1023</v>
      </c>
      <c r="P335" s="32"/>
      <c r="Q335" s="32" t="s">
        <v>1334</v>
      </c>
      <c r="R335" s="58"/>
      <c r="S335" s="32" t="s">
        <v>142</v>
      </c>
      <c r="T335" s="56" t="s">
        <v>2404</v>
      </c>
      <c r="U335" s="45" t="s">
        <v>2898</v>
      </c>
      <c r="V335" s="34" t="s">
        <v>80</v>
      </c>
      <c r="W335" s="149" t="s">
        <v>2406</v>
      </c>
      <c r="X335" s="198" t="s">
        <v>2407</v>
      </c>
      <c r="Y335" s="152" t="s">
        <v>2408</v>
      </c>
      <c r="Z335" s="32" t="s">
        <v>112</v>
      </c>
      <c r="AA335" s="32"/>
      <c r="AB335" s="60" t="s">
        <v>389</v>
      </c>
      <c r="AC335" s="60"/>
      <c r="AD335" s="273"/>
      <c r="AE335" s="32"/>
      <c r="AF335" s="34" t="s">
        <v>74</v>
      </c>
      <c r="AG335" s="56" t="s">
        <v>2409</v>
      </c>
      <c r="AH335" s="266"/>
      <c r="AI335" s="266"/>
      <c r="AJ335" s="266"/>
      <c r="AK335" s="132">
        <v>42012.0</v>
      </c>
      <c r="AL335" s="56" t="s">
        <v>1028</v>
      </c>
    </row>
    <row r="336" ht="22.5" customHeight="1">
      <c r="A336" s="27" t="s">
        <v>2899</v>
      </c>
      <c r="B336" s="60" t="s">
        <v>355</v>
      </c>
      <c r="C336" s="32" t="s">
        <v>1345</v>
      </c>
      <c r="D336" s="34" t="s">
        <v>75</v>
      </c>
      <c r="E336" s="38" t="s">
        <v>1346</v>
      </c>
      <c r="F336" s="41" t="s">
        <v>140</v>
      </c>
      <c r="G336" s="34" t="s">
        <v>85</v>
      </c>
      <c r="H336" s="48">
        <v>42639.0</v>
      </c>
      <c r="I336" s="58">
        <v>42639.0</v>
      </c>
      <c r="J336" s="58">
        <v>42639.0</v>
      </c>
      <c r="K336" s="32" t="s">
        <v>86</v>
      </c>
      <c r="L336" s="41" t="s">
        <v>115</v>
      </c>
      <c r="M336" s="42" t="s">
        <v>313</v>
      </c>
      <c r="N336" s="32" t="s">
        <v>89</v>
      </c>
      <c r="O336" s="38" t="s">
        <v>402</v>
      </c>
      <c r="P336" s="32"/>
      <c r="Q336" s="32" t="s">
        <v>2900</v>
      </c>
      <c r="R336" s="58">
        <v>42674.0</v>
      </c>
      <c r="S336" s="32" t="s">
        <v>402</v>
      </c>
      <c r="T336" s="56" t="s">
        <v>1349</v>
      </c>
      <c r="U336" s="45" t="s">
        <v>2901</v>
      </c>
      <c r="V336" s="34" t="s">
        <v>80</v>
      </c>
      <c r="W336" s="32" t="s">
        <v>1351</v>
      </c>
      <c r="X336" s="149" t="s">
        <v>1352</v>
      </c>
      <c r="Y336" s="152" t="s">
        <v>1353</v>
      </c>
      <c r="Z336" s="32" t="s">
        <v>112</v>
      </c>
      <c r="AA336" s="32"/>
      <c r="AB336" s="32" t="s">
        <v>113</v>
      </c>
      <c r="AC336" s="68"/>
      <c r="AD336" s="66">
        <v>42391.0</v>
      </c>
      <c r="AE336" s="32" t="s">
        <v>2902</v>
      </c>
      <c r="AF336" s="34" t="s">
        <v>80</v>
      </c>
      <c r="AG336" s="56" t="s">
        <v>1355</v>
      </c>
      <c r="AH336" s="41"/>
      <c r="AI336" s="41"/>
      <c r="AJ336" s="41"/>
      <c r="AK336" s="58">
        <v>41770.0</v>
      </c>
      <c r="AL336" s="56" t="s">
        <v>1033</v>
      </c>
    </row>
    <row r="337" ht="22.5" customHeight="1">
      <c r="A337" s="27" t="s">
        <v>2903</v>
      </c>
      <c r="B337" s="60" t="s">
        <v>190</v>
      </c>
      <c r="C337" s="149" t="s">
        <v>191</v>
      </c>
      <c r="D337" s="34" t="s">
        <v>752</v>
      </c>
      <c r="E337" s="38" t="s">
        <v>193</v>
      </c>
      <c r="F337" s="54" t="s">
        <v>93</v>
      </c>
      <c r="G337" s="34" t="s">
        <v>168</v>
      </c>
      <c r="H337" s="58">
        <v>42565.0</v>
      </c>
      <c r="I337" s="58"/>
      <c r="J337" s="58">
        <v>42565.0</v>
      </c>
      <c r="K337" s="32" t="s">
        <v>70</v>
      </c>
      <c r="L337" s="41" t="s">
        <v>115</v>
      </c>
      <c r="M337" s="63" t="s">
        <v>88</v>
      </c>
      <c r="N337" s="38" t="s">
        <v>89</v>
      </c>
      <c r="O337" s="32" t="s">
        <v>1798</v>
      </c>
      <c r="P337" s="32"/>
      <c r="Q337" s="32" t="s">
        <v>2904</v>
      </c>
      <c r="R337" s="58">
        <v>42674.0</v>
      </c>
      <c r="S337" s="57" t="s">
        <v>116</v>
      </c>
      <c r="T337" s="56" t="s">
        <v>198</v>
      </c>
      <c r="U337" s="45" t="s">
        <v>2905</v>
      </c>
      <c r="V337" s="34" t="s">
        <v>80</v>
      </c>
      <c r="W337" s="32" t="s">
        <v>201</v>
      </c>
      <c r="X337" s="32" t="s">
        <v>202</v>
      </c>
      <c r="Y337" s="45" t="s">
        <v>203</v>
      </c>
      <c r="Z337" s="32" t="s">
        <v>112</v>
      </c>
      <c r="AA337" s="32"/>
      <c r="AB337" s="32" t="s">
        <v>113</v>
      </c>
      <c r="AC337" s="60"/>
      <c r="AD337" s="66"/>
      <c r="AE337" s="32"/>
      <c r="AF337" s="34" t="s">
        <v>80</v>
      </c>
      <c r="AG337" s="56" t="s">
        <v>206</v>
      </c>
      <c r="AH337" s="41"/>
      <c r="AI337" s="41"/>
      <c r="AJ337" s="41"/>
      <c r="AK337" s="58">
        <v>41215.0</v>
      </c>
      <c r="AL337" s="56" t="s">
        <v>1813</v>
      </c>
    </row>
    <row r="338" ht="22.5" customHeight="1">
      <c r="A338" s="27" t="s">
        <v>2906</v>
      </c>
      <c r="B338" s="60" t="s">
        <v>987</v>
      </c>
      <c r="C338" s="32" t="s">
        <v>988</v>
      </c>
      <c r="D338" s="41" t="s">
        <v>75</v>
      </c>
      <c r="E338" s="63" t="s">
        <v>990</v>
      </c>
      <c r="F338" s="34" t="s">
        <v>93</v>
      </c>
      <c r="G338" s="34" t="s">
        <v>168</v>
      </c>
      <c r="H338" s="58">
        <v>42639.0</v>
      </c>
      <c r="I338" s="58">
        <v>42639.0</v>
      </c>
      <c r="J338" s="58"/>
      <c r="K338" s="32" t="s">
        <v>86</v>
      </c>
      <c r="L338" s="34" t="s">
        <v>115</v>
      </c>
      <c r="M338" s="63" t="s">
        <v>218</v>
      </c>
      <c r="N338" s="32" t="s">
        <v>89</v>
      </c>
      <c r="O338" s="32" t="s">
        <v>994</v>
      </c>
      <c r="P338" s="32" t="s">
        <v>2907</v>
      </c>
      <c r="Q338" s="32" t="s">
        <v>2908</v>
      </c>
      <c r="R338" s="58"/>
      <c r="S338" s="32" t="s">
        <v>116</v>
      </c>
      <c r="T338" s="203" t="s">
        <v>997</v>
      </c>
      <c r="U338" s="45" t="s">
        <v>2909</v>
      </c>
      <c r="V338" s="34" t="s">
        <v>80</v>
      </c>
      <c r="W338" s="63" t="s">
        <v>1001</v>
      </c>
      <c r="X338" s="63" t="s">
        <v>1002</v>
      </c>
      <c r="Y338" s="56" t="s">
        <v>1003</v>
      </c>
      <c r="Z338" s="32" t="s">
        <v>112</v>
      </c>
      <c r="AA338" s="32"/>
      <c r="AB338" s="32" t="s">
        <v>113</v>
      </c>
      <c r="AC338" s="60"/>
      <c r="AD338" s="66"/>
      <c r="AE338" s="32"/>
      <c r="AF338" s="54" t="s">
        <v>74</v>
      </c>
      <c r="AG338" s="56" t="s">
        <v>1005</v>
      </c>
      <c r="AH338" s="47"/>
      <c r="AI338" s="58"/>
      <c r="AJ338" s="41"/>
      <c r="AK338" s="83">
        <v>41736.0</v>
      </c>
      <c r="AL338" s="56" t="s">
        <v>1006</v>
      </c>
    </row>
    <row r="339" ht="22.5" customHeight="1">
      <c r="A339" s="27" t="s">
        <v>2910</v>
      </c>
      <c r="B339" s="60" t="s">
        <v>190</v>
      </c>
      <c r="C339" s="149" t="s">
        <v>191</v>
      </c>
      <c r="D339" s="34" t="s">
        <v>752</v>
      </c>
      <c r="E339" s="38" t="s">
        <v>193</v>
      </c>
      <c r="F339" s="54" t="s">
        <v>93</v>
      </c>
      <c r="G339" s="34" t="s">
        <v>168</v>
      </c>
      <c r="H339" s="58">
        <v>42639.0</v>
      </c>
      <c r="I339" s="58">
        <v>42639.0</v>
      </c>
      <c r="J339" s="58"/>
      <c r="K339" s="32" t="s">
        <v>70</v>
      </c>
      <c r="L339" s="41" t="s">
        <v>115</v>
      </c>
      <c r="M339" s="63" t="s">
        <v>88</v>
      </c>
      <c r="N339" s="38" t="s">
        <v>89</v>
      </c>
      <c r="O339" s="32" t="s">
        <v>994</v>
      </c>
      <c r="P339" s="32" t="s">
        <v>2907</v>
      </c>
      <c r="Q339" s="32" t="s">
        <v>2908</v>
      </c>
      <c r="R339" s="58"/>
      <c r="S339" s="57" t="s">
        <v>116</v>
      </c>
      <c r="T339" s="56" t="s">
        <v>198</v>
      </c>
      <c r="U339" s="45" t="s">
        <v>2911</v>
      </c>
      <c r="V339" s="34" t="s">
        <v>80</v>
      </c>
      <c r="W339" s="32" t="s">
        <v>201</v>
      </c>
      <c r="X339" s="32" t="s">
        <v>202</v>
      </c>
      <c r="Y339" s="45" t="s">
        <v>203</v>
      </c>
      <c r="Z339" s="32" t="s">
        <v>112</v>
      </c>
      <c r="AA339" s="32"/>
      <c r="AB339" s="32" t="s">
        <v>113</v>
      </c>
      <c r="AC339" s="60"/>
      <c r="AD339" s="66"/>
      <c r="AE339" s="32"/>
      <c r="AF339" s="34" t="s">
        <v>80</v>
      </c>
      <c r="AG339" s="56" t="s">
        <v>206</v>
      </c>
      <c r="AH339" s="41"/>
      <c r="AI339" s="41"/>
      <c r="AJ339" s="41"/>
      <c r="AK339" s="58">
        <v>41215.0</v>
      </c>
      <c r="AL339" s="56" t="s">
        <v>1006</v>
      </c>
    </row>
    <row r="340" ht="22.5" customHeight="1">
      <c r="A340" s="27" t="s">
        <v>2912</v>
      </c>
      <c r="B340" s="60" t="s">
        <v>888</v>
      </c>
      <c r="C340" s="32" t="s">
        <v>1281</v>
      </c>
      <c r="D340" s="41" t="s">
        <v>75</v>
      </c>
      <c r="E340" s="38" t="s">
        <v>1282</v>
      </c>
      <c r="F340" s="34" t="s">
        <v>140</v>
      </c>
      <c r="G340" s="34" t="s">
        <v>168</v>
      </c>
      <c r="H340" s="58">
        <v>42639.0</v>
      </c>
      <c r="I340" s="58">
        <v>42639.0</v>
      </c>
      <c r="J340" s="58"/>
      <c r="K340" s="32" t="s">
        <v>70</v>
      </c>
      <c r="L340" s="34" t="s">
        <v>115</v>
      </c>
      <c r="M340" s="32" t="s">
        <v>88</v>
      </c>
      <c r="N340" s="32" t="s">
        <v>89</v>
      </c>
      <c r="O340" s="32" t="s">
        <v>994</v>
      </c>
      <c r="P340" s="32" t="s">
        <v>2907</v>
      </c>
      <c r="Q340" s="32" t="s">
        <v>2908</v>
      </c>
      <c r="R340" s="58"/>
      <c r="S340" s="32" t="s">
        <v>196</v>
      </c>
      <c r="T340" s="45" t="s">
        <v>1285</v>
      </c>
      <c r="U340" s="45" t="s">
        <v>2913</v>
      </c>
      <c r="V340" s="34" t="s">
        <v>80</v>
      </c>
      <c r="W340" s="32" t="s">
        <v>561</v>
      </c>
      <c r="X340" s="60" t="s">
        <v>1287</v>
      </c>
      <c r="Y340" s="45" t="s">
        <v>1288</v>
      </c>
      <c r="Z340" s="32" t="s">
        <v>112</v>
      </c>
      <c r="AA340" s="32"/>
      <c r="AB340" s="32" t="s">
        <v>113</v>
      </c>
      <c r="AC340" s="60"/>
      <c r="AD340" s="66"/>
      <c r="AE340" s="32"/>
      <c r="AF340" s="180" t="s">
        <v>80</v>
      </c>
      <c r="AG340" s="56" t="s">
        <v>900</v>
      </c>
      <c r="AH340" s="47"/>
      <c r="AI340" s="58"/>
      <c r="AJ340" s="41"/>
      <c r="AK340" s="155">
        <v>41770.0</v>
      </c>
      <c r="AL340" s="56" t="s">
        <v>1006</v>
      </c>
    </row>
    <row r="341" ht="22.5" customHeight="1">
      <c r="A341" s="27" t="s">
        <v>2914</v>
      </c>
      <c r="B341" s="63" t="s">
        <v>2624</v>
      </c>
      <c r="C341" s="32" t="s">
        <v>2915</v>
      </c>
      <c r="D341" s="34" t="s">
        <v>75</v>
      </c>
      <c r="E341" s="32" t="s">
        <v>2916</v>
      </c>
      <c r="F341" s="34" t="s">
        <v>140</v>
      </c>
      <c r="G341" s="34" t="s">
        <v>85</v>
      </c>
      <c r="H341" s="58">
        <v>42424.0</v>
      </c>
      <c r="I341" s="58">
        <v>42424.0</v>
      </c>
      <c r="J341" s="58">
        <v>42424.0</v>
      </c>
      <c r="K341" s="32" t="s">
        <v>70</v>
      </c>
      <c r="L341" s="34" t="s">
        <v>115</v>
      </c>
      <c r="M341" s="32" t="s">
        <v>218</v>
      </c>
      <c r="N341" s="32" t="s">
        <v>89</v>
      </c>
      <c r="O341" s="32" t="s">
        <v>196</v>
      </c>
      <c r="P341" s="32" t="s">
        <v>1826</v>
      </c>
      <c r="Q341" s="32" t="s">
        <v>2917</v>
      </c>
      <c r="R341" s="58">
        <v>43520.0</v>
      </c>
      <c r="S341" s="32" t="s">
        <v>196</v>
      </c>
      <c r="T341" s="45" t="s">
        <v>2918</v>
      </c>
      <c r="U341" s="45" t="s">
        <v>2919</v>
      </c>
      <c r="V341" s="34" t="s">
        <v>80</v>
      </c>
      <c r="W341" s="60" t="s">
        <v>2629</v>
      </c>
      <c r="X341" s="198" t="s">
        <v>2630</v>
      </c>
      <c r="Y341" s="109" t="s">
        <v>2631</v>
      </c>
      <c r="Z341" s="32" t="s">
        <v>112</v>
      </c>
      <c r="AA341" s="32"/>
      <c r="AB341" s="32" t="s">
        <v>113</v>
      </c>
      <c r="AC341" s="60" t="s">
        <v>2920</v>
      </c>
      <c r="AD341" s="66">
        <v>42662.0</v>
      </c>
      <c r="AE341" s="32"/>
      <c r="AF341" s="180" t="s">
        <v>80</v>
      </c>
      <c r="AG341" s="56" t="s">
        <v>2633</v>
      </c>
      <c r="AH341" s="57" t="s">
        <v>193</v>
      </c>
      <c r="AI341" s="58"/>
      <c r="AJ341" s="41"/>
      <c r="AK341" s="155">
        <v>41883.0</v>
      </c>
      <c r="AL341" s="56" t="s">
        <v>208</v>
      </c>
    </row>
    <row r="342" ht="22.5" customHeight="1">
      <c r="A342" s="27" t="s">
        <v>2921</v>
      </c>
      <c r="B342" s="63" t="s">
        <v>608</v>
      </c>
      <c r="C342" s="32" t="s">
        <v>1633</v>
      </c>
      <c r="D342" s="41" t="s">
        <v>75</v>
      </c>
      <c r="E342" s="38" t="s">
        <v>1634</v>
      </c>
      <c r="F342" s="34" t="s">
        <v>140</v>
      </c>
      <c r="G342" s="34" t="s">
        <v>168</v>
      </c>
      <c r="H342" s="58">
        <v>42569.0</v>
      </c>
      <c r="I342" s="58">
        <v>42556.0</v>
      </c>
      <c r="J342" s="58">
        <v>42569.0</v>
      </c>
      <c r="K342" s="32" t="s">
        <v>70</v>
      </c>
      <c r="L342" s="34" t="s">
        <v>115</v>
      </c>
      <c r="M342" s="42" t="s">
        <v>313</v>
      </c>
      <c r="N342" s="38" t="s">
        <v>89</v>
      </c>
      <c r="O342" s="32" t="s">
        <v>196</v>
      </c>
      <c r="P342" s="32" t="s">
        <v>1837</v>
      </c>
      <c r="Q342" s="32" t="s">
        <v>2434</v>
      </c>
      <c r="R342" s="58"/>
      <c r="S342" s="32" t="s">
        <v>969</v>
      </c>
      <c r="T342" s="45" t="s">
        <v>1637</v>
      </c>
      <c r="U342" s="45" t="s">
        <v>2922</v>
      </c>
      <c r="V342" s="34" t="s">
        <v>80</v>
      </c>
      <c r="W342" s="60" t="s">
        <v>1641</v>
      </c>
      <c r="X342" s="149" t="s">
        <v>1642</v>
      </c>
      <c r="Y342" s="109" t="s">
        <v>1643</v>
      </c>
      <c r="Z342" s="32" t="s">
        <v>112</v>
      </c>
      <c r="AA342" s="32"/>
      <c r="AB342" s="60" t="s">
        <v>593</v>
      </c>
      <c r="AC342" s="60"/>
      <c r="AD342" s="66"/>
      <c r="AE342" s="32"/>
      <c r="AF342" s="34" t="s">
        <v>80</v>
      </c>
      <c r="AG342" s="56" t="s">
        <v>1644</v>
      </c>
      <c r="AH342" s="34"/>
      <c r="AI342" s="41"/>
      <c r="AJ342" s="41"/>
      <c r="AK342" s="58">
        <v>41927.0</v>
      </c>
      <c r="AL342" s="56" t="s">
        <v>208</v>
      </c>
    </row>
    <row r="343" ht="22.5" customHeight="1">
      <c r="A343" s="27" t="s">
        <v>2923</v>
      </c>
      <c r="B343" s="63" t="s">
        <v>2924</v>
      </c>
      <c r="C343" s="32" t="s">
        <v>1167</v>
      </c>
      <c r="D343" s="41" t="s">
        <v>75</v>
      </c>
      <c r="E343" s="38" t="s">
        <v>1169</v>
      </c>
      <c r="F343" s="34" t="s">
        <v>93</v>
      </c>
      <c r="G343" s="34" t="s">
        <v>168</v>
      </c>
      <c r="H343" s="58">
        <v>42629.0</v>
      </c>
      <c r="I343" s="58">
        <v>42629.0</v>
      </c>
      <c r="J343" s="58"/>
      <c r="K343" s="32" t="s">
        <v>70</v>
      </c>
      <c r="L343" s="34" t="s">
        <v>115</v>
      </c>
      <c r="M343" s="63" t="s">
        <v>218</v>
      </c>
      <c r="N343" s="38" t="s">
        <v>89</v>
      </c>
      <c r="O343" s="32" t="s">
        <v>175</v>
      </c>
      <c r="P343" s="32"/>
      <c r="Q343" s="32" t="s">
        <v>2925</v>
      </c>
      <c r="R343" s="58">
        <v>43724.0</v>
      </c>
      <c r="S343" s="32" t="s">
        <v>116</v>
      </c>
      <c r="T343" s="45" t="s">
        <v>1174</v>
      </c>
      <c r="U343" s="45" t="s">
        <v>2926</v>
      </c>
      <c r="V343" s="34" t="s">
        <v>80</v>
      </c>
      <c r="W343" s="60" t="s">
        <v>1180</v>
      </c>
      <c r="X343" s="60" t="s">
        <v>1181</v>
      </c>
      <c r="Y343" s="109" t="s">
        <v>1182</v>
      </c>
      <c r="Z343" s="32" t="s">
        <v>112</v>
      </c>
      <c r="AA343" s="32"/>
      <c r="AB343" s="60" t="s">
        <v>1183</v>
      </c>
      <c r="AC343" s="60"/>
      <c r="AD343" s="66"/>
      <c r="AE343" s="32"/>
      <c r="AF343" s="34" t="s">
        <v>80</v>
      </c>
      <c r="AG343" s="56" t="s">
        <v>1187</v>
      </c>
      <c r="AH343" s="41"/>
      <c r="AI343" s="41"/>
      <c r="AJ343" s="41"/>
      <c r="AK343" s="58">
        <v>41451.0</v>
      </c>
      <c r="AL343" s="56" t="s">
        <v>188</v>
      </c>
    </row>
    <row r="344" ht="22.5" customHeight="1">
      <c r="A344" s="27" t="s">
        <v>2927</v>
      </c>
      <c r="B344" s="63" t="s">
        <v>411</v>
      </c>
      <c r="C344" s="32" t="s">
        <v>413</v>
      </c>
      <c r="D344" s="34" t="s">
        <v>752</v>
      </c>
      <c r="E344" s="38" t="s">
        <v>416</v>
      </c>
      <c r="F344" s="41" t="s">
        <v>93</v>
      </c>
      <c r="G344" s="34" t="s">
        <v>168</v>
      </c>
      <c r="H344" s="58">
        <v>42639.0</v>
      </c>
      <c r="I344" s="58">
        <v>42639.0</v>
      </c>
      <c r="J344" s="58">
        <v>42639.0</v>
      </c>
      <c r="K344" s="32" t="s">
        <v>70</v>
      </c>
      <c r="L344" s="34" t="s">
        <v>115</v>
      </c>
      <c r="M344" s="32" t="s">
        <v>313</v>
      </c>
      <c r="N344" s="32" t="s">
        <v>89</v>
      </c>
      <c r="O344" s="32" t="s">
        <v>196</v>
      </c>
      <c r="P344" s="32" t="s">
        <v>1569</v>
      </c>
      <c r="Q344" s="32" t="s">
        <v>2928</v>
      </c>
      <c r="R344" s="58">
        <v>43734.0</v>
      </c>
      <c r="S344" s="32" t="s">
        <v>116</v>
      </c>
      <c r="T344" s="45" t="s">
        <v>436</v>
      </c>
      <c r="U344" s="45" t="s">
        <v>2929</v>
      </c>
      <c r="V344" s="34" t="s">
        <v>80</v>
      </c>
      <c r="W344" s="60" t="s">
        <v>444</v>
      </c>
      <c r="X344" s="32" t="s">
        <v>445</v>
      </c>
      <c r="Y344" s="109" t="s">
        <v>446</v>
      </c>
      <c r="Z344" s="32" t="s">
        <v>112</v>
      </c>
      <c r="AA344" s="32"/>
      <c r="AB344" s="32" t="s">
        <v>113</v>
      </c>
      <c r="AC344" s="60"/>
      <c r="AD344" s="66"/>
      <c r="AE344" s="32"/>
      <c r="AF344" s="34" t="s">
        <v>80</v>
      </c>
      <c r="AG344" s="56" t="s">
        <v>454</v>
      </c>
      <c r="AH344" s="34"/>
      <c r="AI344" s="41"/>
      <c r="AJ344" s="41"/>
      <c r="AK344" s="58">
        <v>42212.0</v>
      </c>
      <c r="AL344" s="56" t="s">
        <v>208</v>
      </c>
    </row>
    <row r="345" ht="22.5" customHeight="1">
      <c r="A345" s="27" t="s">
        <v>2930</v>
      </c>
      <c r="B345" s="63" t="s">
        <v>901</v>
      </c>
      <c r="C345" s="32" t="s">
        <v>967</v>
      </c>
      <c r="D345" s="34" t="s">
        <v>584</v>
      </c>
      <c r="E345" s="103" t="s">
        <v>968</v>
      </c>
      <c r="F345" s="34" t="s">
        <v>93</v>
      </c>
      <c r="G345" s="34" t="s">
        <v>168</v>
      </c>
      <c r="H345" s="58">
        <v>42640.0</v>
      </c>
      <c r="I345" s="58">
        <v>42640.0</v>
      </c>
      <c r="J345" s="58">
        <v>42640.0</v>
      </c>
      <c r="K345" s="32" t="s">
        <v>70</v>
      </c>
      <c r="L345" s="41" t="s">
        <v>115</v>
      </c>
      <c r="M345" s="42" t="s">
        <v>313</v>
      </c>
      <c r="N345" s="38" t="s">
        <v>89</v>
      </c>
      <c r="O345" s="32" t="s">
        <v>1608</v>
      </c>
      <c r="P345" s="32"/>
      <c r="Q345" s="32" t="s">
        <v>2931</v>
      </c>
      <c r="R345" s="58"/>
      <c r="S345" s="32" t="s">
        <v>116</v>
      </c>
      <c r="T345" s="45" t="s">
        <v>974</v>
      </c>
      <c r="U345" s="45" t="s">
        <v>2932</v>
      </c>
      <c r="V345" s="34" t="s">
        <v>74</v>
      </c>
      <c r="W345" s="60" t="s">
        <v>976</v>
      </c>
      <c r="X345" s="60" t="s">
        <v>977</v>
      </c>
      <c r="Y345" s="109" t="s">
        <v>906</v>
      </c>
      <c r="Z345" s="32" t="s">
        <v>112</v>
      </c>
      <c r="AA345" s="32"/>
      <c r="AB345" s="123" t="s">
        <v>113</v>
      </c>
      <c r="AC345" s="60"/>
      <c r="AD345" s="66"/>
      <c r="AE345" s="32"/>
      <c r="AF345" s="34" t="s">
        <v>80</v>
      </c>
      <c r="AG345" s="56" t="s">
        <v>911</v>
      </c>
      <c r="AH345" s="47"/>
      <c r="AI345" s="58"/>
      <c r="AJ345" s="41"/>
      <c r="AK345" s="58">
        <v>41368.0</v>
      </c>
      <c r="AL345" s="56" t="s">
        <v>2933</v>
      </c>
    </row>
    <row r="346" ht="22.5" customHeight="1">
      <c r="A346" s="27" t="s">
        <v>2934</v>
      </c>
      <c r="B346" s="63" t="s">
        <v>901</v>
      </c>
      <c r="C346" s="32" t="s">
        <v>967</v>
      </c>
      <c r="D346" s="34" t="s">
        <v>584</v>
      </c>
      <c r="E346" s="103" t="s">
        <v>968</v>
      </c>
      <c r="F346" s="34" t="s">
        <v>93</v>
      </c>
      <c r="G346" s="34" t="s">
        <v>168</v>
      </c>
      <c r="H346" s="58">
        <v>42521.0</v>
      </c>
      <c r="I346" s="58">
        <v>42521.0</v>
      </c>
      <c r="J346" s="58">
        <v>42521.0</v>
      </c>
      <c r="K346" s="32" t="s">
        <v>70</v>
      </c>
      <c r="L346" s="41" t="s">
        <v>115</v>
      </c>
      <c r="M346" s="42" t="s">
        <v>313</v>
      </c>
      <c r="N346" s="38" t="s">
        <v>89</v>
      </c>
      <c r="O346" s="32" t="s">
        <v>1608</v>
      </c>
      <c r="P346" s="32" t="s">
        <v>2935</v>
      </c>
      <c r="Q346" s="32" t="s">
        <v>2936</v>
      </c>
      <c r="R346" s="58"/>
      <c r="S346" s="32" t="s">
        <v>116</v>
      </c>
      <c r="T346" s="45" t="s">
        <v>974</v>
      </c>
      <c r="U346" s="45" t="s">
        <v>2937</v>
      </c>
      <c r="V346" s="34" t="s">
        <v>74</v>
      </c>
      <c r="W346" s="60" t="s">
        <v>976</v>
      </c>
      <c r="X346" s="60" t="s">
        <v>977</v>
      </c>
      <c r="Y346" s="109" t="s">
        <v>906</v>
      </c>
      <c r="Z346" s="32" t="s">
        <v>112</v>
      </c>
      <c r="AA346" s="32"/>
      <c r="AB346" s="123" t="s">
        <v>113</v>
      </c>
      <c r="AC346" s="60"/>
      <c r="AD346" s="66"/>
      <c r="AE346" s="32"/>
      <c r="AF346" s="34" t="s">
        <v>80</v>
      </c>
      <c r="AG346" s="56" t="s">
        <v>911</v>
      </c>
      <c r="AH346" s="47"/>
      <c r="AI346" s="58"/>
      <c r="AJ346" s="41"/>
      <c r="AK346" s="58">
        <v>41368.0</v>
      </c>
      <c r="AL346" s="56" t="s">
        <v>2933</v>
      </c>
    </row>
    <row r="347" ht="22.5" customHeight="1">
      <c r="A347" s="27" t="s">
        <v>2938</v>
      </c>
      <c r="B347" s="63" t="s">
        <v>987</v>
      </c>
      <c r="C347" s="32" t="s">
        <v>988</v>
      </c>
      <c r="D347" s="41" t="s">
        <v>75</v>
      </c>
      <c r="E347" s="63" t="s">
        <v>990</v>
      </c>
      <c r="F347" s="34" t="s">
        <v>93</v>
      </c>
      <c r="G347" s="34" t="s">
        <v>168</v>
      </c>
      <c r="H347" s="58">
        <v>42636.0</v>
      </c>
      <c r="I347" s="58">
        <v>42636.0</v>
      </c>
      <c r="J347" s="58"/>
      <c r="K347" s="32" t="s">
        <v>70</v>
      </c>
      <c r="L347" s="34" t="s">
        <v>115</v>
      </c>
      <c r="M347" s="63" t="s">
        <v>218</v>
      </c>
      <c r="N347" s="32" t="s">
        <v>89</v>
      </c>
      <c r="O347" s="32" t="s">
        <v>954</v>
      </c>
      <c r="P347" s="32" t="s">
        <v>1283</v>
      </c>
      <c r="Q347" s="32" t="s">
        <v>1284</v>
      </c>
      <c r="R347" s="58"/>
      <c r="S347" s="32" t="s">
        <v>116</v>
      </c>
      <c r="T347" s="203" t="s">
        <v>997</v>
      </c>
      <c r="U347" s="45" t="s">
        <v>2939</v>
      </c>
      <c r="V347" s="34" t="s">
        <v>80</v>
      </c>
      <c r="W347" s="63" t="s">
        <v>1001</v>
      </c>
      <c r="X347" s="63" t="s">
        <v>1002</v>
      </c>
      <c r="Y347" s="56" t="s">
        <v>1003</v>
      </c>
      <c r="Z347" s="32" t="s">
        <v>112</v>
      </c>
      <c r="AA347" s="32"/>
      <c r="AB347" s="32" t="s">
        <v>113</v>
      </c>
      <c r="AC347" s="60"/>
      <c r="AD347" s="66"/>
      <c r="AE347" s="32"/>
      <c r="AF347" s="54" t="s">
        <v>80</v>
      </c>
      <c r="AG347" s="56" t="s">
        <v>1005</v>
      </c>
      <c r="AH347" s="47"/>
      <c r="AI347" s="58"/>
      <c r="AJ347" s="41"/>
      <c r="AK347" s="83">
        <v>41736.0</v>
      </c>
      <c r="AL347" s="56" t="s">
        <v>965</v>
      </c>
    </row>
    <row r="348" ht="22.5" customHeight="1">
      <c r="A348" s="27" t="s">
        <v>2940</v>
      </c>
      <c r="B348" s="250" t="s">
        <v>901</v>
      </c>
      <c r="C348" s="121" t="s">
        <v>967</v>
      </c>
      <c r="D348" s="41" t="s">
        <v>584</v>
      </c>
      <c r="E348" s="250" t="s">
        <v>968</v>
      </c>
      <c r="F348" s="39" t="s">
        <v>93</v>
      </c>
      <c r="G348" s="39" t="s">
        <v>168</v>
      </c>
      <c r="H348" s="58">
        <v>42352.0</v>
      </c>
      <c r="I348" s="58">
        <v>42263.0</v>
      </c>
      <c r="J348" s="58">
        <v>42352.0</v>
      </c>
      <c r="K348" s="32" t="s">
        <v>70</v>
      </c>
      <c r="L348" s="41" t="s">
        <v>115</v>
      </c>
      <c r="M348" s="42" t="s">
        <v>313</v>
      </c>
      <c r="N348" s="38" t="s">
        <v>89</v>
      </c>
      <c r="O348" s="32" t="s">
        <v>1023</v>
      </c>
      <c r="P348" s="32" t="s">
        <v>1523</v>
      </c>
      <c r="Q348" s="32" t="s">
        <v>2941</v>
      </c>
      <c r="R348" s="58">
        <v>43448.0</v>
      </c>
      <c r="S348" s="32" t="s">
        <v>116</v>
      </c>
      <c r="T348" s="45" t="s">
        <v>974</v>
      </c>
      <c r="U348" s="45" t="s">
        <v>2942</v>
      </c>
      <c r="V348" s="34" t="s">
        <v>80</v>
      </c>
      <c r="W348" s="60" t="s">
        <v>976</v>
      </c>
      <c r="X348" s="60" t="s">
        <v>977</v>
      </c>
      <c r="Y348" s="109" t="s">
        <v>906</v>
      </c>
      <c r="Z348" s="32" t="s">
        <v>112</v>
      </c>
      <c r="AA348" s="32"/>
      <c r="AB348" s="123" t="s">
        <v>113</v>
      </c>
      <c r="AC348" s="60"/>
      <c r="AD348" s="66"/>
      <c r="AE348" s="32"/>
      <c r="AF348" s="34" t="s">
        <v>80</v>
      </c>
      <c r="AG348" s="56" t="s">
        <v>911</v>
      </c>
      <c r="AH348" s="47"/>
      <c r="AI348" s="58"/>
      <c r="AJ348" s="41"/>
      <c r="AK348" s="58">
        <v>41368.0</v>
      </c>
      <c r="AL348" s="56" t="s">
        <v>1028</v>
      </c>
    </row>
    <row r="349" ht="22.5" customHeight="1">
      <c r="A349" s="27" t="s">
        <v>2943</v>
      </c>
      <c r="B349" s="250" t="s">
        <v>901</v>
      </c>
      <c r="C349" s="121" t="s">
        <v>967</v>
      </c>
      <c r="D349" s="41" t="s">
        <v>584</v>
      </c>
      <c r="E349" s="250" t="s">
        <v>968</v>
      </c>
      <c r="F349" s="39" t="s">
        <v>93</v>
      </c>
      <c r="G349" s="39" t="s">
        <v>168</v>
      </c>
      <c r="H349" s="58">
        <v>42307.0</v>
      </c>
      <c r="I349" s="58">
        <v>42304.0</v>
      </c>
      <c r="J349" s="58">
        <v>42307.0</v>
      </c>
      <c r="K349" s="32" t="s">
        <v>70</v>
      </c>
      <c r="L349" s="41" t="s">
        <v>115</v>
      </c>
      <c r="M349" s="42" t="s">
        <v>313</v>
      </c>
      <c r="N349" s="38" t="s">
        <v>89</v>
      </c>
      <c r="O349" s="32" t="s">
        <v>1023</v>
      </c>
      <c r="P349" s="32" t="s">
        <v>1523</v>
      </c>
      <c r="Q349" s="32" t="s">
        <v>2941</v>
      </c>
      <c r="R349" s="58">
        <v>43403.0</v>
      </c>
      <c r="S349" s="32" t="s">
        <v>116</v>
      </c>
      <c r="T349" s="45" t="s">
        <v>974</v>
      </c>
      <c r="U349" s="45" t="s">
        <v>2944</v>
      </c>
      <c r="V349" s="34" t="s">
        <v>80</v>
      </c>
      <c r="W349" s="60" t="s">
        <v>976</v>
      </c>
      <c r="X349" s="60" t="s">
        <v>977</v>
      </c>
      <c r="Y349" s="109" t="s">
        <v>906</v>
      </c>
      <c r="Z349" s="32" t="s">
        <v>112</v>
      </c>
      <c r="AA349" s="32"/>
      <c r="AB349" s="123" t="s">
        <v>113</v>
      </c>
      <c r="AC349" s="60"/>
      <c r="AD349" s="66"/>
      <c r="AE349" s="32"/>
      <c r="AF349" s="34" t="s">
        <v>80</v>
      </c>
      <c r="AG349" s="56" t="s">
        <v>911</v>
      </c>
      <c r="AH349" s="47"/>
      <c r="AI349" s="58"/>
      <c r="AJ349" s="41"/>
      <c r="AK349" s="58">
        <v>41368.0</v>
      </c>
      <c r="AL349" s="56" t="s">
        <v>1028</v>
      </c>
    </row>
    <row r="350" ht="22.5" customHeight="1">
      <c r="A350" s="27" t="s">
        <v>2945</v>
      </c>
      <c r="B350" s="250" t="s">
        <v>901</v>
      </c>
      <c r="C350" s="121" t="s">
        <v>967</v>
      </c>
      <c r="D350" s="41" t="s">
        <v>584</v>
      </c>
      <c r="E350" s="250" t="s">
        <v>968</v>
      </c>
      <c r="F350" s="39" t="s">
        <v>93</v>
      </c>
      <c r="G350" s="39" t="s">
        <v>168</v>
      </c>
      <c r="H350" s="58">
        <v>42495.0</v>
      </c>
      <c r="I350" s="58">
        <v>42456.0</v>
      </c>
      <c r="J350" s="58">
        <v>42495.0</v>
      </c>
      <c r="K350" s="32" t="s">
        <v>86</v>
      </c>
      <c r="L350" s="41" t="s">
        <v>115</v>
      </c>
      <c r="M350" s="42" t="s">
        <v>313</v>
      </c>
      <c r="N350" s="38" t="s">
        <v>89</v>
      </c>
      <c r="O350" s="32" t="s">
        <v>1023</v>
      </c>
      <c r="P350" s="32" t="s">
        <v>1085</v>
      </c>
      <c r="Q350" s="32" t="s">
        <v>2946</v>
      </c>
      <c r="R350" s="58"/>
      <c r="S350" s="32" t="s">
        <v>116</v>
      </c>
      <c r="T350" s="45" t="s">
        <v>974</v>
      </c>
      <c r="U350" s="45" t="s">
        <v>2947</v>
      </c>
      <c r="V350" s="34" t="s">
        <v>80</v>
      </c>
      <c r="W350" s="60" t="s">
        <v>976</v>
      </c>
      <c r="X350" s="60" t="s">
        <v>977</v>
      </c>
      <c r="Y350" s="109" t="s">
        <v>906</v>
      </c>
      <c r="Z350" s="32" t="s">
        <v>112</v>
      </c>
      <c r="AA350" s="32"/>
      <c r="AB350" s="123" t="s">
        <v>113</v>
      </c>
      <c r="AC350" s="60"/>
      <c r="AD350" s="66"/>
      <c r="AE350" s="32"/>
      <c r="AF350" s="34" t="s">
        <v>74</v>
      </c>
      <c r="AG350" s="56" t="s">
        <v>911</v>
      </c>
      <c r="AH350" s="47"/>
      <c r="AI350" s="58"/>
      <c r="AJ350" s="41"/>
      <c r="AK350" s="58">
        <v>41368.0</v>
      </c>
      <c r="AL350" s="56" t="s">
        <v>1028</v>
      </c>
    </row>
    <row r="351" ht="22.5" customHeight="1">
      <c r="A351" s="27" t="s">
        <v>2948</v>
      </c>
      <c r="B351" s="63" t="s">
        <v>69</v>
      </c>
      <c r="C351" s="32" t="s">
        <v>90</v>
      </c>
      <c r="D351" s="39" t="s">
        <v>91</v>
      </c>
      <c r="E351" s="38" t="s">
        <v>92</v>
      </c>
      <c r="F351" s="34" t="s">
        <v>93</v>
      </c>
      <c r="G351" s="34" t="s">
        <v>168</v>
      </c>
      <c r="H351" s="58">
        <v>42577.0</v>
      </c>
      <c r="I351" s="58">
        <v>42577.0</v>
      </c>
      <c r="J351" s="58"/>
      <c r="K351" s="32" t="s">
        <v>70</v>
      </c>
      <c r="L351" s="34" t="s">
        <v>115</v>
      </c>
      <c r="M351" s="121" t="s">
        <v>88</v>
      </c>
      <c r="N351" s="32" t="s">
        <v>89</v>
      </c>
      <c r="O351" s="32" t="s">
        <v>1418</v>
      </c>
      <c r="P351" s="32" t="s">
        <v>2949</v>
      </c>
      <c r="Q351" s="32" t="s">
        <v>2950</v>
      </c>
      <c r="R351" s="58">
        <v>43672.0</v>
      </c>
      <c r="S351" s="32" t="s">
        <v>116</v>
      </c>
      <c r="T351" s="45" t="s">
        <v>118</v>
      </c>
      <c r="U351" s="45" t="s">
        <v>2951</v>
      </c>
      <c r="V351" s="34" t="s">
        <v>80</v>
      </c>
      <c r="W351" s="60" t="s">
        <v>122</v>
      </c>
      <c r="X351" s="60" t="s">
        <v>130</v>
      </c>
      <c r="Y351" s="45" t="s">
        <v>131</v>
      </c>
      <c r="Z351" s="32" t="s">
        <v>112</v>
      </c>
      <c r="AA351" s="47"/>
      <c r="AB351" s="60" t="s">
        <v>113</v>
      </c>
      <c r="AC351" s="60"/>
      <c r="AD351" s="66"/>
      <c r="AE351" s="32"/>
      <c r="AF351" s="180" t="s">
        <v>80</v>
      </c>
      <c r="AG351" s="56" t="s">
        <v>159</v>
      </c>
      <c r="AH351" s="47"/>
      <c r="AI351" s="58"/>
      <c r="AJ351" s="41"/>
      <c r="AK351" s="58">
        <v>41100.0</v>
      </c>
      <c r="AL351" s="56" t="s">
        <v>2952</v>
      </c>
    </row>
    <row r="352" ht="22.5" customHeight="1">
      <c r="A352" s="27" t="s">
        <v>2953</v>
      </c>
      <c r="B352" s="63" t="s">
        <v>888</v>
      </c>
      <c r="C352" s="32" t="s">
        <v>889</v>
      </c>
      <c r="D352" s="34" t="s">
        <v>752</v>
      </c>
      <c r="E352" s="38" t="s">
        <v>892</v>
      </c>
      <c r="F352" s="34" t="s">
        <v>93</v>
      </c>
      <c r="G352" s="34" t="s">
        <v>168</v>
      </c>
      <c r="H352" s="58">
        <v>42577.0</v>
      </c>
      <c r="I352" s="58">
        <v>42577.0</v>
      </c>
      <c r="J352" s="58"/>
      <c r="K352" s="32" t="s">
        <v>70</v>
      </c>
      <c r="L352" s="41" t="s">
        <v>115</v>
      </c>
      <c r="M352" s="42" t="s">
        <v>88</v>
      </c>
      <c r="N352" s="38" t="s">
        <v>89</v>
      </c>
      <c r="O352" s="32" t="s">
        <v>1418</v>
      </c>
      <c r="P352" s="32" t="s">
        <v>2949</v>
      </c>
      <c r="Q352" s="32" t="s">
        <v>2950</v>
      </c>
      <c r="R352" s="58">
        <v>43672.0</v>
      </c>
      <c r="S352" s="32" t="s">
        <v>116</v>
      </c>
      <c r="T352" s="56" t="s">
        <v>1950</v>
      </c>
      <c r="U352" s="45" t="s">
        <v>2954</v>
      </c>
      <c r="V352" s="34" t="s">
        <v>80</v>
      </c>
      <c r="W352" s="60" t="s">
        <v>1934</v>
      </c>
      <c r="X352" s="109" t="s">
        <v>1935</v>
      </c>
      <c r="Y352" s="109" t="s">
        <v>899</v>
      </c>
      <c r="Z352" s="32" t="s">
        <v>112</v>
      </c>
      <c r="AA352" s="68"/>
      <c r="AB352" s="149" t="s">
        <v>481</v>
      </c>
      <c r="AC352" s="60"/>
      <c r="AD352" s="66"/>
      <c r="AE352" s="32"/>
      <c r="AF352" s="34" t="s">
        <v>80</v>
      </c>
      <c r="AG352" s="56" t="s">
        <v>900</v>
      </c>
      <c r="AH352" s="47"/>
      <c r="AI352" s="58"/>
      <c r="AJ352" s="41"/>
      <c r="AK352" s="155">
        <v>41352.0</v>
      </c>
      <c r="AL352" s="56" t="s">
        <v>2952</v>
      </c>
    </row>
    <row r="353" ht="22.5" customHeight="1">
      <c r="A353" s="27" t="s">
        <v>2955</v>
      </c>
      <c r="B353" s="63" t="s">
        <v>888</v>
      </c>
      <c r="C353" s="32" t="s">
        <v>1281</v>
      </c>
      <c r="D353" s="41" t="s">
        <v>75</v>
      </c>
      <c r="E353" s="38" t="s">
        <v>1282</v>
      </c>
      <c r="F353" s="34" t="s">
        <v>140</v>
      </c>
      <c r="G353" s="34" t="s">
        <v>168</v>
      </c>
      <c r="H353" s="58">
        <v>42577.0</v>
      </c>
      <c r="I353" s="58">
        <v>42577.0</v>
      </c>
      <c r="J353" s="58"/>
      <c r="K353" s="32" t="s">
        <v>70</v>
      </c>
      <c r="L353" s="34" t="s">
        <v>115</v>
      </c>
      <c r="M353" s="32" t="s">
        <v>88</v>
      </c>
      <c r="N353" s="32" t="s">
        <v>89</v>
      </c>
      <c r="O353" s="32" t="s">
        <v>1418</v>
      </c>
      <c r="P353" s="32" t="s">
        <v>2949</v>
      </c>
      <c r="Q353" s="32" t="s">
        <v>2950</v>
      </c>
      <c r="R353" s="58">
        <v>43672.0</v>
      </c>
      <c r="S353" s="32" t="s">
        <v>196</v>
      </c>
      <c r="T353" s="45" t="s">
        <v>1285</v>
      </c>
      <c r="U353" s="45" t="s">
        <v>2956</v>
      </c>
      <c r="V353" s="34" t="s">
        <v>80</v>
      </c>
      <c r="W353" s="32" t="s">
        <v>561</v>
      </c>
      <c r="X353" s="60" t="s">
        <v>1287</v>
      </c>
      <c r="Y353" s="45" t="s">
        <v>1288</v>
      </c>
      <c r="Z353" s="32" t="s">
        <v>112</v>
      </c>
      <c r="AA353" s="32"/>
      <c r="AB353" s="32" t="s">
        <v>113</v>
      </c>
      <c r="AC353" s="60"/>
      <c r="AD353" s="66"/>
      <c r="AE353" s="32"/>
      <c r="AF353" s="180" t="s">
        <v>80</v>
      </c>
      <c r="AG353" s="56" t="s">
        <v>900</v>
      </c>
      <c r="AH353" s="47"/>
      <c r="AI353" s="58"/>
      <c r="AJ353" s="41"/>
      <c r="AK353" s="155">
        <v>41770.0</v>
      </c>
      <c r="AL353" s="56" t="s">
        <v>2952</v>
      </c>
    </row>
    <row r="354" ht="22.5" customHeight="1">
      <c r="A354" s="27" t="s">
        <v>2957</v>
      </c>
      <c r="B354" s="63" t="s">
        <v>888</v>
      </c>
      <c r="C354" s="32" t="s">
        <v>1281</v>
      </c>
      <c r="D354" s="41" t="s">
        <v>75</v>
      </c>
      <c r="E354" s="38" t="s">
        <v>1282</v>
      </c>
      <c r="F354" s="34" t="s">
        <v>140</v>
      </c>
      <c r="G354" s="34" t="s">
        <v>168</v>
      </c>
      <c r="H354" s="58">
        <v>42612.0</v>
      </c>
      <c r="I354" s="58">
        <v>42612.0</v>
      </c>
      <c r="J354" s="58"/>
      <c r="K354" s="32" t="s">
        <v>86</v>
      </c>
      <c r="L354" s="34" t="s">
        <v>115</v>
      </c>
      <c r="M354" s="32" t="s">
        <v>88</v>
      </c>
      <c r="N354" s="32" t="s">
        <v>89</v>
      </c>
      <c r="O354" s="32" t="s">
        <v>954</v>
      </c>
      <c r="P354" s="32" t="s">
        <v>2004</v>
      </c>
      <c r="Q354" s="32" t="s">
        <v>2958</v>
      </c>
      <c r="R354" s="58">
        <v>42977.0</v>
      </c>
      <c r="S354" s="32" t="s">
        <v>196</v>
      </c>
      <c r="T354" s="45" t="s">
        <v>1285</v>
      </c>
      <c r="U354" s="45" t="s">
        <v>2959</v>
      </c>
      <c r="V354" s="34" t="s">
        <v>80</v>
      </c>
      <c r="W354" s="32" t="s">
        <v>561</v>
      </c>
      <c r="X354" s="60" t="s">
        <v>1287</v>
      </c>
      <c r="Y354" s="45" t="s">
        <v>1288</v>
      </c>
      <c r="Z354" s="32" t="s">
        <v>112</v>
      </c>
      <c r="AA354" s="32"/>
      <c r="AB354" s="32" t="s">
        <v>113</v>
      </c>
      <c r="AC354" s="60"/>
      <c r="AD354" s="66"/>
      <c r="AE354" s="32"/>
      <c r="AF354" s="180" t="s">
        <v>74</v>
      </c>
      <c r="AG354" s="56" t="s">
        <v>900</v>
      </c>
      <c r="AH354" s="47"/>
      <c r="AI354" s="58"/>
      <c r="AJ354" s="41"/>
      <c r="AK354" s="155">
        <v>41770.0</v>
      </c>
      <c r="AL354" s="56" t="s">
        <v>965</v>
      </c>
    </row>
    <row r="355" ht="22.5" customHeight="1">
      <c r="A355" s="27" t="s">
        <v>2960</v>
      </c>
      <c r="B355" s="63" t="s">
        <v>1251</v>
      </c>
      <c r="C355" s="32" t="s">
        <v>1832</v>
      </c>
      <c r="D355" s="41" t="s">
        <v>75</v>
      </c>
      <c r="E355" s="103" t="s">
        <v>1833</v>
      </c>
      <c r="F355" s="34" t="s">
        <v>93</v>
      </c>
      <c r="G355" s="34" t="s">
        <v>168</v>
      </c>
      <c r="H355" s="58">
        <v>42612.0</v>
      </c>
      <c r="I355" s="58">
        <v>42612.0</v>
      </c>
      <c r="J355" s="58"/>
      <c r="K355" s="32" t="s">
        <v>86</v>
      </c>
      <c r="L355" s="41" t="s">
        <v>115</v>
      </c>
      <c r="M355" s="103" t="s">
        <v>88</v>
      </c>
      <c r="N355" s="38" t="s">
        <v>89</v>
      </c>
      <c r="O355" s="32" t="s">
        <v>954</v>
      </c>
      <c r="P355" s="32" t="s">
        <v>2004</v>
      </c>
      <c r="Q355" s="32" t="s">
        <v>2958</v>
      </c>
      <c r="R355" s="58">
        <v>42977.0</v>
      </c>
      <c r="S355" s="32" t="s">
        <v>116</v>
      </c>
      <c r="T355" s="45" t="s">
        <v>1835</v>
      </c>
      <c r="U355" s="45" t="s">
        <v>2961</v>
      </c>
      <c r="V355" s="34" t="s">
        <v>80</v>
      </c>
      <c r="W355" s="60" t="s">
        <v>1838</v>
      </c>
      <c r="X355" s="60" t="s">
        <v>1839</v>
      </c>
      <c r="Y355" s="109" t="s">
        <v>1841</v>
      </c>
      <c r="Z355" s="32" t="s">
        <v>112</v>
      </c>
      <c r="AA355" s="68"/>
      <c r="AB355" s="123" t="s">
        <v>113</v>
      </c>
      <c r="AC355" s="60"/>
      <c r="AD355" s="66"/>
      <c r="AE355" s="32"/>
      <c r="AF355" s="34" t="s">
        <v>74</v>
      </c>
      <c r="AG355" s="56" t="s">
        <v>1845</v>
      </c>
      <c r="AH355" s="53"/>
      <c r="AI355" s="77"/>
      <c r="AJ355" s="41"/>
      <c r="AK355" s="58">
        <v>41340.0</v>
      </c>
      <c r="AL355" s="56" t="s">
        <v>965</v>
      </c>
    </row>
    <row r="356" ht="22.5" customHeight="1">
      <c r="A356" s="27" t="s">
        <v>2962</v>
      </c>
      <c r="B356" s="63" t="s">
        <v>2963</v>
      </c>
      <c r="C356" s="32" t="s">
        <v>2964</v>
      </c>
      <c r="D356" s="54" t="s">
        <v>75</v>
      </c>
      <c r="E356" s="57" t="s">
        <v>2965</v>
      </c>
      <c r="F356" s="54" t="s">
        <v>140</v>
      </c>
      <c r="G356" s="34" t="s">
        <v>168</v>
      </c>
      <c r="H356" s="58">
        <v>42564.0</v>
      </c>
      <c r="I356" s="58">
        <v>42559.0</v>
      </c>
      <c r="J356" s="58">
        <v>42564.0</v>
      </c>
      <c r="K356" s="32" t="s">
        <v>70</v>
      </c>
      <c r="L356" s="54" t="s">
        <v>115</v>
      </c>
      <c r="M356" s="63" t="s">
        <v>218</v>
      </c>
      <c r="N356" s="32" t="s">
        <v>89</v>
      </c>
      <c r="O356" s="32" t="s">
        <v>989</v>
      </c>
      <c r="P356" s="32"/>
      <c r="Q356" s="32" t="s">
        <v>2966</v>
      </c>
      <c r="R356" s="58">
        <v>43659.0</v>
      </c>
      <c r="S356" s="32" t="s">
        <v>954</v>
      </c>
      <c r="T356" s="45" t="s">
        <v>2967</v>
      </c>
      <c r="U356" s="45" t="s">
        <v>2968</v>
      </c>
      <c r="V356" s="54" t="s">
        <v>80</v>
      </c>
      <c r="W356" s="57" t="s">
        <v>2969</v>
      </c>
      <c r="X356" s="57" t="s">
        <v>2970</v>
      </c>
      <c r="Y356" s="67" t="s">
        <v>2971</v>
      </c>
      <c r="Z356" s="32" t="s">
        <v>112</v>
      </c>
      <c r="AA356" s="47"/>
      <c r="AB356" s="123" t="s">
        <v>113</v>
      </c>
      <c r="AC356" s="60"/>
      <c r="AD356" s="261"/>
      <c r="AE356" s="32"/>
      <c r="AF356" s="54" t="s">
        <v>80</v>
      </c>
      <c r="AG356" s="56" t="s">
        <v>2972</v>
      </c>
      <c r="AH356" s="53"/>
      <c r="AI356" s="77"/>
      <c r="AJ356" s="41"/>
      <c r="AK356" s="83">
        <v>42466.0</v>
      </c>
      <c r="AL356" s="56" t="s">
        <v>1004</v>
      </c>
    </row>
    <row r="357" ht="22.5" customHeight="1">
      <c r="A357" s="27" t="s">
        <v>2973</v>
      </c>
      <c r="B357" s="63" t="s">
        <v>190</v>
      </c>
      <c r="C357" s="149" t="s">
        <v>211</v>
      </c>
      <c r="D357" s="34" t="s">
        <v>752</v>
      </c>
      <c r="E357" s="32" t="s">
        <v>947</v>
      </c>
      <c r="F357" s="34" t="s">
        <v>93</v>
      </c>
      <c r="G357" s="34" t="s">
        <v>168</v>
      </c>
      <c r="H357" s="58">
        <v>42459.0</v>
      </c>
      <c r="I357" s="58">
        <v>42458.0</v>
      </c>
      <c r="J357" s="58">
        <v>42459.0</v>
      </c>
      <c r="K357" s="32" t="s">
        <v>70</v>
      </c>
      <c r="L357" s="41" t="s">
        <v>115</v>
      </c>
      <c r="M357" s="63" t="s">
        <v>218</v>
      </c>
      <c r="N357" s="32" t="s">
        <v>434</v>
      </c>
      <c r="O357" s="32" t="s">
        <v>989</v>
      </c>
      <c r="P357" s="32"/>
      <c r="Q357" s="32" t="s">
        <v>2974</v>
      </c>
      <c r="R357" s="58">
        <v>43554.0</v>
      </c>
      <c r="S357" s="32" t="s">
        <v>116</v>
      </c>
      <c r="T357" s="56" t="s">
        <v>248</v>
      </c>
      <c r="U357" s="45" t="s">
        <v>2975</v>
      </c>
      <c r="V357" s="34" t="s">
        <v>80</v>
      </c>
      <c r="W357" s="32" t="s">
        <v>201</v>
      </c>
      <c r="X357" s="32" t="s">
        <v>202</v>
      </c>
      <c r="Y357" s="45" t="s">
        <v>203</v>
      </c>
      <c r="Z357" s="32" t="s">
        <v>112</v>
      </c>
      <c r="AA357" s="68"/>
      <c r="AB357" s="32" t="s">
        <v>113</v>
      </c>
      <c r="AC357" s="60"/>
      <c r="AD357" s="192"/>
      <c r="AE357" s="32"/>
      <c r="AF357" s="34" t="s">
        <v>80</v>
      </c>
      <c r="AG357" s="56" t="s">
        <v>206</v>
      </c>
      <c r="AH357" s="47"/>
      <c r="AI357" s="58"/>
      <c r="AJ357" s="41"/>
      <c r="AK357" s="58">
        <v>42212.0</v>
      </c>
      <c r="AL357" s="56" t="s">
        <v>1004</v>
      </c>
    </row>
    <row r="358" ht="22.5" customHeight="1">
      <c r="A358" s="27" t="s">
        <v>2976</v>
      </c>
      <c r="B358" s="63" t="s">
        <v>190</v>
      </c>
      <c r="C358" s="149" t="s">
        <v>211</v>
      </c>
      <c r="D358" s="34" t="s">
        <v>752</v>
      </c>
      <c r="E358" s="32" t="s">
        <v>947</v>
      </c>
      <c r="F358" s="34" t="s">
        <v>93</v>
      </c>
      <c r="G358" s="34" t="s">
        <v>168</v>
      </c>
      <c r="H358" s="58">
        <v>42592.0</v>
      </c>
      <c r="I358" s="58">
        <v>42584.0</v>
      </c>
      <c r="J358" s="58">
        <v>42592.0</v>
      </c>
      <c r="K358" s="32" t="s">
        <v>70</v>
      </c>
      <c r="L358" s="41" t="s">
        <v>115</v>
      </c>
      <c r="M358" s="63" t="s">
        <v>218</v>
      </c>
      <c r="N358" s="32" t="s">
        <v>434</v>
      </c>
      <c r="O358" s="32" t="s">
        <v>989</v>
      </c>
      <c r="P358" s="32"/>
      <c r="Q358" s="32" t="s">
        <v>2977</v>
      </c>
      <c r="R358" s="58">
        <v>43687.0</v>
      </c>
      <c r="S358" s="32" t="s">
        <v>116</v>
      </c>
      <c r="T358" s="56" t="s">
        <v>248</v>
      </c>
      <c r="U358" s="45" t="s">
        <v>2978</v>
      </c>
      <c r="V358" s="34" t="s">
        <v>80</v>
      </c>
      <c r="W358" s="32" t="s">
        <v>201</v>
      </c>
      <c r="X358" s="32" t="s">
        <v>202</v>
      </c>
      <c r="Y358" s="45" t="s">
        <v>203</v>
      </c>
      <c r="Z358" s="32" t="s">
        <v>112</v>
      </c>
      <c r="AA358" s="68"/>
      <c r="AB358" s="32" t="s">
        <v>113</v>
      </c>
      <c r="AC358" s="60"/>
      <c r="AD358" s="261"/>
      <c r="AE358" s="32"/>
      <c r="AF358" s="34" t="s">
        <v>80</v>
      </c>
      <c r="AG358" s="56" t="s">
        <v>206</v>
      </c>
      <c r="AH358" s="47"/>
      <c r="AI358" s="58"/>
      <c r="AJ358" s="41"/>
      <c r="AK358" s="58">
        <v>42212.0</v>
      </c>
      <c r="AL358" s="56" t="s">
        <v>1004</v>
      </c>
    </row>
    <row r="359" ht="22.5" customHeight="1">
      <c r="A359" s="27" t="s">
        <v>2979</v>
      </c>
      <c r="B359" s="63" t="s">
        <v>490</v>
      </c>
      <c r="C359" s="32" t="s">
        <v>494</v>
      </c>
      <c r="D359" s="39" t="s">
        <v>91</v>
      </c>
      <c r="E359" s="38" t="s">
        <v>496</v>
      </c>
      <c r="F359" s="41" t="s">
        <v>93</v>
      </c>
      <c r="G359" s="34" t="s">
        <v>168</v>
      </c>
      <c r="H359" s="58">
        <v>42529.0</v>
      </c>
      <c r="I359" s="58">
        <v>42528.0</v>
      </c>
      <c r="J359" s="58">
        <v>42529.0</v>
      </c>
      <c r="K359" s="32" t="s">
        <v>70</v>
      </c>
      <c r="L359" s="34" t="s">
        <v>115</v>
      </c>
      <c r="M359" s="63" t="s">
        <v>218</v>
      </c>
      <c r="N359" s="32" t="s">
        <v>89</v>
      </c>
      <c r="O359" s="32" t="s">
        <v>989</v>
      </c>
      <c r="P359" s="32"/>
      <c r="Q359" s="32" t="s">
        <v>2980</v>
      </c>
      <c r="R359" s="58">
        <v>43634.0</v>
      </c>
      <c r="S359" s="32" t="s">
        <v>116</v>
      </c>
      <c r="T359" s="45" t="s">
        <v>505</v>
      </c>
      <c r="U359" s="45" t="s">
        <v>2981</v>
      </c>
      <c r="V359" s="34" t="s">
        <v>80</v>
      </c>
      <c r="W359" s="60" t="s">
        <v>508</v>
      </c>
      <c r="X359" s="32" t="s">
        <v>511</v>
      </c>
      <c r="Y359" s="45" t="s">
        <v>512</v>
      </c>
      <c r="Z359" s="32" t="s">
        <v>112</v>
      </c>
      <c r="AA359" s="38"/>
      <c r="AB359" s="60" t="s">
        <v>481</v>
      </c>
      <c r="AC359" s="60"/>
      <c r="AD359" s="261"/>
      <c r="AE359" s="32"/>
      <c r="AF359" s="34" t="s">
        <v>80</v>
      </c>
      <c r="AG359" s="56" t="s">
        <v>515</v>
      </c>
      <c r="AH359" s="41"/>
      <c r="AI359" s="41"/>
      <c r="AJ359" s="41"/>
      <c r="AK359" s="132">
        <v>41074.0</v>
      </c>
      <c r="AL359" s="56" t="s">
        <v>1004</v>
      </c>
    </row>
    <row r="360" ht="22.5" customHeight="1">
      <c r="A360" s="27" t="s">
        <v>2982</v>
      </c>
      <c r="B360" s="63" t="s">
        <v>1374</v>
      </c>
      <c r="C360" s="32" t="s">
        <v>1375</v>
      </c>
      <c r="D360" s="39" t="s">
        <v>91</v>
      </c>
      <c r="E360" s="103" t="s">
        <v>1376</v>
      </c>
      <c r="F360" s="41" t="s">
        <v>93</v>
      </c>
      <c r="G360" s="34" t="s">
        <v>168</v>
      </c>
      <c r="H360" s="58">
        <v>42466.0</v>
      </c>
      <c r="I360" s="58">
        <v>42466.0</v>
      </c>
      <c r="J360" s="58">
        <v>42466.0</v>
      </c>
      <c r="K360" s="32" t="s">
        <v>70</v>
      </c>
      <c r="L360" s="41" t="s">
        <v>115</v>
      </c>
      <c r="M360" s="63" t="s">
        <v>218</v>
      </c>
      <c r="N360" s="32" t="s">
        <v>89</v>
      </c>
      <c r="O360" s="32" t="s">
        <v>989</v>
      </c>
      <c r="P360" s="32" t="s">
        <v>2019</v>
      </c>
      <c r="Q360" s="32" t="s">
        <v>2368</v>
      </c>
      <c r="R360" s="58">
        <v>43561.0</v>
      </c>
      <c r="S360" s="32" t="s">
        <v>116</v>
      </c>
      <c r="T360" s="56" t="s">
        <v>1378</v>
      </c>
      <c r="U360" s="45" t="s">
        <v>2983</v>
      </c>
      <c r="V360" s="34" t="s">
        <v>80</v>
      </c>
      <c r="W360" s="172" t="s">
        <v>1380</v>
      </c>
      <c r="X360" s="198" t="s">
        <v>1381</v>
      </c>
      <c r="Y360" s="152" t="s">
        <v>1382</v>
      </c>
      <c r="Z360" s="32" t="s">
        <v>112</v>
      </c>
      <c r="AA360" s="38"/>
      <c r="AB360" s="32" t="s">
        <v>113</v>
      </c>
      <c r="AC360" s="60"/>
      <c r="AD360" s="261"/>
      <c r="AE360" s="32"/>
      <c r="AF360" s="34" t="s">
        <v>80</v>
      </c>
      <c r="AG360" s="56" t="s">
        <v>1384</v>
      </c>
      <c r="AH360" s="41"/>
      <c r="AI360" s="41"/>
      <c r="AJ360" s="41"/>
      <c r="AK360" s="58">
        <v>41869.0</v>
      </c>
      <c r="AL360" s="56" t="s">
        <v>1004</v>
      </c>
    </row>
    <row r="361" ht="22.5" customHeight="1">
      <c r="A361" s="27" t="s">
        <v>2984</v>
      </c>
      <c r="B361" s="63" t="s">
        <v>888</v>
      </c>
      <c r="C361" s="32" t="s">
        <v>1956</v>
      </c>
      <c r="D361" s="41" t="s">
        <v>75</v>
      </c>
      <c r="E361" s="38" t="s">
        <v>1957</v>
      </c>
      <c r="F361" s="34" t="s">
        <v>93</v>
      </c>
      <c r="G361" s="34" t="s">
        <v>168</v>
      </c>
      <c r="H361" s="58">
        <v>42466.0</v>
      </c>
      <c r="I361" s="58">
        <v>42466.0</v>
      </c>
      <c r="J361" s="58">
        <v>42466.0</v>
      </c>
      <c r="K361" s="32" t="s">
        <v>70</v>
      </c>
      <c r="L361" s="41" t="s">
        <v>115</v>
      </c>
      <c r="M361" s="63" t="s">
        <v>218</v>
      </c>
      <c r="N361" s="32" t="s">
        <v>434</v>
      </c>
      <c r="O361" s="32" t="s">
        <v>989</v>
      </c>
      <c r="P361" s="32" t="s">
        <v>2019</v>
      </c>
      <c r="Q361" s="32" t="s">
        <v>2368</v>
      </c>
      <c r="R361" s="58">
        <v>43561.0</v>
      </c>
      <c r="S361" s="32" t="s">
        <v>116</v>
      </c>
      <c r="T361" s="45" t="s">
        <v>1959</v>
      </c>
      <c r="U361" s="45" t="s">
        <v>2985</v>
      </c>
      <c r="V361" s="34" t="s">
        <v>80</v>
      </c>
      <c r="W361" s="60" t="s">
        <v>1961</v>
      </c>
      <c r="X361" s="198" t="s">
        <v>1962</v>
      </c>
      <c r="Y361" s="109" t="s">
        <v>1963</v>
      </c>
      <c r="Z361" s="32" t="s">
        <v>112</v>
      </c>
      <c r="AA361" s="32"/>
      <c r="AB361" s="32" t="s">
        <v>113</v>
      </c>
      <c r="AC361" s="68"/>
      <c r="AD361" s="261"/>
      <c r="AE361" s="32"/>
      <c r="AF361" s="34" t="s">
        <v>80</v>
      </c>
      <c r="AG361" s="56" t="s">
        <v>900</v>
      </c>
      <c r="AH361" s="41"/>
      <c r="AI361" s="41"/>
      <c r="AJ361" s="41"/>
      <c r="AK361" s="155">
        <v>42138.0</v>
      </c>
      <c r="AL361" s="56" t="s">
        <v>1004</v>
      </c>
    </row>
    <row r="362" ht="22.5" customHeight="1">
      <c r="A362" s="27" t="s">
        <v>2986</v>
      </c>
      <c r="B362" s="63" t="s">
        <v>888</v>
      </c>
      <c r="C362" s="32" t="s">
        <v>1281</v>
      </c>
      <c r="D362" s="41" t="s">
        <v>75</v>
      </c>
      <c r="E362" s="38" t="s">
        <v>1282</v>
      </c>
      <c r="F362" s="34" t="s">
        <v>140</v>
      </c>
      <c r="G362" s="34" t="s">
        <v>168</v>
      </c>
      <c r="H362" s="58">
        <v>42564.0</v>
      </c>
      <c r="I362" s="58">
        <v>42559.0</v>
      </c>
      <c r="J362" s="58">
        <v>42564.0</v>
      </c>
      <c r="K362" s="32" t="s">
        <v>70</v>
      </c>
      <c r="L362" s="34" t="s">
        <v>115</v>
      </c>
      <c r="M362" s="32" t="s">
        <v>88</v>
      </c>
      <c r="N362" s="32" t="s">
        <v>89</v>
      </c>
      <c r="O362" s="32" t="s">
        <v>989</v>
      </c>
      <c r="P362" s="32"/>
      <c r="Q362" s="32" t="s">
        <v>2966</v>
      </c>
      <c r="R362" s="58">
        <v>43659.0</v>
      </c>
      <c r="S362" s="32" t="s">
        <v>196</v>
      </c>
      <c r="T362" s="45" t="s">
        <v>1285</v>
      </c>
      <c r="U362" s="45" t="s">
        <v>2987</v>
      </c>
      <c r="V362" s="34" t="s">
        <v>80</v>
      </c>
      <c r="W362" s="32" t="s">
        <v>561</v>
      </c>
      <c r="X362" s="60" t="s">
        <v>1287</v>
      </c>
      <c r="Y362" s="45" t="s">
        <v>1288</v>
      </c>
      <c r="Z362" s="32" t="s">
        <v>112</v>
      </c>
      <c r="AA362" s="32"/>
      <c r="AB362" s="32" t="s">
        <v>113</v>
      </c>
      <c r="AC362" s="60"/>
      <c r="AD362" s="261"/>
      <c r="AE362" s="32"/>
      <c r="AF362" s="180" t="s">
        <v>80</v>
      </c>
      <c r="AG362" s="56" t="s">
        <v>900</v>
      </c>
      <c r="AH362" s="47"/>
      <c r="AI362" s="58"/>
      <c r="AJ362" s="41"/>
      <c r="AK362" s="155">
        <v>41770.0</v>
      </c>
      <c r="AL362" s="56" t="s">
        <v>1004</v>
      </c>
    </row>
    <row r="363" ht="22.5" customHeight="1">
      <c r="A363" s="27" t="s">
        <v>2988</v>
      </c>
      <c r="B363" s="63" t="s">
        <v>2501</v>
      </c>
      <c r="C363" s="32" t="s">
        <v>2502</v>
      </c>
      <c r="D363" s="34" t="s">
        <v>75</v>
      </c>
      <c r="E363" s="32" t="s">
        <v>2503</v>
      </c>
      <c r="F363" s="34" t="s">
        <v>140</v>
      </c>
      <c r="G363" s="34" t="s">
        <v>168</v>
      </c>
      <c r="H363" s="58">
        <v>42535.0</v>
      </c>
      <c r="I363" s="58">
        <v>42535.0</v>
      </c>
      <c r="J363" s="58"/>
      <c r="K363" s="32" t="s">
        <v>70</v>
      </c>
      <c r="L363" s="34" t="s">
        <v>115</v>
      </c>
      <c r="M363" s="32" t="s">
        <v>313</v>
      </c>
      <c r="N363" s="32" t="s">
        <v>89</v>
      </c>
      <c r="O363" s="32" t="s">
        <v>994</v>
      </c>
      <c r="P363" s="32"/>
      <c r="Q363" s="32" t="s">
        <v>2615</v>
      </c>
      <c r="R363" s="58">
        <v>43646.0</v>
      </c>
      <c r="S363" s="32" t="s">
        <v>220</v>
      </c>
      <c r="T363" s="45" t="s">
        <v>2504</v>
      </c>
      <c r="U363" s="45" t="s">
        <v>2989</v>
      </c>
      <c r="V363" s="34" t="s">
        <v>80</v>
      </c>
      <c r="W363" s="32" t="s">
        <v>2506</v>
      </c>
      <c r="X363" s="32" t="s">
        <v>2507</v>
      </c>
      <c r="Y363" s="45" t="s">
        <v>2508</v>
      </c>
      <c r="Z363" s="32" t="s">
        <v>112</v>
      </c>
      <c r="AA363" s="32"/>
      <c r="AB363" s="32" t="s">
        <v>113</v>
      </c>
      <c r="AC363" s="255"/>
      <c r="AD363" s="192"/>
      <c r="AE363" s="32"/>
      <c r="AF363" s="180" t="s">
        <v>80</v>
      </c>
      <c r="AG363" s="56" t="s">
        <v>2510</v>
      </c>
      <c r="AH363" s="47"/>
      <c r="AI363" s="58"/>
      <c r="AJ363" s="41"/>
      <c r="AK363" s="58">
        <v>42485.0</v>
      </c>
      <c r="AL363" s="56" t="s">
        <v>1006</v>
      </c>
    </row>
    <row r="364" ht="22.5" customHeight="1">
      <c r="A364" s="27" t="s">
        <v>2990</v>
      </c>
      <c r="B364" s="149" t="s">
        <v>2561</v>
      </c>
      <c r="C364" s="32" t="s">
        <v>2562</v>
      </c>
      <c r="D364" s="41" t="s">
        <v>75</v>
      </c>
      <c r="E364" s="149" t="s">
        <v>2563</v>
      </c>
      <c r="F364" s="34" t="s">
        <v>93</v>
      </c>
      <c r="G364" s="34" t="s">
        <v>168</v>
      </c>
      <c r="H364" s="58">
        <v>42492.0</v>
      </c>
      <c r="I364" s="58">
        <v>42475.0</v>
      </c>
      <c r="J364" s="58">
        <v>42492.0</v>
      </c>
      <c r="K364" s="32" t="s">
        <v>86</v>
      </c>
      <c r="L364" s="41" t="s">
        <v>115</v>
      </c>
      <c r="M364" s="63" t="s">
        <v>218</v>
      </c>
      <c r="N364" s="38" t="s">
        <v>89</v>
      </c>
      <c r="O364" s="32" t="s">
        <v>954</v>
      </c>
      <c r="P364" s="32" t="s">
        <v>2512</v>
      </c>
      <c r="Q364" s="32" t="s">
        <v>2991</v>
      </c>
      <c r="R364" s="58">
        <v>42854.0</v>
      </c>
      <c r="S364" s="32" t="s">
        <v>116</v>
      </c>
      <c r="T364" s="56" t="s">
        <v>2564</v>
      </c>
      <c r="U364" s="45" t="s">
        <v>2992</v>
      </c>
      <c r="V364" s="34" t="s">
        <v>80</v>
      </c>
      <c r="W364" s="149" t="s">
        <v>2566</v>
      </c>
      <c r="X364" s="149" t="s">
        <v>2567</v>
      </c>
      <c r="Y364" s="152" t="s">
        <v>2568</v>
      </c>
      <c r="Z364" s="32" t="s">
        <v>112</v>
      </c>
      <c r="AA364" s="32"/>
      <c r="AB364" s="32" t="s">
        <v>113</v>
      </c>
      <c r="AC364" s="255"/>
      <c r="AD364" s="261"/>
      <c r="AE364" s="32"/>
      <c r="AF364" s="34" t="s">
        <v>74</v>
      </c>
      <c r="AG364" s="56" t="s">
        <v>2571</v>
      </c>
      <c r="AH364" s="47"/>
      <c r="AI364" s="58"/>
      <c r="AJ364" s="266"/>
      <c r="AK364" s="268">
        <v>42046.0</v>
      </c>
      <c r="AL364" s="56" t="s">
        <v>965</v>
      </c>
    </row>
    <row r="365" ht="22.5" customHeight="1">
      <c r="A365" s="27" t="s">
        <v>2993</v>
      </c>
      <c r="B365" s="63" t="s">
        <v>2924</v>
      </c>
      <c r="C365" s="32" t="s">
        <v>1167</v>
      </c>
      <c r="D365" s="41" t="s">
        <v>75</v>
      </c>
      <c r="E365" s="38" t="s">
        <v>1169</v>
      </c>
      <c r="F365" s="34" t="s">
        <v>93</v>
      </c>
      <c r="G365" s="34" t="s">
        <v>168</v>
      </c>
      <c r="H365" s="58">
        <v>42458.0</v>
      </c>
      <c r="I365" s="58">
        <v>42458.0</v>
      </c>
      <c r="J365" s="58">
        <v>42458.0</v>
      </c>
      <c r="K365" s="32" t="s">
        <v>86</v>
      </c>
      <c r="L365" s="34" t="s">
        <v>115</v>
      </c>
      <c r="M365" s="63" t="s">
        <v>218</v>
      </c>
      <c r="N365" s="38" t="s">
        <v>89</v>
      </c>
      <c r="O365" s="32" t="s">
        <v>2125</v>
      </c>
      <c r="P365" s="32"/>
      <c r="Q365" s="32" t="s">
        <v>2994</v>
      </c>
      <c r="R365" s="58">
        <v>42823.0</v>
      </c>
      <c r="S365" s="32" t="s">
        <v>116</v>
      </c>
      <c r="T365" s="45" t="s">
        <v>1174</v>
      </c>
      <c r="U365" s="45" t="s">
        <v>2995</v>
      </c>
      <c r="V365" s="34" t="s">
        <v>74</v>
      </c>
      <c r="W365" s="60" t="s">
        <v>1180</v>
      </c>
      <c r="X365" s="60" t="s">
        <v>1181</v>
      </c>
      <c r="Y365" s="109" t="s">
        <v>1182</v>
      </c>
      <c r="Z365" s="32" t="s">
        <v>112</v>
      </c>
      <c r="AA365" s="32"/>
      <c r="AB365" s="60" t="s">
        <v>1183</v>
      </c>
      <c r="AC365" s="60"/>
      <c r="AD365" s="261"/>
      <c r="AE365" s="32" t="s">
        <v>2996</v>
      </c>
      <c r="AF365" s="34" t="s">
        <v>74</v>
      </c>
      <c r="AG365" s="56" t="s">
        <v>1187</v>
      </c>
      <c r="AH365" s="41"/>
      <c r="AI365" s="41"/>
      <c r="AJ365" s="41"/>
      <c r="AK365" s="58">
        <v>41451.0</v>
      </c>
      <c r="AL365" s="56" t="s">
        <v>2373</v>
      </c>
    </row>
    <row r="366" ht="22.5" customHeight="1">
      <c r="A366" s="27" t="s">
        <v>2997</v>
      </c>
      <c r="B366" s="63" t="s">
        <v>1693</v>
      </c>
      <c r="C366" s="32" t="s">
        <v>1694</v>
      </c>
      <c r="D366" s="41" t="s">
        <v>75</v>
      </c>
      <c r="E366" s="32" t="s">
        <v>1695</v>
      </c>
      <c r="F366" s="34" t="s">
        <v>140</v>
      </c>
      <c r="G366" s="34" t="s">
        <v>168</v>
      </c>
      <c r="H366" s="58">
        <v>42502.0</v>
      </c>
      <c r="I366" s="58">
        <v>42502.0</v>
      </c>
      <c r="J366" s="58"/>
      <c r="K366" s="32" t="s">
        <v>86</v>
      </c>
      <c r="L366" s="41" t="s">
        <v>115</v>
      </c>
      <c r="M366" s="63" t="s">
        <v>218</v>
      </c>
      <c r="N366" s="38" t="s">
        <v>89</v>
      </c>
      <c r="O366" s="32" t="s">
        <v>954</v>
      </c>
      <c r="P366" s="32" t="s">
        <v>2000</v>
      </c>
      <c r="Q366" s="57" t="s">
        <v>2822</v>
      </c>
      <c r="R366" s="58">
        <v>42866.0</v>
      </c>
      <c r="S366" s="32" t="s">
        <v>1023</v>
      </c>
      <c r="T366" s="203" t="s">
        <v>1696</v>
      </c>
      <c r="U366" s="45" t="s">
        <v>2998</v>
      </c>
      <c r="V366" s="34" t="s">
        <v>80</v>
      </c>
      <c r="W366" s="60" t="s">
        <v>1699</v>
      </c>
      <c r="X366" s="109" t="s">
        <v>1700</v>
      </c>
      <c r="Y366" s="109" t="s">
        <v>1701</v>
      </c>
      <c r="Z366" s="32" t="s">
        <v>112</v>
      </c>
      <c r="AA366" s="32"/>
      <c r="AB366" s="60" t="s">
        <v>389</v>
      </c>
      <c r="AC366" s="60"/>
      <c r="AD366" s="261"/>
      <c r="AE366" s="32" t="s">
        <v>2999</v>
      </c>
      <c r="AF366" s="54" t="s">
        <v>74</v>
      </c>
      <c r="AG366" s="56" t="s">
        <v>1703</v>
      </c>
      <c r="AH366" s="47"/>
      <c r="AI366" s="58"/>
      <c r="AJ366" s="41"/>
      <c r="AK366" s="58">
        <v>42103.0</v>
      </c>
      <c r="AL366" s="56" t="s">
        <v>965</v>
      </c>
    </row>
    <row r="367" ht="22.5" customHeight="1">
      <c r="A367" s="27" t="s">
        <v>3000</v>
      </c>
      <c r="B367" s="63" t="s">
        <v>2924</v>
      </c>
      <c r="C367" s="32" t="s">
        <v>1167</v>
      </c>
      <c r="D367" s="41" t="s">
        <v>75</v>
      </c>
      <c r="E367" s="38" t="s">
        <v>1169</v>
      </c>
      <c r="F367" s="34" t="s">
        <v>93</v>
      </c>
      <c r="G367" s="34" t="s">
        <v>168</v>
      </c>
      <c r="H367" s="58">
        <v>42524.0</v>
      </c>
      <c r="I367" s="58">
        <v>42524.0</v>
      </c>
      <c r="J367" s="58"/>
      <c r="K367" s="32" t="s">
        <v>70</v>
      </c>
      <c r="L367" s="34" t="s">
        <v>115</v>
      </c>
      <c r="M367" s="63" t="s">
        <v>218</v>
      </c>
      <c r="N367" s="38" t="s">
        <v>89</v>
      </c>
      <c r="O367" s="32" t="s">
        <v>994</v>
      </c>
      <c r="P367" s="32"/>
      <c r="Q367" s="57" t="s">
        <v>3001</v>
      </c>
      <c r="R367" s="58"/>
      <c r="S367" s="32" t="s">
        <v>116</v>
      </c>
      <c r="T367" s="45" t="s">
        <v>1174</v>
      </c>
      <c r="U367" s="45" t="s">
        <v>3002</v>
      </c>
      <c r="V367" s="34" t="s">
        <v>80</v>
      </c>
      <c r="W367" s="60" t="s">
        <v>1180</v>
      </c>
      <c r="X367" s="60" t="s">
        <v>1181</v>
      </c>
      <c r="Y367" s="109" t="s">
        <v>1182</v>
      </c>
      <c r="Z367" s="32" t="s">
        <v>112</v>
      </c>
      <c r="AA367" s="32"/>
      <c r="AB367" s="60" t="s">
        <v>1183</v>
      </c>
      <c r="AC367" s="60"/>
      <c r="AD367" s="261"/>
      <c r="AE367" s="32"/>
      <c r="AF367" s="34" t="s">
        <v>80</v>
      </c>
      <c r="AG367" s="56" t="s">
        <v>1187</v>
      </c>
      <c r="AH367" s="41"/>
      <c r="AI367" s="41"/>
      <c r="AJ367" s="41"/>
      <c r="AK367" s="58">
        <v>41451.0</v>
      </c>
      <c r="AL367" s="56" t="s">
        <v>1006</v>
      </c>
    </row>
    <row r="368" ht="22.5" customHeight="1">
      <c r="A368" s="27" t="s">
        <v>3003</v>
      </c>
      <c r="B368" s="63" t="s">
        <v>1251</v>
      </c>
      <c r="C368" s="32" t="s">
        <v>1832</v>
      </c>
      <c r="D368" s="41" t="s">
        <v>75</v>
      </c>
      <c r="E368" s="103" t="s">
        <v>1833</v>
      </c>
      <c r="F368" s="34" t="s">
        <v>93</v>
      </c>
      <c r="G368" s="34" t="s">
        <v>168</v>
      </c>
      <c r="H368" s="58">
        <v>42607.0</v>
      </c>
      <c r="I368" s="58">
        <v>42607.0</v>
      </c>
      <c r="J368" s="58"/>
      <c r="K368" s="32" t="s">
        <v>70</v>
      </c>
      <c r="L368" s="41" t="s">
        <v>115</v>
      </c>
      <c r="M368" s="103" t="s">
        <v>88</v>
      </c>
      <c r="N368" s="38" t="s">
        <v>89</v>
      </c>
      <c r="O368" s="32" t="s">
        <v>1510</v>
      </c>
      <c r="P368" s="32"/>
      <c r="Q368" s="57" t="s">
        <v>3004</v>
      </c>
      <c r="R368" s="58"/>
      <c r="S368" s="32" t="s">
        <v>116</v>
      </c>
      <c r="T368" s="45" t="s">
        <v>1835</v>
      </c>
      <c r="U368" s="45" t="s">
        <v>3005</v>
      </c>
      <c r="V368" s="34" t="s">
        <v>74</v>
      </c>
      <c r="W368" s="60" t="s">
        <v>1838</v>
      </c>
      <c r="X368" s="60" t="s">
        <v>1839</v>
      </c>
      <c r="Y368" s="109" t="s">
        <v>1841</v>
      </c>
      <c r="Z368" s="32" t="s">
        <v>112</v>
      </c>
      <c r="AA368" s="68"/>
      <c r="AB368" s="123" t="s">
        <v>113</v>
      </c>
      <c r="AC368" s="60"/>
      <c r="AD368" s="261"/>
      <c r="AE368" s="32"/>
      <c r="AF368" s="34" t="s">
        <v>80</v>
      </c>
      <c r="AG368" s="56" t="s">
        <v>1845</v>
      </c>
      <c r="AH368" s="53"/>
      <c r="AI368" s="77"/>
      <c r="AJ368" s="41"/>
      <c r="AK368" s="58">
        <v>41340.0</v>
      </c>
      <c r="AL368" s="56" t="s">
        <v>3006</v>
      </c>
    </row>
    <row r="369" ht="22.5" customHeight="1">
      <c r="A369" s="27" t="s">
        <v>3007</v>
      </c>
      <c r="B369" s="63" t="s">
        <v>888</v>
      </c>
      <c r="C369" s="32" t="s">
        <v>1281</v>
      </c>
      <c r="D369" s="41" t="s">
        <v>75</v>
      </c>
      <c r="E369" s="38" t="s">
        <v>1282</v>
      </c>
      <c r="F369" s="34" t="s">
        <v>140</v>
      </c>
      <c r="G369" s="34" t="s">
        <v>168</v>
      </c>
      <c r="H369" s="58">
        <v>42550.0</v>
      </c>
      <c r="I369" s="58">
        <v>42550.0</v>
      </c>
      <c r="J369" s="58"/>
      <c r="K369" s="32" t="s">
        <v>70</v>
      </c>
      <c r="L369" s="34" t="s">
        <v>115</v>
      </c>
      <c r="M369" s="32" t="s">
        <v>88</v>
      </c>
      <c r="N369" s="32" t="s">
        <v>89</v>
      </c>
      <c r="O369" s="32" t="s">
        <v>327</v>
      </c>
      <c r="P369" s="32"/>
      <c r="Q369" s="57" t="s">
        <v>3008</v>
      </c>
      <c r="R369" s="58">
        <v>43645.0</v>
      </c>
      <c r="S369" s="32" t="s">
        <v>196</v>
      </c>
      <c r="T369" s="45" t="s">
        <v>1285</v>
      </c>
      <c r="U369" s="45" t="s">
        <v>3009</v>
      </c>
      <c r="V369" s="34" t="s">
        <v>80</v>
      </c>
      <c r="W369" s="32" t="s">
        <v>561</v>
      </c>
      <c r="X369" s="60" t="s">
        <v>1287</v>
      </c>
      <c r="Y369" s="45" t="s">
        <v>1288</v>
      </c>
      <c r="Z369" s="32" t="s">
        <v>112</v>
      </c>
      <c r="AA369" s="32"/>
      <c r="AB369" s="32" t="s">
        <v>113</v>
      </c>
      <c r="AC369" s="60"/>
      <c r="AD369" s="261"/>
      <c r="AE369" s="32"/>
      <c r="AF369" s="180" t="s">
        <v>80</v>
      </c>
      <c r="AG369" s="56" t="s">
        <v>900</v>
      </c>
      <c r="AH369" s="47"/>
      <c r="AI369" s="58"/>
      <c r="AJ369" s="41"/>
      <c r="AK369" s="155">
        <v>41770.0</v>
      </c>
      <c r="AL369" s="56" t="s">
        <v>375</v>
      </c>
    </row>
    <row r="370" ht="22.5" customHeight="1">
      <c r="A370" s="27" t="s">
        <v>3010</v>
      </c>
      <c r="B370" s="63" t="s">
        <v>1321</v>
      </c>
      <c r="C370" s="32" t="s">
        <v>1322</v>
      </c>
      <c r="D370" s="34" t="s">
        <v>845</v>
      </c>
      <c r="E370" s="38" t="s">
        <v>1323</v>
      </c>
      <c r="F370" s="34" t="s">
        <v>140</v>
      </c>
      <c r="G370" s="34" t="s">
        <v>168</v>
      </c>
      <c r="H370" s="58">
        <v>42415.0</v>
      </c>
      <c r="I370" s="58">
        <v>42415.0</v>
      </c>
      <c r="J370" s="58"/>
      <c r="K370" s="32" t="s">
        <v>70</v>
      </c>
      <c r="L370" s="34" t="s">
        <v>115</v>
      </c>
      <c r="M370" s="42" t="s">
        <v>88</v>
      </c>
      <c r="N370" s="32" t="s">
        <v>89</v>
      </c>
      <c r="O370" s="32" t="s">
        <v>1012</v>
      </c>
      <c r="P370" s="32"/>
      <c r="Q370" s="57" t="s">
        <v>3011</v>
      </c>
      <c r="R370" s="58"/>
      <c r="S370" s="32" t="s">
        <v>196</v>
      </c>
      <c r="T370" s="45" t="s">
        <v>1324</v>
      </c>
      <c r="U370" s="45" t="s">
        <v>3012</v>
      </c>
      <c r="V370" s="34" t="s">
        <v>80</v>
      </c>
      <c r="W370" s="32" t="s">
        <v>561</v>
      </c>
      <c r="X370" s="32" t="s">
        <v>1326</v>
      </c>
      <c r="Y370" s="109" t="s">
        <v>1327</v>
      </c>
      <c r="Z370" s="32" t="s">
        <v>112</v>
      </c>
      <c r="AA370" s="32"/>
      <c r="AB370" s="32" t="s">
        <v>113</v>
      </c>
      <c r="AC370" s="60"/>
      <c r="AD370" s="261"/>
      <c r="AE370" s="32"/>
      <c r="AF370" s="34" t="s">
        <v>80</v>
      </c>
      <c r="AG370" s="56" t="s">
        <v>1329</v>
      </c>
      <c r="AH370" s="47"/>
      <c r="AI370" s="58"/>
      <c r="AJ370" s="41"/>
      <c r="AK370" s="58">
        <v>41619.0</v>
      </c>
      <c r="AL370" s="56" t="s">
        <v>1021</v>
      </c>
    </row>
    <row r="371" ht="22.5" customHeight="1">
      <c r="A371" s="27" t="s">
        <v>3013</v>
      </c>
      <c r="B371" s="63" t="s">
        <v>69</v>
      </c>
      <c r="C371" s="32" t="s">
        <v>90</v>
      </c>
      <c r="D371" s="39" t="s">
        <v>91</v>
      </c>
      <c r="E371" s="38" t="s">
        <v>92</v>
      </c>
      <c r="F371" s="34" t="s">
        <v>93</v>
      </c>
      <c r="G371" s="34" t="s">
        <v>168</v>
      </c>
      <c r="H371" s="58">
        <v>42415.0</v>
      </c>
      <c r="I371" s="58">
        <v>42415.0</v>
      </c>
      <c r="J371" s="58"/>
      <c r="K371" s="32" t="s">
        <v>70</v>
      </c>
      <c r="L371" s="34" t="s">
        <v>115</v>
      </c>
      <c r="M371" s="121" t="s">
        <v>88</v>
      </c>
      <c r="N371" s="32" t="s">
        <v>89</v>
      </c>
      <c r="O371" s="32" t="s">
        <v>1012</v>
      </c>
      <c r="P371" s="32"/>
      <c r="Q371" s="57" t="s">
        <v>3011</v>
      </c>
      <c r="R371" s="58"/>
      <c r="S371" s="32" t="s">
        <v>116</v>
      </c>
      <c r="T371" s="45" t="s">
        <v>118</v>
      </c>
      <c r="U371" s="45" t="s">
        <v>3014</v>
      </c>
      <c r="V371" s="34" t="s">
        <v>80</v>
      </c>
      <c r="W371" s="60" t="s">
        <v>122</v>
      </c>
      <c r="X371" s="60" t="s">
        <v>130</v>
      </c>
      <c r="Y371" s="45" t="s">
        <v>131</v>
      </c>
      <c r="Z371" s="32" t="s">
        <v>112</v>
      </c>
      <c r="AA371" s="47"/>
      <c r="AB371" s="60" t="s">
        <v>113</v>
      </c>
      <c r="AC371" s="60"/>
      <c r="AD371" s="261"/>
      <c r="AE371" s="32"/>
      <c r="AF371" s="34" t="s">
        <v>80</v>
      </c>
      <c r="AG371" s="56" t="s">
        <v>159</v>
      </c>
      <c r="AH371" s="47"/>
      <c r="AI371" s="58"/>
      <c r="AJ371" s="41"/>
      <c r="AK371" s="58">
        <v>41100.0</v>
      </c>
      <c r="AL371" s="56" t="s">
        <v>1021</v>
      </c>
    </row>
    <row r="372" ht="22.5" customHeight="1">
      <c r="A372" s="27" t="s">
        <v>3015</v>
      </c>
      <c r="B372" s="63" t="s">
        <v>1251</v>
      </c>
      <c r="C372" s="32" t="s">
        <v>1252</v>
      </c>
      <c r="D372" s="41" t="s">
        <v>91</v>
      </c>
      <c r="E372" s="38" t="s">
        <v>1253</v>
      </c>
      <c r="F372" s="34" t="s">
        <v>93</v>
      </c>
      <c r="G372" s="34" t="s">
        <v>168</v>
      </c>
      <c r="H372" s="58">
        <v>42560.0</v>
      </c>
      <c r="I372" s="58"/>
      <c r="J372" s="58">
        <v>42560.0</v>
      </c>
      <c r="K372" s="32" t="s">
        <v>86</v>
      </c>
      <c r="L372" s="34" t="s">
        <v>115</v>
      </c>
      <c r="M372" s="63" t="s">
        <v>218</v>
      </c>
      <c r="N372" s="32" t="s">
        <v>89</v>
      </c>
      <c r="O372" s="32" t="s">
        <v>142</v>
      </c>
      <c r="P372" s="32" t="s">
        <v>3016</v>
      </c>
      <c r="Q372" s="57" t="s">
        <v>3017</v>
      </c>
      <c r="R372" s="58">
        <v>42925.0</v>
      </c>
      <c r="S372" s="32" t="s">
        <v>116</v>
      </c>
      <c r="T372" s="45" t="s">
        <v>1256</v>
      </c>
      <c r="U372" s="45" t="s">
        <v>3018</v>
      </c>
      <c r="V372" s="34" t="s">
        <v>80</v>
      </c>
      <c r="W372" s="60" t="s">
        <v>1261</v>
      </c>
      <c r="X372" s="32" t="s">
        <v>1262</v>
      </c>
      <c r="Y372" s="109" t="s">
        <v>1263</v>
      </c>
      <c r="Z372" s="32" t="s">
        <v>112</v>
      </c>
      <c r="AA372" s="47"/>
      <c r="AB372" s="32" t="s">
        <v>113</v>
      </c>
      <c r="AC372" s="60"/>
      <c r="AD372" s="261"/>
      <c r="AE372" s="32"/>
      <c r="AF372" s="180" t="s">
        <v>74</v>
      </c>
      <c r="AG372" s="56" t="s">
        <v>1269</v>
      </c>
      <c r="AH372" s="47"/>
      <c r="AI372" s="58"/>
      <c r="AJ372" s="41"/>
      <c r="AK372" s="58">
        <v>41162.0</v>
      </c>
      <c r="AL372" s="56" t="s">
        <v>262</v>
      </c>
    </row>
    <row r="373" ht="22.5" customHeight="1">
      <c r="A373" s="27" t="s">
        <v>3019</v>
      </c>
      <c r="B373" s="63" t="s">
        <v>901</v>
      </c>
      <c r="C373" s="32" t="s">
        <v>1995</v>
      </c>
      <c r="D373" s="41" t="s">
        <v>75</v>
      </c>
      <c r="E373" s="38" t="s">
        <v>1996</v>
      </c>
      <c r="F373" s="34" t="s">
        <v>93</v>
      </c>
      <c r="G373" s="34" t="s">
        <v>168</v>
      </c>
      <c r="H373" s="58">
        <v>42634.0</v>
      </c>
      <c r="I373" s="58"/>
      <c r="J373" s="58">
        <v>42634.0</v>
      </c>
      <c r="K373" s="32" t="s">
        <v>70</v>
      </c>
      <c r="L373" s="41" t="s">
        <v>115</v>
      </c>
      <c r="M373" s="63" t="s">
        <v>218</v>
      </c>
      <c r="N373" s="38" t="s">
        <v>89</v>
      </c>
      <c r="O373" s="32" t="s">
        <v>175</v>
      </c>
      <c r="P373" s="32" t="s">
        <v>876</v>
      </c>
      <c r="Q373" s="57" t="s">
        <v>2337</v>
      </c>
      <c r="R373" s="58"/>
      <c r="S373" s="32" t="s">
        <v>116</v>
      </c>
      <c r="T373" s="45" t="s">
        <v>1318</v>
      </c>
      <c r="U373" s="45" t="s">
        <v>3020</v>
      </c>
      <c r="V373" s="34" t="s">
        <v>80</v>
      </c>
      <c r="W373" s="60" t="s">
        <v>904</v>
      </c>
      <c r="X373" s="60" t="s">
        <v>905</v>
      </c>
      <c r="Y373" s="109" t="s">
        <v>1999</v>
      </c>
      <c r="Z373" s="32" t="s">
        <v>112</v>
      </c>
      <c r="AA373" s="68"/>
      <c r="AB373" s="123" t="s">
        <v>113</v>
      </c>
      <c r="AC373" s="60"/>
      <c r="AD373" s="273"/>
      <c r="AE373" s="32"/>
      <c r="AF373" s="34" t="s">
        <v>80</v>
      </c>
      <c r="AG373" s="56" t="s">
        <v>911</v>
      </c>
      <c r="AH373" s="41"/>
      <c r="AI373" s="41"/>
      <c r="AJ373" s="41"/>
      <c r="AK373" s="58">
        <v>41530.0</v>
      </c>
      <c r="AL373" s="56" t="s">
        <v>188</v>
      </c>
    </row>
    <row r="374" ht="22.5" customHeight="1">
      <c r="A374" s="27" t="s">
        <v>3021</v>
      </c>
      <c r="B374" s="63" t="s">
        <v>3022</v>
      </c>
      <c r="C374" s="32" t="s">
        <v>3023</v>
      </c>
      <c r="D374" s="54" t="s">
        <v>75</v>
      </c>
      <c r="E374" s="57" t="s">
        <v>3024</v>
      </c>
      <c r="F374" s="54" t="s">
        <v>140</v>
      </c>
      <c r="G374" s="34" t="s">
        <v>168</v>
      </c>
      <c r="H374" s="58">
        <v>42627.0</v>
      </c>
      <c r="I374" s="58"/>
      <c r="J374" s="58">
        <v>42627.0</v>
      </c>
      <c r="K374" s="32" t="s">
        <v>70</v>
      </c>
      <c r="L374" s="54" t="s">
        <v>115</v>
      </c>
      <c r="M374" s="63" t="s">
        <v>88</v>
      </c>
      <c r="N374" s="32" t="s">
        <v>89</v>
      </c>
      <c r="O374" s="32" t="s">
        <v>327</v>
      </c>
      <c r="P374" s="32"/>
      <c r="Q374" s="57" t="s">
        <v>3008</v>
      </c>
      <c r="R374" s="58"/>
      <c r="S374" s="32" t="s">
        <v>1570</v>
      </c>
      <c r="T374" s="45" t="s">
        <v>3025</v>
      </c>
      <c r="U374" s="45" t="s">
        <v>3026</v>
      </c>
      <c r="V374" s="34" t="s">
        <v>80</v>
      </c>
      <c r="W374" s="57" t="s">
        <v>3027</v>
      </c>
      <c r="X374" s="57" t="s">
        <v>3028</v>
      </c>
      <c r="Y374" s="67" t="s">
        <v>3029</v>
      </c>
      <c r="Z374" s="32" t="s">
        <v>112</v>
      </c>
      <c r="AA374" s="47"/>
      <c r="AB374" s="123" t="s">
        <v>113</v>
      </c>
      <c r="AC374" s="60"/>
      <c r="AD374" s="261"/>
      <c r="AE374" s="32"/>
      <c r="AF374" s="54" t="s">
        <v>80</v>
      </c>
      <c r="AG374" s="56" t="s">
        <v>3030</v>
      </c>
      <c r="AH374" s="41"/>
      <c r="AI374" s="41"/>
      <c r="AJ374" s="77"/>
      <c r="AK374" s="83">
        <v>42065.0</v>
      </c>
      <c r="AL374" s="56" t="s">
        <v>375</v>
      </c>
    </row>
    <row r="375" ht="22.5" customHeight="1">
      <c r="A375" s="27" t="s">
        <v>3031</v>
      </c>
      <c r="B375" s="63" t="s">
        <v>1321</v>
      </c>
      <c r="C375" s="32" t="s">
        <v>1322</v>
      </c>
      <c r="D375" s="34" t="s">
        <v>845</v>
      </c>
      <c r="E375" s="38" t="s">
        <v>1323</v>
      </c>
      <c r="F375" s="34" t="s">
        <v>140</v>
      </c>
      <c r="G375" s="34" t="s">
        <v>168</v>
      </c>
      <c r="H375" s="58">
        <v>42636.0</v>
      </c>
      <c r="I375" s="58">
        <v>42634.0</v>
      </c>
      <c r="J375" s="58">
        <v>42636.0</v>
      </c>
      <c r="K375" s="32" t="s">
        <v>70</v>
      </c>
      <c r="L375" s="34" t="s">
        <v>115</v>
      </c>
      <c r="M375" s="42" t="s">
        <v>88</v>
      </c>
      <c r="N375" s="32" t="s">
        <v>89</v>
      </c>
      <c r="O375" s="32" t="s">
        <v>2388</v>
      </c>
      <c r="P375" s="32"/>
      <c r="Q375" s="57" t="s">
        <v>2389</v>
      </c>
      <c r="R375" s="58"/>
      <c r="S375" s="32" t="s">
        <v>196</v>
      </c>
      <c r="T375" s="45" t="s">
        <v>1324</v>
      </c>
      <c r="U375" s="45" t="s">
        <v>3032</v>
      </c>
      <c r="V375" s="34" t="s">
        <v>74</v>
      </c>
      <c r="W375" s="32" t="s">
        <v>561</v>
      </c>
      <c r="X375" s="32" t="s">
        <v>1326</v>
      </c>
      <c r="Y375" s="109" t="s">
        <v>1327</v>
      </c>
      <c r="Z375" s="32" t="s">
        <v>112</v>
      </c>
      <c r="AA375" s="32"/>
      <c r="AB375" s="32" t="s">
        <v>113</v>
      </c>
      <c r="AC375" s="60"/>
      <c r="AD375" s="261"/>
      <c r="AE375" s="32"/>
      <c r="AF375" s="34" t="s">
        <v>80</v>
      </c>
      <c r="AG375" s="56" t="s">
        <v>1329</v>
      </c>
      <c r="AH375" s="47"/>
      <c r="AI375" s="58"/>
      <c r="AJ375" s="41"/>
      <c r="AK375" s="58">
        <v>41619.0</v>
      </c>
      <c r="AL375" s="56" t="s">
        <v>2391</v>
      </c>
    </row>
    <row r="376" ht="22.5" customHeight="1">
      <c r="A376" s="27" t="s">
        <v>3033</v>
      </c>
      <c r="B376" s="63" t="s">
        <v>983</v>
      </c>
      <c r="C376" s="63" t="s">
        <v>2175</v>
      </c>
      <c r="D376" s="41" t="s">
        <v>75</v>
      </c>
      <c r="E376" s="259" t="s">
        <v>2177</v>
      </c>
      <c r="F376" s="39" t="s">
        <v>140</v>
      </c>
      <c r="G376" s="34" t="s">
        <v>168</v>
      </c>
      <c r="H376" s="58">
        <v>42291.0</v>
      </c>
      <c r="I376" s="58">
        <v>42291.0</v>
      </c>
      <c r="J376" s="58"/>
      <c r="K376" s="32" t="s">
        <v>70</v>
      </c>
      <c r="L376" s="34" t="s">
        <v>115</v>
      </c>
      <c r="M376" s="63" t="s">
        <v>383</v>
      </c>
      <c r="N376" s="38" t="s">
        <v>89</v>
      </c>
      <c r="O376" s="121" t="s">
        <v>850</v>
      </c>
      <c r="P376" s="32" t="s">
        <v>3034</v>
      </c>
      <c r="Q376" s="57" t="s">
        <v>3035</v>
      </c>
      <c r="R376" s="58"/>
      <c r="S376" s="121" t="s">
        <v>850</v>
      </c>
      <c r="T376" s="56" t="s">
        <v>2184</v>
      </c>
      <c r="U376" s="45" t="s">
        <v>3036</v>
      </c>
      <c r="V376" s="34" t="s">
        <v>80</v>
      </c>
      <c r="W376" s="63" t="s">
        <v>2188</v>
      </c>
      <c r="X376" s="63" t="s">
        <v>2189</v>
      </c>
      <c r="Y376" s="56" t="s">
        <v>2190</v>
      </c>
      <c r="Z376" s="32" t="s">
        <v>112</v>
      </c>
      <c r="AA376" s="32"/>
      <c r="AB376" s="60" t="s">
        <v>66</v>
      </c>
      <c r="AC376" s="60"/>
      <c r="AD376" s="136"/>
      <c r="AE376" s="32"/>
      <c r="AF376" s="34" t="s">
        <v>80</v>
      </c>
      <c r="AG376" s="56" t="s">
        <v>2195</v>
      </c>
      <c r="AH376" s="34"/>
      <c r="AI376" s="41"/>
      <c r="AJ376" s="41"/>
      <c r="AK376" s="132">
        <v>42278.0</v>
      </c>
      <c r="AL376" s="56" t="s">
        <v>870</v>
      </c>
    </row>
    <row r="377" ht="22.5" customHeight="1">
      <c r="A377" s="27" t="s">
        <v>3037</v>
      </c>
      <c r="B377" s="63" t="s">
        <v>1856</v>
      </c>
      <c r="C377" s="32" t="s">
        <v>1857</v>
      </c>
      <c r="D377" s="41" t="s">
        <v>91</v>
      </c>
      <c r="E377" s="103" t="s">
        <v>1858</v>
      </c>
      <c r="F377" s="34" t="s">
        <v>93</v>
      </c>
      <c r="G377" s="34" t="s">
        <v>168</v>
      </c>
      <c r="H377" s="58">
        <v>42398.0</v>
      </c>
      <c r="I377" s="58">
        <v>42398.0</v>
      </c>
      <c r="J377" s="58">
        <v>42398.0</v>
      </c>
      <c r="K377" s="32" t="s">
        <v>70</v>
      </c>
      <c r="L377" s="41" t="s">
        <v>115</v>
      </c>
      <c r="M377" s="60" t="s">
        <v>313</v>
      </c>
      <c r="N377" s="38" t="s">
        <v>89</v>
      </c>
      <c r="O377" s="32" t="s">
        <v>196</v>
      </c>
      <c r="P377" s="32" t="s">
        <v>1569</v>
      </c>
      <c r="Q377" s="57" t="s">
        <v>1726</v>
      </c>
      <c r="R377" s="58">
        <v>43494.0</v>
      </c>
      <c r="S377" s="32" t="s">
        <v>116</v>
      </c>
      <c r="T377" s="203" t="s">
        <v>1862</v>
      </c>
      <c r="U377" s="45" t="s">
        <v>3038</v>
      </c>
      <c r="V377" s="34" t="s">
        <v>80</v>
      </c>
      <c r="W377" s="60" t="s">
        <v>1866</v>
      </c>
      <c r="X377" s="60" t="s">
        <v>1868</v>
      </c>
      <c r="Y377" s="109" t="s">
        <v>1869</v>
      </c>
      <c r="Z377" s="32" t="s">
        <v>112</v>
      </c>
      <c r="AA377" s="32"/>
      <c r="AB377" s="60" t="s">
        <v>113</v>
      </c>
      <c r="AC377" s="60"/>
      <c r="AD377" s="136"/>
      <c r="AE377" s="32"/>
      <c r="AF377" s="34" t="s">
        <v>80</v>
      </c>
      <c r="AG377" s="56" t="s">
        <v>1872</v>
      </c>
      <c r="AH377" s="34"/>
      <c r="AI377" s="41"/>
      <c r="AJ377" s="41"/>
      <c r="AK377" s="58">
        <v>41703.0</v>
      </c>
      <c r="AL377" s="56" t="s">
        <v>208</v>
      </c>
    </row>
    <row r="378" ht="22.5" customHeight="1">
      <c r="A378" s="27" t="s">
        <v>3039</v>
      </c>
      <c r="B378" s="63" t="s">
        <v>1321</v>
      </c>
      <c r="C378" s="32" t="s">
        <v>1322</v>
      </c>
      <c r="D378" s="34" t="s">
        <v>845</v>
      </c>
      <c r="E378" s="38" t="s">
        <v>1323</v>
      </c>
      <c r="F378" s="34" t="s">
        <v>140</v>
      </c>
      <c r="G378" s="34" t="s">
        <v>168</v>
      </c>
      <c r="H378" s="58">
        <v>42290.0</v>
      </c>
      <c r="I378" s="58">
        <v>42290.0</v>
      </c>
      <c r="J378" s="58"/>
      <c r="K378" s="32" t="s">
        <v>70</v>
      </c>
      <c r="L378" s="34" t="s">
        <v>115</v>
      </c>
      <c r="M378" s="42" t="s">
        <v>88</v>
      </c>
      <c r="N378" s="32" t="s">
        <v>89</v>
      </c>
      <c r="O378" s="32" t="s">
        <v>1513</v>
      </c>
      <c r="P378" s="32"/>
      <c r="Q378" s="57" t="s">
        <v>2618</v>
      </c>
      <c r="R378" s="58"/>
      <c r="S378" s="32" t="s">
        <v>196</v>
      </c>
      <c r="T378" s="45" t="s">
        <v>1324</v>
      </c>
      <c r="U378" s="45" t="s">
        <v>3040</v>
      </c>
      <c r="V378" s="34" t="s">
        <v>74</v>
      </c>
      <c r="W378" s="60" t="s">
        <v>561</v>
      </c>
      <c r="X378" s="32" t="s">
        <v>1326</v>
      </c>
      <c r="Y378" s="109" t="s">
        <v>1327</v>
      </c>
      <c r="Z378" s="32" t="s">
        <v>112</v>
      </c>
      <c r="AA378" s="32"/>
      <c r="AB378" s="32" t="s">
        <v>113</v>
      </c>
      <c r="AC378" s="60"/>
      <c r="AD378" s="136"/>
      <c r="AE378" s="32"/>
      <c r="AF378" s="34" t="s">
        <v>80</v>
      </c>
      <c r="AG378" s="56" t="s">
        <v>1329</v>
      </c>
      <c r="AH378" s="47"/>
      <c r="AI378" s="58"/>
      <c r="AJ378" s="41"/>
      <c r="AK378" s="58">
        <v>41619.0</v>
      </c>
      <c r="AL378" s="56" t="s">
        <v>2423</v>
      </c>
    </row>
    <row r="379" ht="22.5" customHeight="1">
      <c r="A379" s="27" t="s">
        <v>3041</v>
      </c>
      <c r="B379" s="63" t="s">
        <v>69</v>
      </c>
      <c r="C379" s="32" t="s">
        <v>90</v>
      </c>
      <c r="D379" s="39" t="s">
        <v>91</v>
      </c>
      <c r="E379" s="38" t="s">
        <v>92</v>
      </c>
      <c r="F379" s="34" t="s">
        <v>93</v>
      </c>
      <c r="G379" s="34" t="s">
        <v>168</v>
      </c>
      <c r="H379" s="58">
        <v>42564.0</v>
      </c>
      <c r="I379" s="58">
        <v>42559.0</v>
      </c>
      <c r="J379" s="58">
        <v>42564.0</v>
      </c>
      <c r="K379" s="32" t="s">
        <v>70</v>
      </c>
      <c r="L379" s="34" t="s">
        <v>115</v>
      </c>
      <c r="M379" s="121" t="s">
        <v>88</v>
      </c>
      <c r="N379" s="32" t="s">
        <v>89</v>
      </c>
      <c r="O379" s="32" t="s">
        <v>989</v>
      </c>
      <c r="P379" s="32"/>
      <c r="Q379" s="57" t="s">
        <v>2966</v>
      </c>
      <c r="R379" s="58">
        <v>43659.0</v>
      </c>
      <c r="S379" s="32" t="s">
        <v>116</v>
      </c>
      <c r="T379" s="45" t="s">
        <v>118</v>
      </c>
      <c r="U379" s="45" t="s">
        <v>3042</v>
      </c>
      <c r="V379" s="34" t="s">
        <v>80</v>
      </c>
      <c r="W379" s="60" t="s">
        <v>122</v>
      </c>
      <c r="X379" s="60" t="s">
        <v>130</v>
      </c>
      <c r="Y379" s="45" t="s">
        <v>131</v>
      </c>
      <c r="Z379" s="32" t="s">
        <v>112</v>
      </c>
      <c r="AA379" s="47"/>
      <c r="AB379" s="60" t="s">
        <v>113</v>
      </c>
      <c r="AC379" s="60"/>
      <c r="AD379" s="136"/>
      <c r="AE379" s="32"/>
      <c r="AF379" s="34" t="s">
        <v>80</v>
      </c>
      <c r="AG379" s="56" t="s">
        <v>159</v>
      </c>
      <c r="AH379" s="47"/>
      <c r="AI379" s="58"/>
      <c r="AJ379" s="41"/>
      <c r="AK379" s="58">
        <v>41100.0</v>
      </c>
      <c r="AL379" s="56" t="s">
        <v>1004</v>
      </c>
    </row>
    <row r="380" ht="22.5" customHeight="1">
      <c r="A380" s="27" t="s">
        <v>3043</v>
      </c>
      <c r="B380" s="63" t="s">
        <v>190</v>
      </c>
      <c r="C380" s="32" t="s">
        <v>3044</v>
      </c>
      <c r="D380" s="34" t="s">
        <v>752</v>
      </c>
      <c r="E380" s="38" t="s">
        <v>193</v>
      </c>
      <c r="F380" s="54" t="s">
        <v>93</v>
      </c>
      <c r="G380" s="34" t="s">
        <v>168</v>
      </c>
      <c r="H380" s="58">
        <v>42577.0</v>
      </c>
      <c r="I380" s="58">
        <v>42576.0</v>
      </c>
      <c r="J380" s="58">
        <v>42577.0</v>
      </c>
      <c r="K380" s="32" t="s">
        <v>70</v>
      </c>
      <c r="L380" s="41" t="s">
        <v>115</v>
      </c>
      <c r="M380" s="63" t="s">
        <v>88</v>
      </c>
      <c r="N380" s="38" t="s">
        <v>89</v>
      </c>
      <c r="O380" s="32" t="s">
        <v>989</v>
      </c>
      <c r="P380" s="32"/>
      <c r="Q380" s="57" t="s">
        <v>3045</v>
      </c>
      <c r="R380" s="58"/>
      <c r="S380" s="57" t="s">
        <v>116</v>
      </c>
      <c r="T380" s="56" t="s">
        <v>198</v>
      </c>
      <c r="U380" s="45" t="s">
        <v>3046</v>
      </c>
      <c r="V380" s="34" t="s">
        <v>80</v>
      </c>
      <c r="W380" s="32" t="s">
        <v>201</v>
      </c>
      <c r="X380" s="32" t="s">
        <v>202</v>
      </c>
      <c r="Y380" s="45" t="s">
        <v>203</v>
      </c>
      <c r="Z380" s="32" t="s">
        <v>112</v>
      </c>
      <c r="AA380" s="32"/>
      <c r="AB380" s="32" t="s">
        <v>113</v>
      </c>
      <c r="AC380" s="60"/>
      <c r="AD380" s="66"/>
      <c r="AE380" s="32"/>
      <c r="AF380" s="34" t="s">
        <v>80</v>
      </c>
      <c r="AG380" s="56" t="s">
        <v>206</v>
      </c>
      <c r="AH380" s="41"/>
      <c r="AI380" s="41"/>
      <c r="AJ380" s="41"/>
      <c r="AK380" s="58">
        <v>41215.0</v>
      </c>
      <c r="AL380" s="56" t="s">
        <v>1004</v>
      </c>
    </row>
    <row r="381" ht="22.5" customHeight="1">
      <c r="A381" s="27" t="s">
        <v>3047</v>
      </c>
      <c r="B381" s="63" t="s">
        <v>190</v>
      </c>
      <c r="C381" s="149" t="s">
        <v>211</v>
      </c>
      <c r="D381" s="34" t="s">
        <v>752</v>
      </c>
      <c r="E381" s="32" t="s">
        <v>947</v>
      </c>
      <c r="F381" s="34" t="s">
        <v>93</v>
      </c>
      <c r="G381" s="34" t="s">
        <v>168</v>
      </c>
      <c r="H381" s="58">
        <v>42530.0</v>
      </c>
      <c r="I381" s="58">
        <v>42522.0</v>
      </c>
      <c r="J381" s="58">
        <v>42530.0</v>
      </c>
      <c r="K381" s="32" t="s">
        <v>70</v>
      </c>
      <c r="L381" s="41" t="s">
        <v>115</v>
      </c>
      <c r="M381" s="63" t="s">
        <v>218</v>
      </c>
      <c r="N381" s="32" t="s">
        <v>434</v>
      </c>
      <c r="O381" s="32" t="s">
        <v>989</v>
      </c>
      <c r="P381" s="32"/>
      <c r="Q381" s="57" t="s">
        <v>3048</v>
      </c>
      <c r="R381" s="58"/>
      <c r="S381" s="32" t="s">
        <v>116</v>
      </c>
      <c r="T381" s="56" t="s">
        <v>248</v>
      </c>
      <c r="U381" s="45" t="s">
        <v>3049</v>
      </c>
      <c r="V381" s="34" t="s">
        <v>80</v>
      </c>
      <c r="W381" s="32" t="s">
        <v>201</v>
      </c>
      <c r="X381" s="32" t="s">
        <v>202</v>
      </c>
      <c r="Y381" s="45" t="s">
        <v>203</v>
      </c>
      <c r="Z381" s="32" t="s">
        <v>112</v>
      </c>
      <c r="AA381" s="68"/>
      <c r="AB381" s="32" t="s">
        <v>113</v>
      </c>
      <c r="AC381" s="60"/>
      <c r="AD381" s="192"/>
      <c r="AE381" s="32"/>
      <c r="AF381" s="34" t="s">
        <v>80</v>
      </c>
      <c r="AG381" s="56" t="s">
        <v>206</v>
      </c>
      <c r="AH381" s="47"/>
      <c r="AI381" s="58"/>
      <c r="AJ381" s="41"/>
      <c r="AK381" s="58">
        <v>42212.0</v>
      </c>
      <c r="AL381" s="56" t="s">
        <v>1004</v>
      </c>
    </row>
    <row r="382" ht="22.5" customHeight="1">
      <c r="A382" s="27" t="s">
        <v>3050</v>
      </c>
      <c r="B382" s="63" t="s">
        <v>888</v>
      </c>
      <c r="C382" s="32" t="s">
        <v>889</v>
      </c>
      <c r="D382" s="34" t="s">
        <v>752</v>
      </c>
      <c r="E382" s="38" t="s">
        <v>892</v>
      </c>
      <c r="F382" s="34" t="s">
        <v>93</v>
      </c>
      <c r="G382" s="34" t="s">
        <v>168</v>
      </c>
      <c r="H382" s="58">
        <v>42564.0</v>
      </c>
      <c r="I382" s="58">
        <v>42559.0</v>
      </c>
      <c r="J382" s="58">
        <v>42564.0</v>
      </c>
      <c r="K382" s="32" t="s">
        <v>70</v>
      </c>
      <c r="L382" s="34" t="s">
        <v>115</v>
      </c>
      <c r="M382" s="42" t="s">
        <v>88</v>
      </c>
      <c r="N382" s="38" t="s">
        <v>89</v>
      </c>
      <c r="O382" s="32" t="s">
        <v>989</v>
      </c>
      <c r="P382" s="32"/>
      <c r="Q382" s="57" t="s">
        <v>2966</v>
      </c>
      <c r="R382" s="58">
        <v>43659.0</v>
      </c>
      <c r="S382" s="32" t="s">
        <v>116</v>
      </c>
      <c r="T382" s="56" t="s">
        <v>1950</v>
      </c>
      <c r="U382" s="45" t="s">
        <v>3051</v>
      </c>
      <c r="V382" s="34" t="s">
        <v>80</v>
      </c>
      <c r="W382" s="60" t="s">
        <v>1934</v>
      </c>
      <c r="X382" s="109" t="s">
        <v>1935</v>
      </c>
      <c r="Y382" s="109" t="s">
        <v>899</v>
      </c>
      <c r="Z382" s="32" t="s">
        <v>112</v>
      </c>
      <c r="AA382" s="68"/>
      <c r="AB382" s="149" t="s">
        <v>481</v>
      </c>
      <c r="AC382" s="60"/>
      <c r="AD382" s="66"/>
      <c r="AE382" s="32"/>
      <c r="AF382" s="34" t="s">
        <v>80</v>
      </c>
      <c r="AG382" s="56" t="s">
        <v>900</v>
      </c>
      <c r="AH382" s="47"/>
      <c r="AI382" s="58"/>
      <c r="AJ382" s="41"/>
      <c r="AK382" s="155">
        <v>41352.0</v>
      </c>
      <c r="AL382" s="56" t="s">
        <v>1004</v>
      </c>
    </row>
    <row r="383" ht="22.5" customHeight="1">
      <c r="A383" s="27" t="s">
        <v>3052</v>
      </c>
      <c r="B383" s="63" t="s">
        <v>1374</v>
      </c>
      <c r="C383" s="32" t="s">
        <v>1375</v>
      </c>
      <c r="D383" s="39" t="s">
        <v>91</v>
      </c>
      <c r="E383" s="103" t="s">
        <v>1376</v>
      </c>
      <c r="F383" s="41" t="s">
        <v>93</v>
      </c>
      <c r="G383" s="34" t="s">
        <v>168</v>
      </c>
      <c r="H383" s="58">
        <v>42544.0</v>
      </c>
      <c r="I383" s="58">
        <v>42542.0</v>
      </c>
      <c r="J383" s="58">
        <v>42544.0</v>
      </c>
      <c r="K383" s="32" t="s">
        <v>70</v>
      </c>
      <c r="L383" s="41" t="s">
        <v>115</v>
      </c>
      <c r="M383" s="63" t="s">
        <v>218</v>
      </c>
      <c r="N383" s="32" t="s">
        <v>89</v>
      </c>
      <c r="O383" s="32" t="s">
        <v>989</v>
      </c>
      <c r="P383" s="32" t="s">
        <v>2019</v>
      </c>
      <c r="Q383" s="57" t="s">
        <v>2021</v>
      </c>
      <c r="R383" s="58"/>
      <c r="S383" s="32" t="s">
        <v>116</v>
      </c>
      <c r="T383" s="56" t="s">
        <v>1378</v>
      </c>
      <c r="U383" s="45" t="s">
        <v>3053</v>
      </c>
      <c r="V383" s="34" t="s">
        <v>80</v>
      </c>
      <c r="W383" s="172" t="s">
        <v>1380</v>
      </c>
      <c r="X383" s="198" t="s">
        <v>1381</v>
      </c>
      <c r="Y383" s="152" t="s">
        <v>1382</v>
      </c>
      <c r="Z383" s="32" t="s">
        <v>112</v>
      </c>
      <c r="AA383" s="38"/>
      <c r="AB383" s="32" t="s">
        <v>113</v>
      </c>
      <c r="AC383" s="60"/>
      <c r="AD383" s="261"/>
      <c r="AE383" s="32"/>
      <c r="AF383" s="34" t="s">
        <v>80</v>
      </c>
      <c r="AG383" s="56" t="s">
        <v>1384</v>
      </c>
      <c r="AH383" s="41"/>
      <c r="AI383" s="41"/>
      <c r="AJ383" s="41"/>
      <c r="AK383" s="58">
        <v>41869.0</v>
      </c>
      <c r="AL383" s="56" t="s">
        <v>1004</v>
      </c>
    </row>
    <row r="384" ht="22.5" customHeight="1">
      <c r="A384" s="274" t="s">
        <v>3054</v>
      </c>
      <c r="B384" s="275" t="s">
        <v>2655</v>
      </c>
      <c r="C384" s="149" t="s">
        <v>2656</v>
      </c>
      <c r="D384" s="276" t="s">
        <v>75</v>
      </c>
      <c r="E384" s="277" t="s">
        <v>2657</v>
      </c>
      <c r="F384" s="276" t="s">
        <v>140</v>
      </c>
      <c r="G384" s="276" t="s">
        <v>168</v>
      </c>
      <c r="H384" s="191">
        <v>42466.0</v>
      </c>
      <c r="I384" s="191">
        <v>42466.0</v>
      </c>
      <c r="J384" s="191">
        <v>42466.0</v>
      </c>
      <c r="K384" s="277" t="s">
        <v>70</v>
      </c>
      <c r="L384" s="276" t="s">
        <v>115</v>
      </c>
      <c r="M384" s="275" t="s">
        <v>88</v>
      </c>
      <c r="N384" s="277" t="s">
        <v>89</v>
      </c>
      <c r="O384" s="278"/>
      <c r="P384" s="279"/>
      <c r="Q384" s="277" t="s">
        <v>2368</v>
      </c>
      <c r="R384" s="191">
        <v>43561.0</v>
      </c>
      <c r="S384" s="277" t="s">
        <v>196</v>
      </c>
      <c r="T384" s="275" t="s">
        <v>2658</v>
      </c>
      <c r="U384" s="277" t="s">
        <v>3055</v>
      </c>
      <c r="V384" s="127" t="s">
        <v>80</v>
      </c>
      <c r="W384" s="32" t="s">
        <v>2659</v>
      </c>
      <c r="X384" s="122" t="s">
        <v>2660</v>
      </c>
      <c r="Y384" s="122" t="s">
        <v>2661</v>
      </c>
      <c r="Z384" s="122" t="s">
        <v>112</v>
      </c>
      <c r="AA384" s="280">
        <v>42495.0</v>
      </c>
      <c r="AB384" s="122" t="s">
        <v>113</v>
      </c>
      <c r="AC384" s="281"/>
      <c r="AD384" s="282"/>
      <c r="AE384" s="283"/>
      <c r="AF384" s="284" t="s">
        <v>80</v>
      </c>
      <c r="AG384" s="56" t="s">
        <v>2662</v>
      </c>
      <c r="AH384" s="196"/>
      <c r="AI384" s="197"/>
      <c r="AJ384" s="199">
        <v>42495.0</v>
      </c>
      <c r="AK384" s="199">
        <v>42242.0</v>
      </c>
      <c r="AL384" s="285" t="s">
        <v>1004</v>
      </c>
    </row>
    <row r="385" ht="22.5" customHeight="1">
      <c r="A385" s="27" t="s">
        <v>3056</v>
      </c>
      <c r="B385" s="63" t="s">
        <v>2044</v>
      </c>
      <c r="C385" s="32" t="s">
        <v>2045</v>
      </c>
      <c r="D385" s="34" t="s">
        <v>91</v>
      </c>
      <c r="E385" s="60" t="s">
        <v>2046</v>
      </c>
      <c r="F385" s="34" t="s">
        <v>93</v>
      </c>
      <c r="G385" s="34" t="s">
        <v>168</v>
      </c>
      <c r="H385" s="58">
        <v>42592.0</v>
      </c>
      <c r="I385" s="58">
        <v>42583.0</v>
      </c>
      <c r="J385" s="58">
        <v>42592.0</v>
      </c>
      <c r="K385" s="32" t="s">
        <v>70</v>
      </c>
      <c r="L385" s="34" t="s">
        <v>115</v>
      </c>
      <c r="M385" s="63" t="s">
        <v>313</v>
      </c>
      <c r="N385" s="32" t="s">
        <v>89</v>
      </c>
      <c r="O385" s="32" t="s">
        <v>989</v>
      </c>
      <c r="P385" s="32"/>
      <c r="Q385" s="57" t="s">
        <v>2974</v>
      </c>
      <c r="R385" s="58"/>
      <c r="S385" s="32" t="s">
        <v>116</v>
      </c>
      <c r="T385" s="56" t="s">
        <v>2796</v>
      </c>
      <c r="U385" s="45" t="s">
        <v>3057</v>
      </c>
      <c r="V385" s="34" t="s">
        <v>80</v>
      </c>
      <c r="W385" s="172" t="s">
        <v>2798</v>
      </c>
      <c r="X385" s="198" t="s">
        <v>2052</v>
      </c>
      <c r="Y385" s="152" t="s">
        <v>2053</v>
      </c>
      <c r="Z385" s="32" t="s">
        <v>112</v>
      </c>
      <c r="AA385" s="38"/>
      <c r="AB385" s="32" t="s">
        <v>113</v>
      </c>
      <c r="AC385" s="60"/>
      <c r="AD385" s="261"/>
      <c r="AE385" s="32"/>
      <c r="AF385" s="34" t="s">
        <v>80</v>
      </c>
      <c r="AG385" s="56" t="s">
        <v>2054</v>
      </c>
      <c r="AH385" s="41"/>
      <c r="AI385" s="41"/>
      <c r="AJ385" s="41"/>
      <c r="AK385" s="58">
        <v>42047.0</v>
      </c>
      <c r="AL385" s="56" t="s">
        <v>1004</v>
      </c>
    </row>
    <row r="386" ht="22.5" customHeight="1">
      <c r="A386" s="27" t="s">
        <v>3058</v>
      </c>
      <c r="B386" s="63" t="s">
        <v>1321</v>
      </c>
      <c r="C386" s="32" t="s">
        <v>1322</v>
      </c>
      <c r="D386" s="34" t="s">
        <v>845</v>
      </c>
      <c r="E386" s="38" t="s">
        <v>1323</v>
      </c>
      <c r="F386" s="34" t="s">
        <v>140</v>
      </c>
      <c r="G386" s="34" t="s">
        <v>168</v>
      </c>
      <c r="H386" s="58">
        <v>42549.0</v>
      </c>
      <c r="I386" s="58">
        <v>42544.0</v>
      </c>
      <c r="J386" s="58">
        <v>42549.0</v>
      </c>
      <c r="K386" s="32" t="s">
        <v>70</v>
      </c>
      <c r="L386" s="34" t="s">
        <v>115</v>
      </c>
      <c r="M386" s="42" t="s">
        <v>88</v>
      </c>
      <c r="N386" s="32" t="s">
        <v>89</v>
      </c>
      <c r="O386" s="32" t="s">
        <v>954</v>
      </c>
      <c r="P386" s="32" t="s">
        <v>1928</v>
      </c>
      <c r="Q386" s="57" t="s">
        <v>3059</v>
      </c>
      <c r="R386" s="58">
        <v>43639.0</v>
      </c>
      <c r="S386" s="32" t="s">
        <v>196</v>
      </c>
      <c r="T386" s="45" t="s">
        <v>1324</v>
      </c>
      <c r="U386" s="45" t="s">
        <v>3060</v>
      </c>
      <c r="V386" s="34" t="s">
        <v>80</v>
      </c>
      <c r="W386" s="60" t="s">
        <v>561</v>
      </c>
      <c r="X386" s="32" t="s">
        <v>1326</v>
      </c>
      <c r="Y386" s="109" t="s">
        <v>1327</v>
      </c>
      <c r="Z386" s="32" t="s">
        <v>112</v>
      </c>
      <c r="AA386" s="38"/>
      <c r="AB386" s="32" t="s">
        <v>113</v>
      </c>
      <c r="AC386" s="60"/>
      <c r="AD386" s="261"/>
      <c r="AE386" s="32"/>
      <c r="AF386" s="34" t="s">
        <v>80</v>
      </c>
      <c r="AG386" s="56" t="s">
        <v>1329</v>
      </c>
      <c r="AH386" s="41"/>
      <c r="AI386" s="41"/>
      <c r="AJ386" s="41"/>
      <c r="AK386" s="58">
        <v>41619.0</v>
      </c>
      <c r="AL386" s="56" t="s">
        <v>965</v>
      </c>
    </row>
    <row r="387" ht="22.5" customHeight="1">
      <c r="A387" s="27" t="s">
        <v>3061</v>
      </c>
      <c r="B387" s="63" t="s">
        <v>190</v>
      </c>
      <c r="C387" s="32" t="s">
        <v>3044</v>
      </c>
      <c r="D387" s="34" t="s">
        <v>752</v>
      </c>
      <c r="E387" s="38" t="s">
        <v>193</v>
      </c>
      <c r="F387" s="54" t="s">
        <v>93</v>
      </c>
      <c r="G387" s="34" t="s">
        <v>168</v>
      </c>
      <c r="H387" s="58">
        <v>42369.0</v>
      </c>
      <c r="I387" s="58">
        <v>42369.0</v>
      </c>
      <c r="J387" s="58">
        <v>42369.0</v>
      </c>
      <c r="K387" s="32" t="s">
        <v>70</v>
      </c>
      <c r="L387" s="41" t="s">
        <v>115</v>
      </c>
      <c r="M387" s="63" t="s">
        <v>88</v>
      </c>
      <c r="N387" s="38" t="s">
        <v>89</v>
      </c>
      <c r="O387" s="32" t="s">
        <v>850</v>
      </c>
      <c r="P387" s="32"/>
      <c r="Q387" s="57" t="s">
        <v>3062</v>
      </c>
      <c r="R387" s="58">
        <v>43365.0</v>
      </c>
      <c r="S387" s="57" t="s">
        <v>116</v>
      </c>
      <c r="T387" s="56" t="s">
        <v>198</v>
      </c>
      <c r="U387" s="45" t="s">
        <v>3063</v>
      </c>
      <c r="V387" s="34" t="s">
        <v>80</v>
      </c>
      <c r="W387" s="32" t="s">
        <v>201</v>
      </c>
      <c r="X387" s="32" t="s">
        <v>202</v>
      </c>
      <c r="Y387" s="45" t="s">
        <v>203</v>
      </c>
      <c r="Z387" s="32" t="s">
        <v>112</v>
      </c>
      <c r="AA387" s="32"/>
      <c r="AB387" s="32" t="s">
        <v>113</v>
      </c>
      <c r="AC387" s="60"/>
      <c r="AD387" s="261"/>
      <c r="AE387" s="32"/>
      <c r="AF387" s="34" t="s">
        <v>80</v>
      </c>
      <c r="AG387" s="56" t="s">
        <v>206</v>
      </c>
      <c r="AH387" s="41"/>
      <c r="AI387" s="41"/>
      <c r="AJ387" s="41"/>
      <c r="AK387" s="58">
        <v>41215.0</v>
      </c>
      <c r="AL387" s="56" t="s">
        <v>870</v>
      </c>
    </row>
    <row r="388" ht="22.5" customHeight="1">
      <c r="A388" s="27" t="s">
        <v>3064</v>
      </c>
      <c r="B388" s="63" t="s">
        <v>888</v>
      </c>
      <c r="C388" s="32" t="s">
        <v>1281</v>
      </c>
      <c r="D388" s="41" t="s">
        <v>75</v>
      </c>
      <c r="E388" s="38" t="s">
        <v>1282</v>
      </c>
      <c r="F388" s="34" t="s">
        <v>140</v>
      </c>
      <c r="G388" s="34" t="s">
        <v>168</v>
      </c>
      <c r="H388" s="58">
        <v>42642.0</v>
      </c>
      <c r="I388" s="58">
        <v>42642.0</v>
      </c>
      <c r="J388" s="58"/>
      <c r="K388" s="32" t="s">
        <v>70</v>
      </c>
      <c r="L388" s="34" t="s">
        <v>115</v>
      </c>
      <c r="M388" s="32" t="s">
        <v>88</v>
      </c>
      <c r="N388" s="32" t="s">
        <v>89</v>
      </c>
      <c r="O388" s="32" t="s">
        <v>994</v>
      </c>
      <c r="P388" s="32"/>
      <c r="Q388" s="57" t="s">
        <v>2615</v>
      </c>
      <c r="R388" s="58">
        <v>43737.0</v>
      </c>
      <c r="S388" s="32" t="s">
        <v>196</v>
      </c>
      <c r="T388" s="45" t="s">
        <v>1285</v>
      </c>
      <c r="U388" s="45" t="s">
        <v>3065</v>
      </c>
      <c r="V388" s="34" t="s">
        <v>80</v>
      </c>
      <c r="W388" s="32" t="s">
        <v>561</v>
      </c>
      <c r="X388" s="60" t="s">
        <v>1287</v>
      </c>
      <c r="Y388" s="45" t="s">
        <v>1288</v>
      </c>
      <c r="Z388" s="32" t="s">
        <v>112</v>
      </c>
      <c r="AA388" s="32"/>
      <c r="AB388" s="32" t="s">
        <v>113</v>
      </c>
      <c r="AC388" s="60"/>
      <c r="AD388" s="261"/>
      <c r="AE388" s="32"/>
      <c r="AF388" s="180" t="s">
        <v>80</v>
      </c>
      <c r="AG388" s="56" t="s">
        <v>900</v>
      </c>
      <c r="AH388" s="41"/>
      <c r="AI388" s="41"/>
      <c r="AJ388" s="41"/>
      <c r="AK388" s="155">
        <v>41770.0</v>
      </c>
      <c r="AL388" s="56" t="s">
        <v>1006</v>
      </c>
    </row>
    <row r="389" ht="22.5" customHeight="1">
      <c r="A389" s="27" t="s">
        <v>3066</v>
      </c>
      <c r="B389" s="63" t="s">
        <v>1374</v>
      </c>
      <c r="C389" s="32" t="s">
        <v>1375</v>
      </c>
      <c r="D389" s="39" t="s">
        <v>91</v>
      </c>
      <c r="E389" s="103" t="s">
        <v>1376</v>
      </c>
      <c r="F389" s="41" t="s">
        <v>93</v>
      </c>
      <c r="G389" s="34" t="s">
        <v>168</v>
      </c>
      <c r="H389" s="58">
        <v>42397.0</v>
      </c>
      <c r="I389" s="58">
        <v>42397.0</v>
      </c>
      <c r="J389" s="58">
        <v>42397.0</v>
      </c>
      <c r="K389" s="32" t="s">
        <v>70</v>
      </c>
      <c r="L389" s="41" t="s">
        <v>115</v>
      </c>
      <c r="M389" s="63" t="s">
        <v>218</v>
      </c>
      <c r="N389" s="32" t="s">
        <v>89</v>
      </c>
      <c r="O389" s="32" t="s">
        <v>196</v>
      </c>
      <c r="P389" s="32" t="s">
        <v>1569</v>
      </c>
      <c r="Q389" s="57" t="s">
        <v>1726</v>
      </c>
      <c r="R389" s="58">
        <v>43493.0</v>
      </c>
      <c r="S389" s="32" t="s">
        <v>116</v>
      </c>
      <c r="T389" s="56" t="s">
        <v>1378</v>
      </c>
      <c r="U389" s="45" t="s">
        <v>3067</v>
      </c>
      <c r="V389" s="34" t="s">
        <v>80</v>
      </c>
      <c r="W389" s="172" t="s">
        <v>1380</v>
      </c>
      <c r="X389" s="198" t="s">
        <v>1381</v>
      </c>
      <c r="Y389" s="152" t="s">
        <v>1382</v>
      </c>
      <c r="Z389" s="32" t="s">
        <v>112</v>
      </c>
      <c r="AA389" s="32"/>
      <c r="AB389" s="32" t="s">
        <v>113</v>
      </c>
      <c r="AC389" s="60"/>
      <c r="AD389" s="261"/>
      <c r="AE389" s="32"/>
      <c r="AF389" s="34" t="s">
        <v>80</v>
      </c>
      <c r="AG389" s="56" t="s">
        <v>1384</v>
      </c>
      <c r="AH389" s="41"/>
      <c r="AI389" s="41"/>
      <c r="AJ389" s="41"/>
      <c r="AK389" s="58">
        <v>41869.0</v>
      </c>
      <c r="AL389" s="56" t="s">
        <v>208</v>
      </c>
    </row>
    <row r="390" ht="22.5" customHeight="1">
      <c r="A390" s="286" t="s">
        <v>3068</v>
      </c>
      <c r="B390" s="57" t="s">
        <v>2963</v>
      </c>
      <c r="C390" s="57" t="s">
        <v>2964</v>
      </c>
      <c r="D390" s="54" t="s">
        <v>75</v>
      </c>
      <c r="E390" s="57" t="s">
        <v>2965</v>
      </c>
      <c r="F390" s="54" t="s">
        <v>140</v>
      </c>
      <c r="G390" s="54" t="s">
        <v>85</v>
      </c>
      <c r="H390" s="155">
        <v>42654.0</v>
      </c>
      <c r="I390" s="155">
        <v>42654.0</v>
      </c>
      <c r="J390" s="47"/>
      <c r="K390" s="32" t="s">
        <v>70</v>
      </c>
      <c r="L390" s="54" t="s">
        <v>115</v>
      </c>
      <c r="M390" s="63" t="s">
        <v>218</v>
      </c>
      <c r="N390" s="32" t="s">
        <v>89</v>
      </c>
      <c r="O390" s="57" t="s">
        <v>954</v>
      </c>
      <c r="P390" s="32" t="s">
        <v>955</v>
      </c>
      <c r="Q390" s="57" t="s">
        <v>1558</v>
      </c>
      <c r="R390" s="47"/>
      <c r="S390" s="32" t="s">
        <v>954</v>
      </c>
      <c r="T390" s="45" t="s">
        <v>2967</v>
      </c>
      <c r="U390" s="45" t="s">
        <v>3069</v>
      </c>
      <c r="V390" s="54" t="s">
        <v>80</v>
      </c>
      <c r="W390" s="57" t="s">
        <v>2969</v>
      </c>
      <c r="X390" s="57" t="s">
        <v>2970</v>
      </c>
      <c r="Y390" s="67" t="s">
        <v>2971</v>
      </c>
      <c r="Z390" s="32" t="s">
        <v>112</v>
      </c>
      <c r="AA390" s="47"/>
      <c r="AB390" s="123" t="s">
        <v>113</v>
      </c>
      <c r="AC390" s="255" t="s">
        <v>3070</v>
      </c>
      <c r="AD390" s="261">
        <v>42657.0</v>
      </c>
      <c r="AE390" s="47"/>
      <c r="AF390" s="54" t="s">
        <v>80</v>
      </c>
      <c r="AG390" s="56" t="s">
        <v>2972</v>
      </c>
      <c r="AH390" s="139" t="s">
        <v>2124</v>
      </c>
      <c r="AI390" s="58"/>
      <c r="AJ390" s="77"/>
      <c r="AK390" s="83">
        <v>42466.0</v>
      </c>
      <c r="AL390" s="56" t="s">
        <v>965</v>
      </c>
    </row>
    <row r="391" ht="22.5" customHeight="1">
      <c r="A391" s="286" t="s">
        <v>3071</v>
      </c>
      <c r="B391" s="57" t="s">
        <v>69</v>
      </c>
      <c r="C391" s="32" t="s">
        <v>90</v>
      </c>
      <c r="D391" s="39" t="s">
        <v>91</v>
      </c>
      <c r="E391" s="38" t="s">
        <v>92</v>
      </c>
      <c r="F391" s="34" t="s">
        <v>93</v>
      </c>
      <c r="G391" s="54" t="s">
        <v>168</v>
      </c>
      <c r="H391" s="155">
        <v>42645.0</v>
      </c>
      <c r="I391" s="155"/>
      <c r="J391" s="155">
        <v>42645.0</v>
      </c>
      <c r="K391" s="32" t="s">
        <v>70</v>
      </c>
      <c r="L391" s="54" t="s">
        <v>115</v>
      </c>
      <c r="M391" s="121" t="s">
        <v>88</v>
      </c>
      <c r="N391" s="32" t="s">
        <v>89</v>
      </c>
      <c r="O391" s="57" t="s">
        <v>142</v>
      </c>
      <c r="P391" s="32" t="s">
        <v>1050</v>
      </c>
      <c r="Q391" s="57" t="s">
        <v>2590</v>
      </c>
      <c r="R391" s="47"/>
      <c r="S391" s="32" t="s">
        <v>116</v>
      </c>
      <c r="T391" s="56" t="s">
        <v>118</v>
      </c>
      <c r="U391" s="45" t="s">
        <v>3072</v>
      </c>
      <c r="V391" s="54" t="s">
        <v>80</v>
      </c>
      <c r="W391" s="60" t="s">
        <v>122</v>
      </c>
      <c r="X391" s="60" t="s">
        <v>130</v>
      </c>
      <c r="Y391" s="45" t="s">
        <v>131</v>
      </c>
      <c r="Z391" s="32" t="s">
        <v>112</v>
      </c>
      <c r="AA391" s="47"/>
      <c r="AB391" s="60" t="s">
        <v>113</v>
      </c>
      <c r="AC391" s="60"/>
      <c r="AD391" s="261"/>
      <c r="AE391" s="47"/>
      <c r="AF391" s="54" t="s">
        <v>80</v>
      </c>
      <c r="AG391" s="56" t="s">
        <v>159</v>
      </c>
      <c r="AH391" s="47"/>
      <c r="AI391" s="58"/>
      <c r="AJ391" s="77"/>
      <c r="AK391" s="58">
        <v>41100.0</v>
      </c>
      <c r="AL391" s="56" t="s">
        <v>262</v>
      </c>
    </row>
    <row r="392" ht="22.5" customHeight="1">
      <c r="A392" s="286" t="s">
        <v>3073</v>
      </c>
      <c r="B392" s="57" t="s">
        <v>284</v>
      </c>
      <c r="C392" s="32" t="s">
        <v>285</v>
      </c>
      <c r="D392" s="41" t="s">
        <v>91</v>
      </c>
      <c r="E392" s="103" t="s">
        <v>286</v>
      </c>
      <c r="F392" s="34" t="s">
        <v>93</v>
      </c>
      <c r="G392" s="54" t="s">
        <v>168</v>
      </c>
      <c r="H392" s="155">
        <v>42645.0</v>
      </c>
      <c r="I392" s="155"/>
      <c r="J392" s="155">
        <v>42645.0</v>
      </c>
      <c r="K392" s="32" t="s">
        <v>86</v>
      </c>
      <c r="L392" s="54" t="s">
        <v>115</v>
      </c>
      <c r="M392" s="63" t="s">
        <v>218</v>
      </c>
      <c r="N392" s="32" t="s">
        <v>89</v>
      </c>
      <c r="O392" s="57" t="s">
        <v>142</v>
      </c>
      <c r="P392" s="32" t="s">
        <v>1050</v>
      </c>
      <c r="Q392" s="57" t="s">
        <v>2590</v>
      </c>
      <c r="R392" s="47"/>
      <c r="S392" s="32" t="s">
        <v>116</v>
      </c>
      <c r="T392" s="45" t="s">
        <v>323</v>
      </c>
      <c r="U392" s="45" t="s">
        <v>3074</v>
      </c>
      <c r="V392" s="54" t="s">
        <v>80</v>
      </c>
      <c r="W392" s="60" t="s">
        <v>344</v>
      </c>
      <c r="X392" s="60" t="s">
        <v>1605</v>
      </c>
      <c r="Y392" s="109" t="s">
        <v>358</v>
      </c>
      <c r="Z392" s="32" t="s">
        <v>112</v>
      </c>
      <c r="AA392" s="47"/>
      <c r="AB392" s="32" t="s">
        <v>113</v>
      </c>
      <c r="AC392" s="60"/>
      <c r="AD392" s="261"/>
      <c r="AE392" s="57"/>
      <c r="AF392" s="54" t="s">
        <v>80</v>
      </c>
      <c r="AG392" s="63"/>
      <c r="AH392" s="41"/>
      <c r="AI392" s="41"/>
      <c r="AJ392" s="41"/>
      <c r="AK392" s="58">
        <v>41080.0</v>
      </c>
      <c r="AL392" s="56" t="s">
        <v>262</v>
      </c>
    </row>
    <row r="393" ht="22.5" customHeight="1">
      <c r="A393" s="286" t="s">
        <v>3075</v>
      </c>
      <c r="B393" s="57" t="s">
        <v>768</v>
      </c>
      <c r="C393" s="32" t="s">
        <v>769</v>
      </c>
      <c r="D393" s="41" t="s">
        <v>91</v>
      </c>
      <c r="E393" s="38" t="s">
        <v>773</v>
      </c>
      <c r="F393" s="34" t="s">
        <v>140</v>
      </c>
      <c r="G393" s="54" t="s">
        <v>168</v>
      </c>
      <c r="H393" s="155">
        <v>42650.0</v>
      </c>
      <c r="I393" s="155"/>
      <c r="J393" s="155">
        <v>42650.0</v>
      </c>
      <c r="K393" s="32" t="s">
        <v>86</v>
      </c>
      <c r="L393" s="54" t="s">
        <v>115</v>
      </c>
      <c r="M393" s="63" t="s">
        <v>218</v>
      </c>
      <c r="N393" s="32" t="s">
        <v>89</v>
      </c>
      <c r="O393" s="57" t="s">
        <v>142</v>
      </c>
      <c r="P393" s="32" t="s">
        <v>1050</v>
      </c>
      <c r="Q393" s="57" t="s">
        <v>2590</v>
      </c>
      <c r="R393" s="47"/>
      <c r="S393" s="32" t="s">
        <v>116</v>
      </c>
      <c r="T393" s="45" t="s">
        <v>784</v>
      </c>
      <c r="U393" s="45" t="s">
        <v>3076</v>
      </c>
      <c r="V393" s="54" t="s">
        <v>80</v>
      </c>
      <c r="W393" s="60" t="s">
        <v>790</v>
      </c>
      <c r="X393" s="60" t="s">
        <v>791</v>
      </c>
      <c r="Y393" s="109" t="s">
        <v>792</v>
      </c>
      <c r="Z393" s="32" t="s">
        <v>112</v>
      </c>
      <c r="AA393" s="47"/>
      <c r="AB393" s="123" t="s">
        <v>113</v>
      </c>
      <c r="AC393" s="60"/>
      <c r="AD393" s="261"/>
      <c r="AE393" s="47"/>
      <c r="AF393" s="54" t="s">
        <v>74</v>
      </c>
      <c r="AG393" s="63"/>
      <c r="AH393" s="47"/>
      <c r="AI393" s="58"/>
      <c r="AJ393" s="77"/>
      <c r="AK393" s="58">
        <v>41172.0</v>
      </c>
      <c r="AL393" s="56" t="s">
        <v>262</v>
      </c>
    </row>
    <row r="394" ht="22.5" customHeight="1">
      <c r="A394" s="286" t="s">
        <v>3077</v>
      </c>
      <c r="B394" s="57" t="s">
        <v>932</v>
      </c>
      <c r="C394" s="32" t="s">
        <v>933</v>
      </c>
      <c r="D394" s="34" t="s">
        <v>752</v>
      </c>
      <c r="E394" s="38" t="s">
        <v>935</v>
      </c>
      <c r="F394" s="34" t="s">
        <v>140</v>
      </c>
      <c r="G394" s="54" t="s">
        <v>168</v>
      </c>
      <c r="H394" s="155">
        <v>42644.0</v>
      </c>
      <c r="I394" s="155"/>
      <c r="J394" s="155">
        <v>42644.0</v>
      </c>
      <c r="K394" s="32" t="s">
        <v>70</v>
      </c>
      <c r="L394" s="54" t="s">
        <v>115</v>
      </c>
      <c r="M394" s="42" t="s">
        <v>383</v>
      </c>
      <c r="N394" s="32" t="s">
        <v>89</v>
      </c>
      <c r="O394" s="57" t="s">
        <v>142</v>
      </c>
      <c r="P394" s="32" t="s">
        <v>1050</v>
      </c>
      <c r="Q394" s="57" t="s">
        <v>2590</v>
      </c>
      <c r="R394" s="47"/>
      <c r="S394" s="32" t="s">
        <v>850</v>
      </c>
      <c r="T394" s="45" t="s">
        <v>1335</v>
      </c>
      <c r="U394" s="45" t="s">
        <v>3078</v>
      </c>
      <c r="V394" s="54" t="s">
        <v>80</v>
      </c>
      <c r="W394" s="32" t="s">
        <v>561</v>
      </c>
      <c r="X394" s="32" t="s">
        <v>941</v>
      </c>
      <c r="Y394" s="45" t="s">
        <v>942</v>
      </c>
      <c r="Z394" s="32" t="s">
        <v>112</v>
      </c>
      <c r="AA394" s="47"/>
      <c r="AB394" s="60" t="s">
        <v>240</v>
      </c>
      <c r="AC394" s="68"/>
      <c r="AD394" s="261"/>
      <c r="AE394" s="47"/>
      <c r="AF394" s="54" t="s">
        <v>80</v>
      </c>
      <c r="AG394" s="56" t="s">
        <v>945</v>
      </c>
      <c r="AH394" s="47"/>
      <c r="AI394" s="58"/>
      <c r="AJ394" s="77"/>
      <c r="AK394" s="58">
        <v>41255.0</v>
      </c>
      <c r="AL394" s="56" t="s">
        <v>262</v>
      </c>
    </row>
    <row r="395" ht="22.5" customHeight="1">
      <c r="A395" s="286" t="s">
        <v>3079</v>
      </c>
      <c r="B395" s="57" t="s">
        <v>888</v>
      </c>
      <c r="C395" s="32" t="s">
        <v>2745</v>
      </c>
      <c r="D395" s="34" t="s">
        <v>752</v>
      </c>
      <c r="E395" s="32" t="s">
        <v>2746</v>
      </c>
      <c r="F395" s="34" t="s">
        <v>93</v>
      </c>
      <c r="G395" s="34" t="s">
        <v>168</v>
      </c>
      <c r="H395" s="155">
        <v>42668.0</v>
      </c>
      <c r="I395" s="155">
        <v>42668.0</v>
      </c>
      <c r="J395" s="155"/>
      <c r="K395" s="32" t="s">
        <v>70</v>
      </c>
      <c r="L395" s="34" t="s">
        <v>115</v>
      </c>
      <c r="M395" s="63" t="s">
        <v>218</v>
      </c>
      <c r="N395" s="32" t="s">
        <v>434</v>
      </c>
      <c r="O395" s="57" t="s">
        <v>994</v>
      </c>
      <c r="P395" s="32" t="s">
        <v>2907</v>
      </c>
      <c r="Q395" s="57" t="s">
        <v>2908</v>
      </c>
      <c r="R395" s="47"/>
      <c r="S395" s="32" t="s">
        <v>116</v>
      </c>
      <c r="T395" s="56" t="s">
        <v>1931</v>
      </c>
      <c r="U395" s="45" t="s">
        <v>3080</v>
      </c>
      <c r="V395" s="34" t="s">
        <v>80</v>
      </c>
      <c r="W395" s="32" t="s">
        <v>897</v>
      </c>
      <c r="X395" s="109" t="s">
        <v>898</v>
      </c>
      <c r="Y395" s="109" t="s">
        <v>899</v>
      </c>
      <c r="Z395" s="32" t="s">
        <v>112</v>
      </c>
      <c r="AA395" s="32"/>
      <c r="AB395" s="32" t="s">
        <v>481</v>
      </c>
      <c r="AC395" s="60"/>
      <c r="AD395" s="261"/>
      <c r="AE395" s="47"/>
      <c r="AF395" s="34" t="s">
        <v>80</v>
      </c>
      <c r="AG395" s="56" t="s">
        <v>900</v>
      </c>
      <c r="AH395" s="47"/>
      <c r="AI395" s="58"/>
      <c r="AJ395" s="41"/>
      <c r="AK395" s="155">
        <v>42212.0</v>
      </c>
      <c r="AL395" s="56" t="s">
        <v>1006</v>
      </c>
    </row>
    <row r="396" ht="22.5" customHeight="1">
      <c r="A396" s="286" t="s">
        <v>3081</v>
      </c>
      <c r="B396" s="57" t="s">
        <v>355</v>
      </c>
      <c r="C396" s="32" t="s">
        <v>1345</v>
      </c>
      <c r="D396" s="34" t="s">
        <v>75</v>
      </c>
      <c r="E396" s="38" t="s">
        <v>1346</v>
      </c>
      <c r="F396" s="41" t="s">
        <v>140</v>
      </c>
      <c r="G396" s="34" t="s">
        <v>85</v>
      </c>
      <c r="H396" s="155">
        <v>42669.0</v>
      </c>
      <c r="I396" s="155">
        <v>42669.0</v>
      </c>
      <c r="J396" s="155">
        <v>42669.0</v>
      </c>
      <c r="K396" s="32" t="s">
        <v>86</v>
      </c>
      <c r="L396" s="41" t="s">
        <v>115</v>
      </c>
      <c r="M396" s="42" t="s">
        <v>313</v>
      </c>
      <c r="N396" s="38" t="s">
        <v>89</v>
      </c>
      <c r="O396" s="38" t="s">
        <v>402</v>
      </c>
      <c r="P396" s="32"/>
      <c r="Q396" s="32" t="s">
        <v>2900</v>
      </c>
      <c r="R396" s="47"/>
      <c r="S396" s="32" t="s">
        <v>402</v>
      </c>
      <c r="T396" s="56" t="s">
        <v>1349</v>
      </c>
      <c r="U396" s="45" t="s">
        <v>3082</v>
      </c>
      <c r="V396" s="34" t="s">
        <v>80</v>
      </c>
      <c r="W396" s="32" t="s">
        <v>1351</v>
      </c>
      <c r="X396" s="149" t="s">
        <v>1352</v>
      </c>
      <c r="Y396" s="152" t="s">
        <v>1353</v>
      </c>
      <c r="Z396" s="32" t="s">
        <v>112</v>
      </c>
      <c r="AA396" s="68"/>
      <c r="AB396" s="32" t="s">
        <v>113</v>
      </c>
      <c r="AC396" s="68"/>
      <c r="AD396" s="261">
        <v>42391.0</v>
      </c>
      <c r="AE396" s="57" t="s">
        <v>3083</v>
      </c>
      <c r="AF396" s="34" t="s">
        <v>80</v>
      </c>
      <c r="AG396" s="56" t="s">
        <v>1355</v>
      </c>
      <c r="AH396" s="47"/>
      <c r="AI396" s="58"/>
      <c r="AJ396" s="41"/>
      <c r="AK396" s="58">
        <v>41770.0</v>
      </c>
      <c r="AL396" s="56" t="s">
        <v>1033</v>
      </c>
    </row>
    <row r="397" ht="22.5" customHeight="1">
      <c r="A397" s="286" t="s">
        <v>3084</v>
      </c>
      <c r="B397" s="57" t="s">
        <v>987</v>
      </c>
      <c r="C397" s="32" t="s">
        <v>988</v>
      </c>
      <c r="D397" s="41" t="s">
        <v>75</v>
      </c>
      <c r="E397" s="63" t="s">
        <v>990</v>
      </c>
      <c r="F397" s="34" t="s">
        <v>93</v>
      </c>
      <c r="G397" s="34" t="s">
        <v>168</v>
      </c>
      <c r="H397" s="155">
        <v>42664.0</v>
      </c>
      <c r="I397" s="155">
        <v>42664.0</v>
      </c>
      <c r="J397" s="155">
        <v>42664.0</v>
      </c>
      <c r="K397" s="32" t="s">
        <v>86</v>
      </c>
      <c r="L397" s="41" t="s">
        <v>115</v>
      </c>
      <c r="M397" s="63" t="s">
        <v>218</v>
      </c>
      <c r="N397" s="38" t="s">
        <v>89</v>
      </c>
      <c r="O397" s="57" t="s">
        <v>1023</v>
      </c>
      <c r="P397" s="32" t="s">
        <v>3085</v>
      </c>
      <c r="Q397" s="57" t="s">
        <v>3086</v>
      </c>
      <c r="R397" s="155">
        <v>43032.0</v>
      </c>
      <c r="S397" s="32" t="s">
        <v>116</v>
      </c>
      <c r="T397" s="203" t="s">
        <v>997</v>
      </c>
      <c r="U397" s="45" t="s">
        <v>3087</v>
      </c>
      <c r="V397" s="34" t="s">
        <v>80</v>
      </c>
      <c r="W397" s="63" t="s">
        <v>1001</v>
      </c>
      <c r="X397" s="63" t="s">
        <v>1002</v>
      </c>
      <c r="Y397" s="56" t="s">
        <v>1003</v>
      </c>
      <c r="Z397" s="32" t="s">
        <v>112</v>
      </c>
      <c r="AA397" s="68"/>
      <c r="AB397" s="32" t="s">
        <v>113</v>
      </c>
      <c r="AC397" s="68"/>
      <c r="AD397" s="261"/>
      <c r="AE397" s="47"/>
      <c r="AF397" s="34" t="s">
        <v>80</v>
      </c>
      <c r="AG397" s="56" t="s">
        <v>1005</v>
      </c>
      <c r="AH397" s="47"/>
      <c r="AI397" s="58"/>
      <c r="AJ397" s="41"/>
      <c r="AK397" s="83">
        <v>41736.0</v>
      </c>
      <c r="AL397" s="56" t="s">
        <v>1028</v>
      </c>
    </row>
    <row r="398" ht="22.5" customHeight="1">
      <c r="A398" s="286" t="s">
        <v>3088</v>
      </c>
      <c r="B398" s="57" t="s">
        <v>932</v>
      </c>
      <c r="C398" s="32" t="s">
        <v>933</v>
      </c>
      <c r="D398" s="34" t="s">
        <v>752</v>
      </c>
      <c r="E398" s="38" t="s">
        <v>935</v>
      </c>
      <c r="F398" s="34" t="s">
        <v>140</v>
      </c>
      <c r="G398" s="34" t="s">
        <v>168</v>
      </c>
      <c r="H398" s="155">
        <v>42671.0</v>
      </c>
      <c r="I398" s="155">
        <v>42643.0</v>
      </c>
      <c r="J398" s="155">
        <v>42671.0</v>
      </c>
      <c r="K398" s="32" t="s">
        <v>70</v>
      </c>
      <c r="L398" s="41" t="s">
        <v>115</v>
      </c>
      <c r="M398" s="42" t="s">
        <v>383</v>
      </c>
      <c r="N398" s="38" t="s">
        <v>89</v>
      </c>
      <c r="O398" s="57" t="s">
        <v>196</v>
      </c>
      <c r="P398" s="32" t="s">
        <v>1837</v>
      </c>
      <c r="Q398" s="57" t="s">
        <v>2434</v>
      </c>
      <c r="R398" s="47"/>
      <c r="S398" s="32" t="s">
        <v>850</v>
      </c>
      <c r="T398" s="45" t="s">
        <v>1335</v>
      </c>
      <c r="U398" s="45" t="s">
        <v>3089</v>
      </c>
      <c r="V398" s="34" t="s">
        <v>80</v>
      </c>
      <c r="W398" s="32" t="s">
        <v>561</v>
      </c>
      <c r="X398" s="32" t="s">
        <v>941</v>
      </c>
      <c r="Y398" s="45" t="s">
        <v>942</v>
      </c>
      <c r="Z398" s="32" t="s">
        <v>112</v>
      </c>
      <c r="AA398" s="68"/>
      <c r="AB398" s="60" t="s">
        <v>240</v>
      </c>
      <c r="AC398" s="68"/>
      <c r="AD398" s="261"/>
      <c r="AE398" s="47"/>
      <c r="AF398" s="34" t="s">
        <v>80</v>
      </c>
      <c r="AG398" s="56" t="s">
        <v>945</v>
      </c>
      <c r="AH398" s="47"/>
      <c r="AI398" s="58"/>
      <c r="AJ398" s="41"/>
      <c r="AK398" s="58">
        <v>41255.0</v>
      </c>
      <c r="AL398" s="56" t="s">
        <v>208</v>
      </c>
    </row>
    <row r="399" ht="22.5" customHeight="1">
      <c r="A399" s="286" t="s">
        <v>3090</v>
      </c>
      <c r="B399" s="57" t="s">
        <v>2655</v>
      </c>
      <c r="C399" s="57" t="s">
        <v>2656</v>
      </c>
      <c r="D399" s="54" t="s">
        <v>75</v>
      </c>
      <c r="E399" s="57" t="s">
        <v>2657</v>
      </c>
      <c r="F399" s="54" t="s">
        <v>140</v>
      </c>
      <c r="G399" s="54" t="s">
        <v>85</v>
      </c>
      <c r="H399" s="155">
        <v>42675.0</v>
      </c>
      <c r="I399" s="155">
        <v>42675.0</v>
      </c>
      <c r="J399" s="47"/>
      <c r="K399" s="32" t="s">
        <v>70</v>
      </c>
      <c r="L399" s="54" t="s">
        <v>115</v>
      </c>
      <c r="M399" s="63" t="s">
        <v>88</v>
      </c>
      <c r="N399" s="32" t="s">
        <v>89</v>
      </c>
      <c r="O399" s="32" t="s">
        <v>196</v>
      </c>
      <c r="P399" s="47"/>
      <c r="Q399" s="57" t="s">
        <v>3091</v>
      </c>
      <c r="R399" s="155">
        <v>43770.0</v>
      </c>
      <c r="S399" s="32" t="s">
        <v>196</v>
      </c>
      <c r="T399" s="56" t="s">
        <v>2658</v>
      </c>
      <c r="U399" s="45" t="s">
        <v>3092</v>
      </c>
      <c r="V399" s="54" t="s">
        <v>80</v>
      </c>
      <c r="W399" s="32" t="s">
        <v>2659</v>
      </c>
      <c r="X399" s="57" t="s">
        <v>2660</v>
      </c>
      <c r="Y399" s="67" t="s">
        <v>2661</v>
      </c>
      <c r="Z399" s="32" t="s">
        <v>112</v>
      </c>
      <c r="AA399" s="47"/>
      <c r="AB399" s="123" t="s">
        <v>113</v>
      </c>
      <c r="AC399" s="60" t="s">
        <v>3093</v>
      </c>
      <c r="AD399" s="261">
        <v>42676.0</v>
      </c>
      <c r="AE399" s="47"/>
      <c r="AF399" s="54" t="s">
        <v>80</v>
      </c>
      <c r="AG399" s="56" t="s">
        <v>2662</v>
      </c>
      <c r="AH399" s="47"/>
      <c r="AI399" s="268"/>
      <c r="AJ399" s="268">
        <v>42495.0</v>
      </c>
      <c r="AK399" s="83">
        <v>42242.0</v>
      </c>
      <c r="AL399" s="56" t="s">
        <v>208</v>
      </c>
    </row>
    <row r="400" ht="22.5" customHeight="1">
      <c r="A400" s="286" t="s">
        <v>3094</v>
      </c>
      <c r="B400" s="57" t="s">
        <v>190</v>
      </c>
      <c r="C400" s="57" t="s">
        <v>191</v>
      </c>
      <c r="D400" s="34" t="s">
        <v>752</v>
      </c>
      <c r="E400" s="38" t="s">
        <v>193</v>
      </c>
      <c r="F400" s="54" t="s">
        <v>93</v>
      </c>
      <c r="G400" s="34" t="s">
        <v>168</v>
      </c>
      <c r="H400" s="155">
        <v>42674.0</v>
      </c>
      <c r="I400" s="155">
        <v>42660.0</v>
      </c>
      <c r="J400" s="155">
        <v>42674.0</v>
      </c>
      <c r="K400" s="32" t="s">
        <v>70</v>
      </c>
      <c r="L400" s="41" t="s">
        <v>115</v>
      </c>
      <c r="M400" s="63" t="s">
        <v>88</v>
      </c>
      <c r="N400" s="38" t="s">
        <v>89</v>
      </c>
      <c r="O400" s="32" t="s">
        <v>196</v>
      </c>
      <c r="P400" s="57" t="s">
        <v>1837</v>
      </c>
      <c r="Q400" s="57" t="s">
        <v>2434</v>
      </c>
      <c r="R400" s="155"/>
      <c r="S400" s="57" t="s">
        <v>116</v>
      </c>
      <c r="T400" s="56" t="s">
        <v>198</v>
      </c>
      <c r="U400" s="45" t="s">
        <v>3095</v>
      </c>
      <c r="V400" s="34" t="s">
        <v>80</v>
      </c>
      <c r="W400" s="32" t="s">
        <v>201</v>
      </c>
      <c r="X400" s="32" t="s">
        <v>202</v>
      </c>
      <c r="Y400" s="45" t="s">
        <v>203</v>
      </c>
      <c r="Z400" s="32" t="s">
        <v>112</v>
      </c>
      <c r="AA400" s="47"/>
      <c r="AB400" s="32" t="s">
        <v>113</v>
      </c>
      <c r="AC400" s="60"/>
      <c r="AD400" s="261"/>
      <c r="AE400" s="47"/>
      <c r="AF400" s="54" t="s">
        <v>80</v>
      </c>
      <c r="AG400" s="56" t="s">
        <v>206</v>
      </c>
      <c r="AH400" s="47"/>
      <c r="AI400" s="268"/>
      <c r="AJ400" s="41"/>
      <c r="AK400" s="58">
        <v>41215.0</v>
      </c>
      <c r="AL400" s="56" t="s">
        <v>208</v>
      </c>
    </row>
    <row r="401" ht="22.5" customHeight="1">
      <c r="A401" s="286" t="s">
        <v>3096</v>
      </c>
      <c r="B401" s="57" t="s">
        <v>2924</v>
      </c>
      <c r="C401" s="32" t="s">
        <v>1167</v>
      </c>
      <c r="D401" s="41" t="s">
        <v>75</v>
      </c>
      <c r="E401" s="38" t="s">
        <v>1169</v>
      </c>
      <c r="F401" s="34" t="s">
        <v>93</v>
      </c>
      <c r="G401" s="34" t="s">
        <v>168</v>
      </c>
      <c r="H401" s="155">
        <v>42655.0</v>
      </c>
      <c r="I401" s="155">
        <v>42655.0</v>
      </c>
      <c r="J401" s="155"/>
      <c r="K401" s="32" t="s">
        <v>70</v>
      </c>
      <c r="L401" s="34" t="s">
        <v>115</v>
      </c>
      <c r="M401" s="63" t="s">
        <v>218</v>
      </c>
      <c r="N401" s="38" t="s">
        <v>89</v>
      </c>
      <c r="O401" s="32" t="s">
        <v>175</v>
      </c>
      <c r="P401" s="32"/>
      <c r="Q401" s="57" t="s">
        <v>2865</v>
      </c>
      <c r="R401" s="155"/>
      <c r="S401" s="32" t="s">
        <v>116</v>
      </c>
      <c r="T401" s="45" t="s">
        <v>1174</v>
      </c>
      <c r="U401" s="45" t="s">
        <v>3097</v>
      </c>
      <c r="V401" s="34" t="s">
        <v>80</v>
      </c>
      <c r="W401" s="60" t="s">
        <v>1180</v>
      </c>
      <c r="X401" s="60" t="s">
        <v>1181</v>
      </c>
      <c r="Y401" s="109" t="s">
        <v>1182</v>
      </c>
      <c r="Z401" s="32" t="s">
        <v>112</v>
      </c>
      <c r="AA401" s="47"/>
      <c r="AB401" s="60" t="s">
        <v>1183</v>
      </c>
      <c r="AC401" s="60"/>
      <c r="AD401" s="261"/>
      <c r="AE401" s="47"/>
      <c r="AF401" s="54" t="s">
        <v>80</v>
      </c>
      <c r="AG401" s="56" t="s">
        <v>1187</v>
      </c>
      <c r="AH401" s="47"/>
      <c r="AI401" s="268"/>
      <c r="AJ401" s="41"/>
      <c r="AK401" s="58">
        <v>41451.0</v>
      </c>
      <c r="AL401" s="56" t="s">
        <v>188</v>
      </c>
    </row>
    <row r="402" ht="22.5" customHeight="1">
      <c r="A402" s="286" t="s">
        <v>3098</v>
      </c>
      <c r="B402" s="57" t="s">
        <v>888</v>
      </c>
      <c r="C402" s="32" t="s">
        <v>1281</v>
      </c>
      <c r="D402" s="41" t="s">
        <v>75</v>
      </c>
      <c r="E402" s="38" t="s">
        <v>1282</v>
      </c>
      <c r="F402" s="34" t="s">
        <v>140</v>
      </c>
      <c r="G402" s="34" t="s">
        <v>168</v>
      </c>
      <c r="H402" s="155">
        <v>42696.0</v>
      </c>
      <c r="I402" s="155">
        <v>42696.0</v>
      </c>
      <c r="J402" s="155"/>
      <c r="K402" s="32" t="s">
        <v>70</v>
      </c>
      <c r="L402" s="34" t="s">
        <v>115</v>
      </c>
      <c r="M402" s="32" t="s">
        <v>88</v>
      </c>
      <c r="N402" s="32" t="s">
        <v>89</v>
      </c>
      <c r="O402" s="32" t="s">
        <v>1522</v>
      </c>
      <c r="P402" s="32"/>
      <c r="Q402" s="57" t="s">
        <v>3099</v>
      </c>
      <c r="R402" s="155"/>
      <c r="S402" s="32" t="s">
        <v>196</v>
      </c>
      <c r="T402" s="45" t="s">
        <v>1285</v>
      </c>
      <c r="U402" s="45" t="s">
        <v>3100</v>
      </c>
      <c r="V402" s="34" t="s">
        <v>74</v>
      </c>
      <c r="W402" s="32" t="s">
        <v>561</v>
      </c>
      <c r="X402" s="60" t="s">
        <v>1287</v>
      </c>
      <c r="Y402" s="45" t="s">
        <v>1288</v>
      </c>
      <c r="Z402" s="32" t="s">
        <v>112</v>
      </c>
      <c r="AA402" s="32"/>
      <c r="AB402" s="32" t="s">
        <v>113</v>
      </c>
      <c r="AC402" s="60"/>
      <c r="AD402" s="261"/>
      <c r="AE402" s="57" t="s">
        <v>3101</v>
      </c>
      <c r="AF402" s="54" t="s">
        <v>80</v>
      </c>
      <c r="AG402" s="56" t="s">
        <v>900</v>
      </c>
      <c r="AH402" s="47"/>
      <c r="AI402" s="58"/>
      <c r="AJ402" s="41"/>
      <c r="AK402" s="155">
        <v>41770.0</v>
      </c>
      <c r="AL402" s="56" t="s">
        <v>3102</v>
      </c>
    </row>
    <row r="403" ht="22.5" customHeight="1">
      <c r="A403" s="286" t="s">
        <v>3103</v>
      </c>
      <c r="B403" s="149" t="s">
        <v>2561</v>
      </c>
      <c r="C403" s="149" t="s">
        <v>2562</v>
      </c>
      <c r="D403" s="41" t="s">
        <v>75</v>
      </c>
      <c r="E403" s="149" t="s">
        <v>2563</v>
      </c>
      <c r="F403" s="34" t="s">
        <v>93</v>
      </c>
      <c r="G403" s="34" t="s">
        <v>168</v>
      </c>
      <c r="H403" s="155">
        <v>42645.0</v>
      </c>
      <c r="I403" s="155"/>
      <c r="J403" s="155">
        <v>42645.0</v>
      </c>
      <c r="K403" s="32" t="s">
        <v>70</v>
      </c>
      <c r="L403" s="41" t="s">
        <v>115</v>
      </c>
      <c r="M403" s="63" t="s">
        <v>218</v>
      </c>
      <c r="N403" s="38" t="s">
        <v>89</v>
      </c>
      <c r="O403" s="32" t="s">
        <v>142</v>
      </c>
      <c r="P403" s="32" t="s">
        <v>1050</v>
      </c>
      <c r="Q403" s="57" t="s">
        <v>2590</v>
      </c>
      <c r="R403" s="155"/>
      <c r="S403" s="32" t="s">
        <v>116</v>
      </c>
      <c r="T403" s="56" t="s">
        <v>2564</v>
      </c>
      <c r="U403" s="45" t="s">
        <v>3104</v>
      </c>
      <c r="V403" s="34" t="s">
        <v>80</v>
      </c>
      <c r="W403" s="149" t="s">
        <v>2566</v>
      </c>
      <c r="X403" s="149" t="s">
        <v>2567</v>
      </c>
      <c r="Y403" s="152" t="s">
        <v>2568</v>
      </c>
      <c r="Z403" s="32" t="s">
        <v>112</v>
      </c>
      <c r="AA403" s="32"/>
      <c r="AB403" s="32" t="s">
        <v>113</v>
      </c>
      <c r="AC403" s="60"/>
      <c r="AD403" s="261"/>
      <c r="AE403" s="57"/>
      <c r="AF403" s="34" t="s">
        <v>80</v>
      </c>
      <c r="AG403" s="56" t="s">
        <v>2571</v>
      </c>
      <c r="AH403" s="47"/>
      <c r="AI403" s="58"/>
      <c r="AJ403" s="266"/>
      <c r="AK403" s="268">
        <v>42046.0</v>
      </c>
      <c r="AL403" s="56" t="s">
        <v>262</v>
      </c>
    </row>
    <row r="404" ht="22.5" customHeight="1">
      <c r="A404" s="286" t="s">
        <v>3105</v>
      </c>
      <c r="B404" s="57" t="s">
        <v>901</v>
      </c>
      <c r="C404" s="149" t="s">
        <v>967</v>
      </c>
      <c r="D404" s="41" t="s">
        <v>584</v>
      </c>
      <c r="E404" s="250" t="s">
        <v>968</v>
      </c>
      <c r="F404" s="39" t="s">
        <v>93</v>
      </c>
      <c r="G404" s="39" t="s">
        <v>168</v>
      </c>
      <c r="H404" s="155">
        <v>42671.0</v>
      </c>
      <c r="I404" s="155">
        <v>42671.0</v>
      </c>
      <c r="J404" s="155">
        <v>42671.0</v>
      </c>
      <c r="K404" s="32" t="s">
        <v>70</v>
      </c>
      <c r="L404" s="34" t="s">
        <v>115</v>
      </c>
      <c r="M404" s="42" t="s">
        <v>313</v>
      </c>
      <c r="N404" s="38" t="s">
        <v>89</v>
      </c>
      <c r="O404" s="32" t="s">
        <v>3106</v>
      </c>
      <c r="P404" s="32"/>
      <c r="Q404" s="57" t="s">
        <v>3107</v>
      </c>
      <c r="R404" s="191">
        <v>43766.0</v>
      </c>
      <c r="S404" s="32" t="s">
        <v>116</v>
      </c>
      <c r="T404" s="45" t="s">
        <v>974</v>
      </c>
      <c r="U404" s="45" t="s">
        <v>3108</v>
      </c>
      <c r="V404" s="34" t="s">
        <v>80</v>
      </c>
      <c r="W404" s="60" t="s">
        <v>976</v>
      </c>
      <c r="X404" s="60" t="s">
        <v>977</v>
      </c>
      <c r="Y404" s="109" t="s">
        <v>906</v>
      </c>
      <c r="Z404" s="32" t="s">
        <v>112</v>
      </c>
      <c r="AA404" s="32"/>
      <c r="AB404" s="123" t="s">
        <v>113</v>
      </c>
      <c r="AC404" s="60"/>
      <c r="AD404" s="261"/>
      <c r="AE404" s="57"/>
      <c r="AF404" s="34" t="s">
        <v>80</v>
      </c>
      <c r="AG404" s="56" t="s">
        <v>911</v>
      </c>
      <c r="AH404" s="47"/>
      <c r="AI404" s="58"/>
      <c r="AJ404" s="41"/>
      <c r="AK404" s="58">
        <v>41368.0</v>
      </c>
      <c r="AL404" s="56" t="s">
        <v>3109</v>
      </c>
    </row>
    <row r="405" ht="22.5" customHeight="1">
      <c r="A405" s="286" t="s">
        <v>3110</v>
      </c>
      <c r="B405" s="57" t="s">
        <v>2044</v>
      </c>
      <c r="C405" s="32" t="s">
        <v>2045</v>
      </c>
      <c r="D405" s="54" t="s">
        <v>91</v>
      </c>
      <c r="E405" s="57" t="s">
        <v>2046</v>
      </c>
      <c r="F405" s="34" t="s">
        <v>93</v>
      </c>
      <c r="G405" s="34" t="s">
        <v>168</v>
      </c>
      <c r="H405" s="155">
        <v>42664.0</v>
      </c>
      <c r="I405" s="155"/>
      <c r="J405" s="155">
        <v>42664.0</v>
      </c>
      <c r="K405" s="32" t="s">
        <v>70</v>
      </c>
      <c r="L405" s="34" t="s">
        <v>115</v>
      </c>
      <c r="M405" s="63" t="s">
        <v>313</v>
      </c>
      <c r="N405" s="32" t="s">
        <v>89</v>
      </c>
      <c r="O405" s="32" t="s">
        <v>175</v>
      </c>
      <c r="P405" s="149" t="s">
        <v>2236</v>
      </c>
      <c r="Q405" s="57" t="s">
        <v>2237</v>
      </c>
      <c r="R405" s="191">
        <v>43759.0</v>
      </c>
      <c r="S405" s="32" t="s">
        <v>116</v>
      </c>
      <c r="T405" s="45" t="s">
        <v>2796</v>
      </c>
      <c r="U405" s="45" t="s">
        <v>3111</v>
      </c>
      <c r="V405" s="34" t="s">
        <v>80</v>
      </c>
      <c r="W405" s="57" t="s">
        <v>2798</v>
      </c>
      <c r="X405" s="57" t="s">
        <v>2052</v>
      </c>
      <c r="Y405" s="67" t="s">
        <v>2053</v>
      </c>
      <c r="Z405" s="32" t="s">
        <v>112</v>
      </c>
      <c r="AA405" s="47"/>
      <c r="AB405" s="123" t="s">
        <v>113</v>
      </c>
      <c r="AC405" s="60"/>
      <c r="AD405" s="261"/>
      <c r="AE405" s="57"/>
      <c r="AF405" s="54" t="s">
        <v>80</v>
      </c>
      <c r="AG405" s="56" t="s">
        <v>2054</v>
      </c>
      <c r="AH405" s="47"/>
      <c r="AI405" s="58"/>
      <c r="AJ405" s="41"/>
      <c r="AK405" s="83">
        <v>42047.0</v>
      </c>
      <c r="AL405" s="56" t="s">
        <v>188</v>
      </c>
    </row>
    <row r="406" ht="22.5" customHeight="1">
      <c r="A406" s="286" t="s">
        <v>3112</v>
      </c>
      <c r="B406" s="57" t="s">
        <v>888</v>
      </c>
      <c r="C406" s="32" t="s">
        <v>1956</v>
      </c>
      <c r="D406" s="41" t="s">
        <v>75</v>
      </c>
      <c r="E406" s="38" t="s">
        <v>1957</v>
      </c>
      <c r="F406" s="34" t="s">
        <v>93</v>
      </c>
      <c r="G406" s="34" t="s">
        <v>85</v>
      </c>
      <c r="H406" s="155">
        <v>42647.0</v>
      </c>
      <c r="I406" s="155">
        <v>42635.0</v>
      </c>
      <c r="J406" s="155">
        <v>42647.0</v>
      </c>
      <c r="K406" s="32" t="s">
        <v>86</v>
      </c>
      <c r="L406" s="41" t="s">
        <v>115</v>
      </c>
      <c r="M406" s="63" t="s">
        <v>218</v>
      </c>
      <c r="N406" s="32" t="s">
        <v>434</v>
      </c>
      <c r="O406" s="32" t="s">
        <v>116</v>
      </c>
      <c r="P406" s="149"/>
      <c r="Q406" s="57"/>
      <c r="R406" s="191"/>
      <c r="S406" s="32" t="s">
        <v>116</v>
      </c>
      <c r="T406" s="45" t="s">
        <v>1959</v>
      </c>
      <c r="U406" s="45" t="s">
        <v>3113</v>
      </c>
      <c r="V406" s="34" t="s">
        <v>74</v>
      </c>
      <c r="W406" s="60" t="s">
        <v>1961</v>
      </c>
      <c r="X406" s="198" t="s">
        <v>1962</v>
      </c>
      <c r="Y406" s="109" t="s">
        <v>1963</v>
      </c>
      <c r="Z406" s="32" t="s">
        <v>112</v>
      </c>
      <c r="AA406" s="32"/>
      <c r="AB406" s="32" t="s">
        <v>113</v>
      </c>
      <c r="AC406" s="68"/>
      <c r="AD406" s="261">
        <v>42647.0</v>
      </c>
      <c r="AE406" s="57"/>
      <c r="AF406" s="34" t="s">
        <v>74</v>
      </c>
      <c r="AG406" s="56" t="s">
        <v>900</v>
      </c>
      <c r="AH406" s="60"/>
      <c r="AI406" s="41"/>
      <c r="AJ406" s="41"/>
      <c r="AK406" s="155">
        <v>42138.0</v>
      </c>
      <c r="AL406" s="63"/>
    </row>
    <row r="407" ht="22.5" customHeight="1">
      <c r="A407" s="286" t="s">
        <v>3114</v>
      </c>
      <c r="B407" s="149" t="s">
        <v>2561</v>
      </c>
      <c r="C407" s="149" t="s">
        <v>2562</v>
      </c>
      <c r="D407" s="41" t="s">
        <v>75</v>
      </c>
      <c r="E407" s="149" t="s">
        <v>2563</v>
      </c>
      <c r="F407" s="34" t="s">
        <v>93</v>
      </c>
      <c r="G407" s="34" t="s">
        <v>168</v>
      </c>
      <c r="H407" s="155">
        <v>42647.0</v>
      </c>
      <c r="I407" s="155">
        <v>42647.0</v>
      </c>
      <c r="J407" s="155">
        <v>42647.0</v>
      </c>
      <c r="K407" s="32" t="s">
        <v>70</v>
      </c>
      <c r="L407" s="41" t="s">
        <v>115</v>
      </c>
      <c r="M407" s="63" t="s">
        <v>218</v>
      </c>
      <c r="N407" s="38" t="s">
        <v>89</v>
      </c>
      <c r="O407" s="32" t="s">
        <v>196</v>
      </c>
      <c r="P407" s="149" t="s">
        <v>1459</v>
      </c>
      <c r="Q407" s="57" t="s">
        <v>3115</v>
      </c>
      <c r="R407" s="191"/>
      <c r="S407" s="32" t="s">
        <v>116</v>
      </c>
      <c r="T407" s="56" t="s">
        <v>2564</v>
      </c>
      <c r="U407" s="45" t="s">
        <v>3116</v>
      </c>
      <c r="V407" s="34" t="s">
        <v>80</v>
      </c>
      <c r="W407" s="149" t="s">
        <v>2566</v>
      </c>
      <c r="X407" s="149" t="s">
        <v>2567</v>
      </c>
      <c r="Y407" s="152" t="s">
        <v>2568</v>
      </c>
      <c r="Z407" s="32" t="s">
        <v>112</v>
      </c>
      <c r="AA407" s="32"/>
      <c r="AB407" s="32" t="s">
        <v>113</v>
      </c>
      <c r="AC407" s="60"/>
      <c r="AD407" s="261"/>
      <c r="AE407" s="57"/>
      <c r="AF407" s="34" t="s">
        <v>80</v>
      </c>
      <c r="AG407" s="56" t="s">
        <v>2571</v>
      </c>
      <c r="AH407" s="47"/>
      <c r="AI407" s="58"/>
      <c r="AJ407" s="266"/>
      <c r="AK407" s="268">
        <v>42046.0</v>
      </c>
      <c r="AL407" s="56" t="s">
        <v>208</v>
      </c>
    </row>
    <row r="408" ht="22.5" customHeight="1">
      <c r="A408" s="286" t="s">
        <v>3117</v>
      </c>
      <c r="B408" s="57" t="s">
        <v>3118</v>
      </c>
      <c r="C408" s="57" t="s">
        <v>3119</v>
      </c>
      <c r="D408" s="54" t="s">
        <v>75</v>
      </c>
      <c r="E408" s="57" t="s">
        <v>3120</v>
      </c>
      <c r="F408" s="54" t="s">
        <v>140</v>
      </c>
      <c r="G408" s="54" t="s">
        <v>85</v>
      </c>
      <c r="H408" s="155">
        <v>42681.0</v>
      </c>
      <c r="I408" s="155">
        <v>42681.0</v>
      </c>
      <c r="J408" s="47"/>
      <c r="K408" s="32" t="s">
        <v>70</v>
      </c>
      <c r="L408" s="54" t="s">
        <v>115</v>
      </c>
      <c r="M408" s="63" t="s">
        <v>218</v>
      </c>
      <c r="N408" s="32" t="s">
        <v>89</v>
      </c>
      <c r="O408" s="32" t="s">
        <v>830</v>
      </c>
      <c r="P408" s="47"/>
      <c r="Q408" s="57" t="s">
        <v>3121</v>
      </c>
      <c r="R408" s="47"/>
      <c r="S408" s="32" t="s">
        <v>830</v>
      </c>
      <c r="T408" s="45" t="s">
        <v>3122</v>
      </c>
      <c r="U408" s="67" t="s">
        <v>3123</v>
      </c>
      <c r="V408" s="54" t="s">
        <v>74</v>
      </c>
      <c r="W408" s="57" t="s">
        <v>3124</v>
      </c>
      <c r="X408" s="57" t="s">
        <v>3125</v>
      </c>
      <c r="Y408" s="67" t="s">
        <v>3126</v>
      </c>
      <c r="Z408" s="32" t="s">
        <v>112</v>
      </c>
      <c r="AA408" s="47"/>
      <c r="AB408" s="32" t="s">
        <v>113</v>
      </c>
      <c r="AC408" s="188" t="s">
        <v>3127</v>
      </c>
      <c r="AD408" s="261">
        <v>42712.0</v>
      </c>
      <c r="AE408" s="47"/>
      <c r="AF408" s="54" t="s">
        <v>80</v>
      </c>
      <c r="AG408" s="56" t="s">
        <v>3128</v>
      </c>
      <c r="AH408" s="139" t="s">
        <v>193</v>
      </c>
      <c r="AI408" s="41"/>
      <c r="AJ408" s="77"/>
      <c r="AK408" s="83">
        <v>42361.0</v>
      </c>
      <c r="AL408" s="56" t="s">
        <v>851</v>
      </c>
    </row>
    <row r="409" ht="22.5" customHeight="1">
      <c r="A409" s="286" t="s">
        <v>3129</v>
      </c>
      <c r="B409" s="149" t="s">
        <v>2561</v>
      </c>
      <c r="C409" s="149" t="s">
        <v>2562</v>
      </c>
      <c r="D409" s="41" t="s">
        <v>75</v>
      </c>
      <c r="E409" s="149" t="s">
        <v>2563</v>
      </c>
      <c r="F409" s="34" t="s">
        <v>93</v>
      </c>
      <c r="G409" s="34" t="s">
        <v>168</v>
      </c>
      <c r="H409" s="155">
        <v>42692.0</v>
      </c>
      <c r="I409" s="155">
        <v>42692.0</v>
      </c>
      <c r="J409" s="155">
        <v>42692.0</v>
      </c>
      <c r="K409" s="32" t="s">
        <v>70</v>
      </c>
      <c r="L409" s="41" t="s">
        <v>115</v>
      </c>
      <c r="M409" s="63" t="s">
        <v>218</v>
      </c>
      <c r="N409" s="38" t="s">
        <v>89</v>
      </c>
      <c r="O409" s="32" t="s">
        <v>1023</v>
      </c>
      <c r="P409" s="47"/>
      <c r="Q409" s="57" t="s">
        <v>3130</v>
      </c>
      <c r="R409" s="155">
        <v>43787.0</v>
      </c>
      <c r="S409" s="32" t="s">
        <v>116</v>
      </c>
      <c r="T409" s="56" t="s">
        <v>2564</v>
      </c>
      <c r="U409" s="67" t="s">
        <v>3131</v>
      </c>
      <c r="V409" s="34" t="s">
        <v>80</v>
      </c>
      <c r="W409" s="149" t="s">
        <v>2566</v>
      </c>
      <c r="X409" s="149" t="s">
        <v>2567</v>
      </c>
      <c r="Y409" s="152" t="s">
        <v>2568</v>
      </c>
      <c r="Z409" s="32" t="s">
        <v>112</v>
      </c>
      <c r="AA409" s="32"/>
      <c r="AB409" s="32" t="s">
        <v>113</v>
      </c>
      <c r="AC409" s="188"/>
      <c r="AD409" s="261"/>
      <c r="AE409" s="47"/>
      <c r="AF409" s="34" t="s">
        <v>80</v>
      </c>
      <c r="AG409" s="56" t="s">
        <v>2571</v>
      </c>
      <c r="AH409" s="47"/>
      <c r="AI409" s="58"/>
      <c r="AJ409" s="266"/>
      <c r="AK409" s="268">
        <v>42046.0</v>
      </c>
      <c r="AL409" s="56" t="s">
        <v>1028</v>
      </c>
    </row>
    <row r="410" ht="22.5" customHeight="1">
      <c r="A410" s="286" t="s">
        <v>3132</v>
      </c>
      <c r="B410" s="57" t="s">
        <v>1321</v>
      </c>
      <c r="C410" s="32" t="s">
        <v>1322</v>
      </c>
      <c r="D410" s="34" t="s">
        <v>845</v>
      </c>
      <c r="E410" s="38" t="s">
        <v>1323</v>
      </c>
      <c r="F410" s="34" t="s">
        <v>140</v>
      </c>
      <c r="G410" s="34" t="s">
        <v>168</v>
      </c>
      <c r="H410" s="155">
        <v>42650.0</v>
      </c>
      <c r="I410" s="155">
        <v>42650.0</v>
      </c>
      <c r="J410" s="155"/>
      <c r="K410" s="32" t="s">
        <v>70</v>
      </c>
      <c r="L410" s="34" t="s">
        <v>115</v>
      </c>
      <c r="M410" s="42" t="s">
        <v>88</v>
      </c>
      <c r="N410" s="32" t="s">
        <v>89</v>
      </c>
      <c r="O410" s="32" t="s">
        <v>743</v>
      </c>
      <c r="P410" s="47"/>
      <c r="Q410" s="32" t="s">
        <v>3133</v>
      </c>
      <c r="R410" s="155"/>
      <c r="S410" s="32" t="s">
        <v>196</v>
      </c>
      <c r="T410" s="45" t="s">
        <v>1324</v>
      </c>
      <c r="U410" s="67" t="s">
        <v>3134</v>
      </c>
      <c r="V410" s="34" t="s">
        <v>80</v>
      </c>
      <c r="W410" s="32" t="s">
        <v>561</v>
      </c>
      <c r="X410" s="32" t="s">
        <v>1326</v>
      </c>
      <c r="Y410" s="109" t="s">
        <v>1327</v>
      </c>
      <c r="Z410" s="32" t="s">
        <v>112</v>
      </c>
      <c r="AA410" s="32"/>
      <c r="AB410" s="32" t="s">
        <v>113</v>
      </c>
      <c r="AC410" s="60"/>
      <c r="AD410" s="261"/>
      <c r="AE410" s="47"/>
      <c r="AF410" s="34" t="s">
        <v>80</v>
      </c>
      <c r="AG410" s="56" t="s">
        <v>1329</v>
      </c>
      <c r="AH410" s="47"/>
      <c r="AI410" s="58"/>
      <c r="AJ410" s="266"/>
      <c r="AK410" s="58">
        <v>41619.0</v>
      </c>
      <c r="AL410" s="56" t="s">
        <v>1953</v>
      </c>
    </row>
    <row r="411" ht="22.5" customHeight="1">
      <c r="A411" s="286" t="s">
        <v>3135</v>
      </c>
      <c r="B411" s="57" t="s">
        <v>888</v>
      </c>
      <c r="C411" s="32" t="s">
        <v>1281</v>
      </c>
      <c r="D411" s="41" t="s">
        <v>75</v>
      </c>
      <c r="E411" s="38" t="s">
        <v>1282</v>
      </c>
      <c r="F411" s="34" t="s">
        <v>140</v>
      </c>
      <c r="G411" s="34" t="s">
        <v>168</v>
      </c>
      <c r="H411" s="155">
        <v>42725.0</v>
      </c>
      <c r="I411" s="155">
        <v>42725.0</v>
      </c>
      <c r="J411" s="155"/>
      <c r="K411" s="32" t="s">
        <v>70</v>
      </c>
      <c r="L411" s="34" t="s">
        <v>115</v>
      </c>
      <c r="M411" s="32" t="s">
        <v>88</v>
      </c>
      <c r="N411" s="32" t="s">
        <v>89</v>
      </c>
      <c r="O411" s="32" t="s">
        <v>994</v>
      </c>
      <c r="P411" s="57" t="s">
        <v>2280</v>
      </c>
      <c r="Q411" s="32" t="s">
        <v>2281</v>
      </c>
      <c r="R411" s="155"/>
      <c r="S411" s="32" t="s">
        <v>196</v>
      </c>
      <c r="T411" s="45" t="s">
        <v>1285</v>
      </c>
      <c r="U411" s="67" t="s">
        <v>3136</v>
      </c>
      <c r="V411" s="34" t="s">
        <v>80</v>
      </c>
      <c r="W411" s="32" t="s">
        <v>561</v>
      </c>
      <c r="X411" s="60" t="s">
        <v>1287</v>
      </c>
      <c r="Y411" s="45" t="s">
        <v>1288</v>
      </c>
      <c r="Z411" s="32" t="s">
        <v>112</v>
      </c>
      <c r="AA411" s="32"/>
      <c r="AB411" s="32" t="s">
        <v>113</v>
      </c>
      <c r="AC411" s="60"/>
      <c r="AD411" s="261"/>
      <c r="AE411" s="47"/>
      <c r="AF411" s="54" t="s">
        <v>80</v>
      </c>
      <c r="AG411" s="56" t="s">
        <v>900</v>
      </c>
      <c r="AH411" s="47"/>
      <c r="AI411" s="58"/>
      <c r="AJ411" s="41"/>
      <c r="AK411" s="155">
        <v>41770.0</v>
      </c>
      <c r="AL411" s="56" t="s">
        <v>1006</v>
      </c>
    </row>
    <row r="412" ht="22.5" customHeight="1">
      <c r="A412" s="286" t="s">
        <v>3137</v>
      </c>
      <c r="B412" s="57" t="s">
        <v>1374</v>
      </c>
      <c r="C412" s="32" t="s">
        <v>1375</v>
      </c>
      <c r="D412" s="39" t="s">
        <v>91</v>
      </c>
      <c r="E412" s="103" t="s">
        <v>1376</v>
      </c>
      <c r="F412" s="41" t="s">
        <v>93</v>
      </c>
      <c r="G412" s="34" t="s">
        <v>168</v>
      </c>
      <c r="H412" s="155">
        <v>42655.0</v>
      </c>
      <c r="I412" s="155">
        <v>42655.0</v>
      </c>
      <c r="J412" s="155"/>
      <c r="K412" s="32" t="s">
        <v>70</v>
      </c>
      <c r="L412" s="41" t="s">
        <v>115</v>
      </c>
      <c r="M412" s="63" t="s">
        <v>218</v>
      </c>
      <c r="N412" s="32" t="s">
        <v>89</v>
      </c>
      <c r="O412" s="32" t="s">
        <v>1864</v>
      </c>
      <c r="P412" s="57"/>
      <c r="Q412" s="32" t="s">
        <v>3138</v>
      </c>
      <c r="R412" s="155">
        <v>43750.0</v>
      </c>
      <c r="S412" s="32" t="s">
        <v>116</v>
      </c>
      <c r="T412" s="56" t="s">
        <v>1378</v>
      </c>
      <c r="U412" s="67" t="s">
        <v>3139</v>
      </c>
      <c r="V412" s="34" t="s">
        <v>80</v>
      </c>
      <c r="W412" s="172" t="s">
        <v>1380</v>
      </c>
      <c r="X412" s="198" t="s">
        <v>1381</v>
      </c>
      <c r="Y412" s="152" t="s">
        <v>1382</v>
      </c>
      <c r="Z412" s="32" t="s">
        <v>112</v>
      </c>
      <c r="AA412" s="38"/>
      <c r="AB412" s="32" t="s">
        <v>113</v>
      </c>
      <c r="AC412" s="60"/>
      <c r="AD412" s="261"/>
      <c r="AE412" s="47"/>
      <c r="AF412" s="34" t="s">
        <v>80</v>
      </c>
      <c r="AG412" s="56" t="s">
        <v>1384</v>
      </c>
      <c r="AH412" s="41"/>
      <c r="AI412" s="41"/>
      <c r="AJ412" s="41"/>
      <c r="AK412" s="58">
        <v>41869.0</v>
      </c>
      <c r="AL412" s="56" t="s">
        <v>2588</v>
      </c>
    </row>
    <row r="413" ht="22.5" customHeight="1">
      <c r="A413" s="286" t="s">
        <v>3140</v>
      </c>
      <c r="B413" s="57" t="s">
        <v>987</v>
      </c>
      <c r="C413" s="32" t="s">
        <v>988</v>
      </c>
      <c r="D413" s="41" t="s">
        <v>75</v>
      </c>
      <c r="E413" s="63" t="s">
        <v>990</v>
      </c>
      <c r="F413" s="34" t="s">
        <v>93</v>
      </c>
      <c r="G413" s="34" t="s">
        <v>168</v>
      </c>
      <c r="H413" s="155">
        <v>42738.0</v>
      </c>
      <c r="I413" s="155">
        <v>42738.0</v>
      </c>
      <c r="J413" s="155"/>
      <c r="K413" s="32" t="s">
        <v>86</v>
      </c>
      <c r="L413" s="41" t="s">
        <v>115</v>
      </c>
      <c r="M413" s="63" t="s">
        <v>218</v>
      </c>
      <c r="N413" s="38" t="s">
        <v>89</v>
      </c>
      <c r="O413" s="32" t="s">
        <v>1418</v>
      </c>
      <c r="P413" s="57"/>
      <c r="Q413" s="32" t="s">
        <v>3141</v>
      </c>
      <c r="R413" s="155">
        <v>43100.0</v>
      </c>
      <c r="S413" s="32" t="s">
        <v>116</v>
      </c>
      <c r="T413" s="203" t="s">
        <v>997</v>
      </c>
      <c r="U413" s="67" t="s">
        <v>3142</v>
      </c>
      <c r="V413" s="34" t="s">
        <v>80</v>
      </c>
      <c r="W413" s="63" t="s">
        <v>1001</v>
      </c>
      <c r="X413" s="63" t="s">
        <v>1002</v>
      </c>
      <c r="Y413" s="56" t="s">
        <v>1003</v>
      </c>
      <c r="Z413" s="32" t="s">
        <v>112</v>
      </c>
      <c r="AA413" s="68"/>
      <c r="AB413" s="32" t="s">
        <v>113</v>
      </c>
      <c r="AC413" s="68"/>
      <c r="AD413" s="261"/>
      <c r="AE413" s="47"/>
      <c r="AF413" s="34" t="s">
        <v>80</v>
      </c>
      <c r="AG413" s="56" t="s">
        <v>1005</v>
      </c>
      <c r="AH413" s="47"/>
      <c r="AI413" s="58"/>
      <c r="AJ413" s="41"/>
      <c r="AK413" s="83">
        <v>41736.0</v>
      </c>
      <c r="AL413" s="56" t="s">
        <v>2952</v>
      </c>
    </row>
    <row r="414" ht="22.5" customHeight="1">
      <c r="A414" s="286" t="s">
        <v>3143</v>
      </c>
      <c r="B414" s="57" t="s">
        <v>1251</v>
      </c>
      <c r="C414" s="32" t="s">
        <v>1252</v>
      </c>
      <c r="D414" s="41" t="s">
        <v>91</v>
      </c>
      <c r="E414" s="38" t="s">
        <v>1253</v>
      </c>
      <c r="F414" s="34" t="s">
        <v>93</v>
      </c>
      <c r="G414" s="34" t="s">
        <v>168</v>
      </c>
      <c r="H414" s="155">
        <v>42650.0</v>
      </c>
      <c r="I414" s="155"/>
      <c r="J414" s="155">
        <v>42650.0</v>
      </c>
      <c r="K414" s="32" t="s">
        <v>70</v>
      </c>
      <c r="L414" s="41" t="s">
        <v>115</v>
      </c>
      <c r="M414" s="63" t="s">
        <v>218</v>
      </c>
      <c r="N414" s="38" t="s">
        <v>89</v>
      </c>
      <c r="O414" s="32" t="s">
        <v>142</v>
      </c>
      <c r="P414" s="38" t="s">
        <v>1050</v>
      </c>
      <c r="Q414" s="32" t="s">
        <v>2590</v>
      </c>
      <c r="R414" s="155"/>
      <c r="S414" s="32" t="s">
        <v>116</v>
      </c>
      <c r="T414" s="45" t="s">
        <v>1256</v>
      </c>
      <c r="U414" s="67" t="s">
        <v>3144</v>
      </c>
      <c r="V414" s="34" t="s">
        <v>80</v>
      </c>
      <c r="W414" s="60" t="s">
        <v>1261</v>
      </c>
      <c r="X414" s="32" t="s">
        <v>1262</v>
      </c>
      <c r="Y414" s="109" t="s">
        <v>1263</v>
      </c>
      <c r="Z414" s="32" t="s">
        <v>112</v>
      </c>
      <c r="AA414" s="32"/>
      <c r="AB414" s="32" t="s">
        <v>113</v>
      </c>
      <c r="AC414" s="60"/>
      <c r="AD414" s="261"/>
      <c r="AE414" s="47"/>
      <c r="AF414" s="34" t="s">
        <v>80</v>
      </c>
      <c r="AG414" s="56" t="s">
        <v>1269</v>
      </c>
      <c r="AH414" s="41"/>
      <c r="AI414" s="41"/>
      <c r="AJ414" s="41"/>
      <c r="AK414" s="58">
        <v>41162.0</v>
      </c>
      <c r="AL414" s="56" t="s">
        <v>262</v>
      </c>
    </row>
    <row r="415" ht="22.5" customHeight="1">
      <c r="A415" s="286" t="s">
        <v>3145</v>
      </c>
      <c r="B415" s="149" t="s">
        <v>2561</v>
      </c>
      <c r="C415" s="32" t="s">
        <v>2562</v>
      </c>
      <c r="D415" s="41" t="s">
        <v>75</v>
      </c>
      <c r="E415" s="149" t="s">
        <v>2563</v>
      </c>
      <c r="F415" s="34" t="s">
        <v>93</v>
      </c>
      <c r="G415" s="34" t="s">
        <v>168</v>
      </c>
      <c r="H415" s="155">
        <v>42745.0</v>
      </c>
      <c r="I415" s="155">
        <v>42745.0</v>
      </c>
      <c r="J415" s="155"/>
      <c r="K415" s="32" t="s">
        <v>70</v>
      </c>
      <c r="L415" s="41" t="s">
        <v>115</v>
      </c>
      <c r="M415" s="63" t="s">
        <v>218</v>
      </c>
      <c r="N415" s="38" t="s">
        <v>89</v>
      </c>
      <c r="O415" s="32" t="s">
        <v>850</v>
      </c>
      <c r="P415" s="32" t="s">
        <v>1983</v>
      </c>
      <c r="Q415" s="32" t="s">
        <v>3146</v>
      </c>
      <c r="R415" s="155"/>
      <c r="S415" s="32" t="s">
        <v>116</v>
      </c>
      <c r="T415" s="56" t="s">
        <v>2564</v>
      </c>
      <c r="U415" s="67" t="s">
        <v>3147</v>
      </c>
      <c r="V415" s="34" t="s">
        <v>80</v>
      </c>
      <c r="W415" s="149" t="s">
        <v>2566</v>
      </c>
      <c r="X415" s="149" t="s">
        <v>2567</v>
      </c>
      <c r="Y415" s="152" t="s">
        <v>2568</v>
      </c>
      <c r="Z415" s="32" t="s">
        <v>112</v>
      </c>
      <c r="AA415" s="32"/>
      <c r="AB415" s="32" t="s">
        <v>113</v>
      </c>
      <c r="AC415" s="188"/>
      <c r="AD415" s="261"/>
      <c r="AE415" s="47"/>
      <c r="AF415" s="34" t="s">
        <v>80</v>
      </c>
      <c r="AG415" s="56" t="s">
        <v>2571</v>
      </c>
      <c r="AH415" s="47"/>
      <c r="AI415" s="58"/>
      <c r="AJ415" s="266"/>
      <c r="AK415" s="268">
        <v>42046.0</v>
      </c>
      <c r="AL415" s="56" t="s">
        <v>870</v>
      </c>
    </row>
    <row r="416" ht="22.5" customHeight="1">
      <c r="A416" s="286" t="s">
        <v>3148</v>
      </c>
      <c r="B416" s="57" t="s">
        <v>1707</v>
      </c>
      <c r="C416" s="32" t="s">
        <v>1708</v>
      </c>
      <c r="D416" s="177" t="s">
        <v>584</v>
      </c>
      <c r="E416" s="103" t="s">
        <v>1709</v>
      </c>
      <c r="F416" s="34" t="s">
        <v>93</v>
      </c>
      <c r="G416" s="34" t="s">
        <v>168</v>
      </c>
      <c r="H416" s="155">
        <v>42747.0</v>
      </c>
      <c r="I416" s="155">
        <v>42747.0</v>
      </c>
      <c r="J416" s="155"/>
      <c r="K416" s="32" t="s">
        <v>70</v>
      </c>
      <c r="L416" s="34" t="s">
        <v>115</v>
      </c>
      <c r="M416" s="63" t="s">
        <v>218</v>
      </c>
      <c r="N416" s="38" t="s">
        <v>89</v>
      </c>
      <c r="O416" s="32" t="s">
        <v>994</v>
      </c>
      <c r="P416" s="32" t="s">
        <v>2907</v>
      </c>
      <c r="Q416" s="32" t="s">
        <v>3149</v>
      </c>
      <c r="R416" s="155"/>
      <c r="S416" s="32" t="s">
        <v>116</v>
      </c>
      <c r="T416" s="203" t="s">
        <v>1712</v>
      </c>
      <c r="U416" s="67" t="s">
        <v>3150</v>
      </c>
      <c r="V416" s="34" t="s">
        <v>80</v>
      </c>
      <c r="W416" s="60" t="s">
        <v>1714</v>
      </c>
      <c r="X416" s="60" t="s">
        <v>1715</v>
      </c>
      <c r="Y416" s="109" t="s">
        <v>1716</v>
      </c>
      <c r="Z416" s="32" t="s">
        <v>112</v>
      </c>
      <c r="AA416" s="32"/>
      <c r="AB416" s="123" t="s">
        <v>113</v>
      </c>
      <c r="AC416" s="60"/>
      <c r="AD416" s="261"/>
      <c r="AE416" s="47"/>
      <c r="AF416" s="34" t="s">
        <v>80</v>
      </c>
      <c r="AG416" s="56" t="s">
        <v>1720</v>
      </c>
      <c r="AH416" s="41"/>
      <c r="AI416" s="41"/>
      <c r="AJ416" s="41"/>
      <c r="AK416" s="58">
        <v>41674.0</v>
      </c>
      <c r="AL416" s="56" t="s">
        <v>1006</v>
      </c>
    </row>
    <row r="417" ht="22.5" customHeight="1">
      <c r="A417" s="286" t="s">
        <v>3151</v>
      </c>
      <c r="B417" s="57" t="s">
        <v>1190</v>
      </c>
      <c r="C417" s="32" t="s">
        <v>1191</v>
      </c>
      <c r="D417" s="34" t="s">
        <v>752</v>
      </c>
      <c r="E417" s="38" t="s">
        <v>1193</v>
      </c>
      <c r="F417" s="34" t="s">
        <v>140</v>
      </c>
      <c r="G417" s="34" t="s">
        <v>168</v>
      </c>
      <c r="H417" s="36">
        <v>41859.0</v>
      </c>
      <c r="I417" s="155">
        <v>42747.0</v>
      </c>
      <c r="J417" s="155"/>
      <c r="K417" s="32" t="s">
        <v>70</v>
      </c>
      <c r="L417" s="34" t="s">
        <v>115</v>
      </c>
      <c r="M417" s="42" t="s">
        <v>313</v>
      </c>
      <c r="N417" s="38" t="s">
        <v>89</v>
      </c>
      <c r="O417" s="32" t="s">
        <v>994</v>
      </c>
      <c r="P417" s="32" t="s">
        <v>2907</v>
      </c>
      <c r="Q417" s="32" t="s">
        <v>3149</v>
      </c>
      <c r="R417" s="155"/>
      <c r="S417" s="32" t="s">
        <v>1559</v>
      </c>
      <c r="T417" s="45" t="s">
        <v>1198</v>
      </c>
      <c r="U417" s="67" t="s">
        <v>3152</v>
      </c>
      <c r="V417" s="34" t="s">
        <v>80</v>
      </c>
      <c r="W417" s="60" t="s">
        <v>1204</v>
      </c>
      <c r="X417" s="60" t="s">
        <v>1205</v>
      </c>
      <c r="Y417" s="109" t="s">
        <v>1206</v>
      </c>
      <c r="Z417" s="32" t="s">
        <v>112</v>
      </c>
      <c r="AA417" s="32"/>
      <c r="AB417" s="60" t="s">
        <v>302</v>
      </c>
      <c r="AC417" s="60"/>
      <c r="AD417" s="136"/>
      <c r="AE417" s="57"/>
      <c r="AF417" s="34" t="s">
        <v>80</v>
      </c>
      <c r="AG417" s="56" t="s">
        <v>1212</v>
      </c>
      <c r="AH417" s="41"/>
      <c r="AI417" s="41"/>
      <c r="AJ417" s="41"/>
      <c r="AK417" s="155">
        <v>42829.0</v>
      </c>
      <c r="AL417" s="56" t="s">
        <v>1006</v>
      </c>
    </row>
    <row r="418" ht="22.5" customHeight="1">
      <c r="A418" s="286" t="s">
        <v>3153</v>
      </c>
      <c r="B418" s="57" t="s">
        <v>2673</v>
      </c>
      <c r="C418" s="32" t="s">
        <v>2674</v>
      </c>
      <c r="D418" s="34" t="s">
        <v>75</v>
      </c>
      <c r="E418" s="32" t="s">
        <v>2675</v>
      </c>
      <c r="F418" s="34" t="s">
        <v>140</v>
      </c>
      <c r="G418" s="34" t="s">
        <v>168</v>
      </c>
      <c r="H418" s="155">
        <v>42747.0</v>
      </c>
      <c r="I418" s="155">
        <v>42747.0</v>
      </c>
      <c r="J418" s="155"/>
      <c r="K418" s="32" t="s">
        <v>70</v>
      </c>
      <c r="L418" s="34" t="s">
        <v>115</v>
      </c>
      <c r="M418" s="63" t="s">
        <v>218</v>
      </c>
      <c r="N418" s="32" t="s">
        <v>89</v>
      </c>
      <c r="O418" s="32" t="s">
        <v>994</v>
      </c>
      <c r="P418" s="32" t="s">
        <v>2907</v>
      </c>
      <c r="Q418" s="32" t="s">
        <v>3149</v>
      </c>
      <c r="R418" s="155"/>
      <c r="S418" s="32" t="s">
        <v>1045</v>
      </c>
      <c r="T418" s="56" t="s">
        <v>2677</v>
      </c>
      <c r="U418" s="67" t="s">
        <v>3154</v>
      </c>
      <c r="V418" s="34" t="s">
        <v>80</v>
      </c>
      <c r="W418" s="32" t="s">
        <v>2679</v>
      </c>
      <c r="X418" s="149" t="s">
        <v>2680</v>
      </c>
      <c r="Y418" s="152" t="s">
        <v>2681</v>
      </c>
      <c r="Z418" s="32" t="s">
        <v>112</v>
      </c>
      <c r="AA418" s="38"/>
      <c r="AB418" s="32" t="s">
        <v>113</v>
      </c>
      <c r="AC418" s="60"/>
      <c r="AD418" s="261"/>
      <c r="AE418" s="47"/>
      <c r="AF418" s="34" t="s">
        <v>80</v>
      </c>
      <c r="AG418" s="56" t="s">
        <v>2683</v>
      </c>
      <c r="AH418" s="34"/>
      <c r="AI418" s="41"/>
      <c r="AJ418" s="41"/>
      <c r="AK418" s="58">
        <v>42450.0</v>
      </c>
      <c r="AL418" s="56" t="s">
        <v>1006</v>
      </c>
    </row>
    <row r="419" ht="22.5" customHeight="1">
      <c r="A419" s="286" t="s">
        <v>3155</v>
      </c>
      <c r="B419" s="57" t="s">
        <v>2637</v>
      </c>
      <c r="C419" s="63" t="s">
        <v>2638</v>
      </c>
      <c r="D419" s="270" t="s">
        <v>75</v>
      </c>
      <c r="E419" s="63" t="s">
        <v>2639</v>
      </c>
      <c r="F419" s="34" t="s">
        <v>140</v>
      </c>
      <c r="G419" s="34" t="s">
        <v>85</v>
      </c>
      <c r="H419" s="155">
        <v>42354.0</v>
      </c>
      <c r="I419" s="155">
        <v>42718.0</v>
      </c>
      <c r="J419" s="155">
        <v>42718.0</v>
      </c>
      <c r="K419" s="32" t="s">
        <v>70</v>
      </c>
      <c r="L419" s="34" t="s">
        <v>115</v>
      </c>
      <c r="M419" s="32" t="s">
        <v>383</v>
      </c>
      <c r="N419" s="32" t="s">
        <v>89</v>
      </c>
      <c r="O419" s="32" t="s">
        <v>1195</v>
      </c>
      <c r="P419" s="32"/>
      <c r="Q419" s="32" t="s">
        <v>2785</v>
      </c>
      <c r="R419" s="155">
        <v>43812.0</v>
      </c>
      <c r="S419" s="32" t="s">
        <v>1195</v>
      </c>
      <c r="T419" s="56" t="s">
        <v>2640</v>
      </c>
      <c r="U419" s="67" t="s">
        <v>3156</v>
      </c>
      <c r="V419" s="34" t="s">
        <v>80</v>
      </c>
      <c r="W419" s="63" t="s">
        <v>2641</v>
      </c>
      <c r="X419" s="63" t="s">
        <v>2787</v>
      </c>
      <c r="Y419" s="56" t="s">
        <v>263</v>
      </c>
      <c r="Z419" s="32" t="s">
        <v>112</v>
      </c>
      <c r="AA419" s="42"/>
      <c r="AB419" s="60" t="s">
        <v>613</v>
      </c>
      <c r="AC419" s="60" t="s">
        <v>2643</v>
      </c>
      <c r="AD419" s="192">
        <v>42444.0</v>
      </c>
      <c r="AE419" s="57" t="s">
        <v>3157</v>
      </c>
      <c r="AF419" s="34" t="s">
        <v>80</v>
      </c>
      <c r="AG419" s="56" t="s">
        <v>261</v>
      </c>
      <c r="AH419" s="53"/>
      <c r="AI419" s="77"/>
      <c r="AJ419" s="58">
        <v>42412.0</v>
      </c>
      <c r="AK419" s="77"/>
      <c r="AL419" s="56" t="s">
        <v>1215</v>
      </c>
    </row>
    <row r="420" ht="22.5" customHeight="1">
      <c r="A420" s="286" t="s">
        <v>3158</v>
      </c>
      <c r="B420" s="57" t="s">
        <v>2924</v>
      </c>
      <c r="C420" s="32" t="s">
        <v>1167</v>
      </c>
      <c r="D420" s="41" t="s">
        <v>75</v>
      </c>
      <c r="E420" s="38" t="s">
        <v>1169</v>
      </c>
      <c r="F420" s="34" t="s">
        <v>93</v>
      </c>
      <c r="G420" s="34" t="s">
        <v>168</v>
      </c>
      <c r="H420" s="155">
        <v>42705.0</v>
      </c>
      <c r="I420" s="155">
        <v>42704.0</v>
      </c>
      <c r="J420" s="155">
        <v>42705.0</v>
      </c>
      <c r="K420" s="32" t="s">
        <v>70</v>
      </c>
      <c r="L420" s="34" t="s">
        <v>115</v>
      </c>
      <c r="M420" s="63" t="s">
        <v>218</v>
      </c>
      <c r="N420" s="38" t="s">
        <v>89</v>
      </c>
      <c r="O420" s="32" t="s">
        <v>2125</v>
      </c>
      <c r="P420" s="32"/>
      <c r="Q420" s="32" t="s">
        <v>2994</v>
      </c>
      <c r="R420" s="155">
        <v>43070.0</v>
      </c>
      <c r="S420" s="32" t="s">
        <v>116</v>
      </c>
      <c r="T420" s="45" t="s">
        <v>1174</v>
      </c>
      <c r="U420" s="67" t="s">
        <v>3159</v>
      </c>
      <c r="V420" s="34" t="s">
        <v>74</v>
      </c>
      <c r="W420" s="60" t="s">
        <v>1180</v>
      </c>
      <c r="X420" s="60" t="s">
        <v>1181</v>
      </c>
      <c r="Y420" s="109" t="s">
        <v>1182</v>
      </c>
      <c r="Z420" s="32" t="s">
        <v>112</v>
      </c>
      <c r="AA420" s="32"/>
      <c r="AB420" s="60" t="s">
        <v>1183</v>
      </c>
      <c r="AC420" s="60"/>
      <c r="AD420" s="261"/>
      <c r="AE420" s="57" t="s">
        <v>3160</v>
      </c>
      <c r="AF420" s="34" t="s">
        <v>74</v>
      </c>
      <c r="AG420" s="56" t="s">
        <v>1187</v>
      </c>
      <c r="AH420" s="41"/>
      <c r="AI420" s="41"/>
      <c r="AJ420" s="41"/>
      <c r="AK420" s="58">
        <v>41451.0</v>
      </c>
      <c r="AL420" s="56" t="s">
        <v>2373</v>
      </c>
    </row>
    <row r="421" ht="22.5" customHeight="1">
      <c r="A421" s="286" t="s">
        <v>3161</v>
      </c>
      <c r="B421" s="30" t="s">
        <v>3162</v>
      </c>
      <c r="C421" s="198" t="s">
        <v>3163</v>
      </c>
      <c r="D421" s="34" t="s">
        <v>584</v>
      </c>
      <c r="E421" s="32" t="s">
        <v>3164</v>
      </c>
      <c r="F421" s="34" t="s">
        <v>93</v>
      </c>
      <c r="G421" s="34" t="s">
        <v>85</v>
      </c>
      <c r="H421" s="48">
        <v>42753.0</v>
      </c>
      <c r="I421" s="48">
        <v>42744.0</v>
      </c>
      <c r="J421" s="48">
        <v>42753.0</v>
      </c>
      <c r="K421" s="32" t="s">
        <v>70</v>
      </c>
      <c r="L421" s="34" t="s">
        <v>115</v>
      </c>
      <c r="M421" s="32" t="s">
        <v>218</v>
      </c>
      <c r="N421" s="32" t="s">
        <v>89</v>
      </c>
      <c r="O421" s="32" t="s">
        <v>116</v>
      </c>
      <c r="P421" s="38"/>
      <c r="Q421" s="38"/>
      <c r="R421" s="36"/>
      <c r="S421" s="32" t="s">
        <v>116</v>
      </c>
      <c r="T421" s="56" t="s">
        <v>3165</v>
      </c>
      <c r="U421" s="45" t="s">
        <v>3166</v>
      </c>
      <c r="V421" s="41"/>
      <c r="W421" s="32" t="s">
        <v>561</v>
      </c>
      <c r="X421" s="32" t="s">
        <v>3167</v>
      </c>
      <c r="Y421" s="45" t="s">
        <v>3168</v>
      </c>
      <c r="Z421" s="32" t="s">
        <v>112</v>
      </c>
      <c r="AA421" s="38"/>
      <c r="AB421" s="32" t="s">
        <v>113</v>
      </c>
      <c r="AC421" s="60" t="s">
        <v>3169</v>
      </c>
      <c r="AD421" s="192">
        <v>42768.0</v>
      </c>
      <c r="AE421" s="53"/>
      <c r="AF421" s="180" t="s">
        <v>80</v>
      </c>
      <c r="AG421" s="56" t="s">
        <v>3170</v>
      </c>
      <c r="AH421" s="30" t="s">
        <v>947</v>
      </c>
      <c r="AI421" s="83"/>
      <c r="AJ421" s="83">
        <v>42510.0</v>
      </c>
      <c r="AK421" s="83">
        <v>42591.0</v>
      </c>
      <c r="AL421" s="42"/>
    </row>
    <row r="422" ht="22.5" customHeight="1">
      <c r="A422" s="286" t="s">
        <v>3171</v>
      </c>
      <c r="B422" s="30" t="s">
        <v>3162</v>
      </c>
      <c r="C422" s="198" t="s">
        <v>3163</v>
      </c>
      <c r="D422" s="34" t="s">
        <v>584</v>
      </c>
      <c r="E422" s="32" t="s">
        <v>3164</v>
      </c>
      <c r="F422" s="34" t="s">
        <v>93</v>
      </c>
      <c r="G422" s="34" t="s">
        <v>168</v>
      </c>
      <c r="H422" s="48">
        <v>42759.0</v>
      </c>
      <c r="I422" s="48">
        <v>42758.0</v>
      </c>
      <c r="J422" s="48">
        <v>42759.0</v>
      </c>
      <c r="K422" s="32" t="s">
        <v>70</v>
      </c>
      <c r="L422" s="34" t="s">
        <v>115</v>
      </c>
      <c r="M422" s="32" t="s">
        <v>218</v>
      </c>
      <c r="N422" s="32" t="s">
        <v>89</v>
      </c>
      <c r="O422" s="32" t="s">
        <v>402</v>
      </c>
      <c r="P422" s="38"/>
      <c r="Q422" s="32" t="s">
        <v>3172</v>
      </c>
      <c r="R422" s="36"/>
      <c r="S422" s="32" t="s">
        <v>116</v>
      </c>
      <c r="T422" s="56" t="s">
        <v>3165</v>
      </c>
      <c r="U422" s="45" t="s">
        <v>3173</v>
      </c>
      <c r="V422" s="34" t="s">
        <v>80</v>
      </c>
      <c r="W422" s="32" t="s">
        <v>561</v>
      </c>
      <c r="X422" s="32" t="s">
        <v>3167</v>
      </c>
      <c r="Y422" s="45" t="s">
        <v>3168</v>
      </c>
      <c r="Z422" s="32" t="s">
        <v>112</v>
      </c>
      <c r="AA422" s="38"/>
      <c r="AB422" s="32" t="s">
        <v>113</v>
      </c>
      <c r="AC422" s="60"/>
      <c r="AD422" s="192"/>
      <c r="AE422" s="53"/>
      <c r="AF422" s="180" t="s">
        <v>80</v>
      </c>
      <c r="AG422" s="56" t="s">
        <v>3170</v>
      </c>
      <c r="AH422" s="53"/>
      <c r="AI422" s="83"/>
      <c r="AJ422" s="83">
        <v>42510.0</v>
      </c>
      <c r="AK422" s="83">
        <v>42591.0</v>
      </c>
      <c r="AL422" s="56" t="s">
        <v>1033</v>
      </c>
    </row>
    <row r="423" ht="22.5" customHeight="1">
      <c r="A423" s="286" t="s">
        <v>3174</v>
      </c>
      <c r="B423" s="30" t="s">
        <v>3175</v>
      </c>
      <c r="C423" s="32" t="s">
        <v>1995</v>
      </c>
      <c r="D423" s="41" t="s">
        <v>75</v>
      </c>
      <c r="E423" s="38" t="s">
        <v>1996</v>
      </c>
      <c r="F423" s="34" t="s">
        <v>93</v>
      </c>
      <c r="G423" s="34" t="s">
        <v>85</v>
      </c>
      <c r="H423" s="48">
        <v>42647.0</v>
      </c>
      <c r="I423" s="48">
        <v>42635.0</v>
      </c>
      <c r="J423" s="48">
        <v>42647.0</v>
      </c>
      <c r="K423" s="32" t="s">
        <v>86</v>
      </c>
      <c r="L423" s="41" t="s">
        <v>115</v>
      </c>
      <c r="M423" s="63" t="s">
        <v>218</v>
      </c>
      <c r="N423" s="38" t="s">
        <v>89</v>
      </c>
      <c r="O423" s="32" t="s">
        <v>116</v>
      </c>
      <c r="P423" s="38"/>
      <c r="Q423" s="32"/>
      <c r="R423" s="36"/>
      <c r="S423" s="32" t="s">
        <v>116</v>
      </c>
      <c r="T423" s="45" t="s">
        <v>1318</v>
      </c>
      <c r="U423" s="45" t="s">
        <v>1998</v>
      </c>
      <c r="V423" s="34" t="s">
        <v>80</v>
      </c>
      <c r="W423" s="60" t="s">
        <v>904</v>
      </c>
      <c r="X423" s="60" t="s">
        <v>905</v>
      </c>
      <c r="Y423" s="109" t="s">
        <v>1999</v>
      </c>
      <c r="Z423" s="32" t="s">
        <v>112</v>
      </c>
      <c r="AA423" s="68"/>
      <c r="AB423" s="123" t="s">
        <v>113</v>
      </c>
      <c r="AC423" s="60" t="s">
        <v>2001</v>
      </c>
      <c r="AD423" s="192">
        <v>42647.0</v>
      </c>
      <c r="AE423" s="30" t="s">
        <v>3176</v>
      </c>
      <c r="AF423" s="180" t="s">
        <v>74</v>
      </c>
      <c r="AG423" s="56" t="s">
        <v>911</v>
      </c>
      <c r="AH423" s="34"/>
      <c r="AI423" s="41"/>
      <c r="AJ423" s="41"/>
      <c r="AK423" s="58">
        <v>41530.0</v>
      </c>
      <c r="AL423" s="63"/>
    </row>
    <row r="424" ht="22.5" customHeight="1">
      <c r="A424" s="286" t="s">
        <v>3177</v>
      </c>
      <c r="B424" s="30" t="s">
        <v>987</v>
      </c>
      <c r="C424" s="32" t="s">
        <v>988</v>
      </c>
      <c r="D424" s="41" t="s">
        <v>75</v>
      </c>
      <c r="E424" s="63" t="s">
        <v>990</v>
      </c>
      <c r="F424" s="34" t="s">
        <v>93</v>
      </c>
      <c r="G424" s="34" t="s">
        <v>168</v>
      </c>
      <c r="H424" s="48">
        <v>42671.0</v>
      </c>
      <c r="I424" s="48">
        <v>42671.0</v>
      </c>
      <c r="J424" s="48">
        <v>42671.0</v>
      </c>
      <c r="K424" s="32" t="s">
        <v>70</v>
      </c>
      <c r="L424" s="41" t="s">
        <v>115</v>
      </c>
      <c r="M424" s="63" t="s">
        <v>218</v>
      </c>
      <c r="N424" s="38" t="s">
        <v>89</v>
      </c>
      <c r="O424" s="32" t="s">
        <v>1520</v>
      </c>
      <c r="P424" s="38"/>
      <c r="Q424" s="32" t="s">
        <v>2149</v>
      </c>
      <c r="R424" s="36"/>
      <c r="S424" s="32" t="s">
        <v>116</v>
      </c>
      <c r="T424" s="203" t="s">
        <v>997</v>
      </c>
      <c r="U424" s="45" t="s">
        <v>3178</v>
      </c>
      <c r="V424" s="34" t="s">
        <v>80</v>
      </c>
      <c r="W424" s="63" t="s">
        <v>1001</v>
      </c>
      <c r="X424" s="63" t="s">
        <v>1002</v>
      </c>
      <c r="Y424" s="56" t="s">
        <v>1003</v>
      </c>
      <c r="Z424" s="32" t="s">
        <v>112</v>
      </c>
      <c r="AA424" s="68"/>
      <c r="AB424" s="32" t="s">
        <v>113</v>
      </c>
      <c r="AC424" s="60"/>
      <c r="AD424" s="192"/>
      <c r="AE424" s="30"/>
      <c r="AF424" s="34" t="s">
        <v>80</v>
      </c>
      <c r="AG424" s="56" t="s">
        <v>1005</v>
      </c>
      <c r="AH424" s="47"/>
      <c r="AI424" s="58"/>
      <c r="AJ424" s="41"/>
      <c r="AK424" s="83">
        <v>41736.0</v>
      </c>
      <c r="AL424" s="56" t="s">
        <v>1530</v>
      </c>
    </row>
    <row r="425" ht="22.5" customHeight="1">
      <c r="A425" s="286" t="s">
        <v>3179</v>
      </c>
      <c r="B425" s="30" t="s">
        <v>490</v>
      </c>
      <c r="C425" s="32" t="s">
        <v>494</v>
      </c>
      <c r="D425" s="39" t="s">
        <v>91</v>
      </c>
      <c r="E425" s="38" t="s">
        <v>496</v>
      </c>
      <c r="F425" s="41" t="s">
        <v>93</v>
      </c>
      <c r="G425" s="34" t="s">
        <v>168</v>
      </c>
      <c r="H425" s="48">
        <v>42772.0</v>
      </c>
      <c r="I425" s="48">
        <v>42772.0</v>
      </c>
      <c r="J425" s="48"/>
      <c r="K425" s="32" t="s">
        <v>70</v>
      </c>
      <c r="L425" s="34" t="s">
        <v>115</v>
      </c>
      <c r="M425" s="63" t="s">
        <v>218</v>
      </c>
      <c r="N425" s="32" t="s">
        <v>89</v>
      </c>
      <c r="O425" s="38" t="s">
        <v>523</v>
      </c>
      <c r="P425" s="38"/>
      <c r="Q425" s="32" t="s">
        <v>3180</v>
      </c>
      <c r="R425" s="48">
        <v>43867.0</v>
      </c>
      <c r="S425" s="32" t="s">
        <v>116</v>
      </c>
      <c r="T425" s="45" t="s">
        <v>505</v>
      </c>
      <c r="U425" s="45" t="s">
        <v>3181</v>
      </c>
      <c r="V425" s="34" t="s">
        <v>80</v>
      </c>
      <c r="W425" s="60" t="s">
        <v>508</v>
      </c>
      <c r="X425" s="32" t="s">
        <v>511</v>
      </c>
      <c r="Y425" s="45" t="s">
        <v>512</v>
      </c>
      <c r="Z425" s="32" t="s">
        <v>112</v>
      </c>
      <c r="AA425" s="38"/>
      <c r="AB425" s="60" t="s">
        <v>481</v>
      </c>
      <c r="AC425" s="60"/>
      <c r="AD425" s="192"/>
      <c r="AE425" s="30"/>
      <c r="AF425" s="34" t="s">
        <v>80</v>
      </c>
      <c r="AG425" s="56" t="s">
        <v>515</v>
      </c>
      <c r="AH425" s="41"/>
      <c r="AI425" s="41"/>
      <c r="AJ425" s="41"/>
      <c r="AK425" s="132">
        <v>41074.0</v>
      </c>
      <c r="AL425" s="109" t="s">
        <v>544</v>
      </c>
    </row>
    <row r="426" ht="22.5" customHeight="1">
      <c r="A426" s="286" t="s">
        <v>3182</v>
      </c>
      <c r="B426" s="30" t="s">
        <v>190</v>
      </c>
      <c r="C426" s="32" t="s">
        <v>191</v>
      </c>
      <c r="D426" s="34" t="s">
        <v>752</v>
      </c>
      <c r="E426" s="38" t="s">
        <v>193</v>
      </c>
      <c r="F426" s="54" t="s">
        <v>93</v>
      </c>
      <c r="G426" s="34" t="s">
        <v>168</v>
      </c>
      <c r="H426" s="48">
        <v>42772.0</v>
      </c>
      <c r="I426" s="48"/>
      <c r="J426" s="48">
        <v>42772.0</v>
      </c>
      <c r="K426" s="32" t="s">
        <v>70</v>
      </c>
      <c r="L426" s="41" t="s">
        <v>115</v>
      </c>
      <c r="M426" s="63" t="s">
        <v>88</v>
      </c>
      <c r="N426" s="38" t="s">
        <v>89</v>
      </c>
      <c r="O426" s="32" t="s">
        <v>1023</v>
      </c>
      <c r="P426" s="32" t="s">
        <v>1024</v>
      </c>
      <c r="Q426" s="32" t="s">
        <v>3183</v>
      </c>
      <c r="R426" s="48"/>
      <c r="S426" s="57" t="s">
        <v>116</v>
      </c>
      <c r="T426" s="56" t="s">
        <v>198</v>
      </c>
      <c r="U426" s="45" t="s">
        <v>3184</v>
      </c>
      <c r="V426" s="34" t="s">
        <v>80</v>
      </c>
      <c r="W426" s="32" t="s">
        <v>201</v>
      </c>
      <c r="X426" s="32" t="s">
        <v>202</v>
      </c>
      <c r="Y426" s="45" t="s">
        <v>203</v>
      </c>
      <c r="Z426" s="32" t="s">
        <v>112</v>
      </c>
      <c r="AA426" s="47"/>
      <c r="AB426" s="32" t="s">
        <v>113</v>
      </c>
      <c r="AC426" s="60"/>
      <c r="AD426" s="192"/>
      <c r="AE426" s="30"/>
      <c r="AF426" s="54" t="s">
        <v>80</v>
      </c>
      <c r="AG426" s="56" t="s">
        <v>206</v>
      </c>
      <c r="AH426" s="47"/>
      <c r="AI426" s="268"/>
      <c r="AJ426" s="41"/>
      <c r="AK426" s="58">
        <v>41215.0</v>
      </c>
      <c r="AL426" s="56" t="s">
        <v>1028</v>
      </c>
    </row>
    <row r="427" ht="22.5" customHeight="1">
      <c r="A427" s="286" t="s">
        <v>3185</v>
      </c>
      <c r="B427" s="149" t="s">
        <v>2561</v>
      </c>
      <c r="C427" s="32" t="s">
        <v>2562</v>
      </c>
      <c r="D427" s="41" t="s">
        <v>75</v>
      </c>
      <c r="E427" s="149" t="s">
        <v>2563</v>
      </c>
      <c r="F427" s="34" t="s">
        <v>93</v>
      </c>
      <c r="G427" s="34" t="s">
        <v>168</v>
      </c>
      <c r="H427" s="48">
        <v>42775.0</v>
      </c>
      <c r="I427" s="48">
        <v>42768.0</v>
      </c>
      <c r="J427" s="48">
        <v>42775.0</v>
      </c>
      <c r="K427" s="32" t="s">
        <v>70</v>
      </c>
      <c r="L427" s="41" t="s">
        <v>115</v>
      </c>
      <c r="M427" s="63" t="s">
        <v>218</v>
      </c>
      <c r="N427" s="38" t="s">
        <v>89</v>
      </c>
      <c r="O427" s="32" t="s">
        <v>1559</v>
      </c>
      <c r="P427" s="32"/>
      <c r="Q427" s="32" t="s">
        <v>3186</v>
      </c>
      <c r="R427" s="48"/>
      <c r="S427" s="32" t="s">
        <v>116</v>
      </c>
      <c r="T427" s="56" t="s">
        <v>2564</v>
      </c>
      <c r="U427" s="45" t="s">
        <v>3187</v>
      </c>
      <c r="V427" s="34" t="s">
        <v>74</v>
      </c>
      <c r="W427" s="149" t="s">
        <v>2566</v>
      </c>
      <c r="X427" s="149" t="s">
        <v>2567</v>
      </c>
      <c r="Y427" s="152" t="s">
        <v>2568</v>
      </c>
      <c r="Z427" s="32" t="s">
        <v>112</v>
      </c>
      <c r="AA427" s="32"/>
      <c r="AB427" s="32" t="s">
        <v>113</v>
      </c>
      <c r="AC427" s="188"/>
      <c r="AD427" s="192"/>
      <c r="AE427" s="30"/>
      <c r="AF427" s="34" t="s">
        <v>80</v>
      </c>
      <c r="AG427" s="56" t="s">
        <v>2571</v>
      </c>
      <c r="AH427" s="47"/>
      <c r="AI427" s="58"/>
      <c r="AJ427" s="266"/>
      <c r="AK427" s="268">
        <v>42046.0</v>
      </c>
      <c r="AL427" s="56" t="s">
        <v>3188</v>
      </c>
    </row>
    <row r="428" ht="22.5" customHeight="1">
      <c r="A428" s="286" t="s">
        <v>3189</v>
      </c>
      <c r="B428" s="149" t="s">
        <v>2561</v>
      </c>
      <c r="C428" s="32" t="s">
        <v>2562</v>
      </c>
      <c r="D428" s="41" t="s">
        <v>75</v>
      </c>
      <c r="E428" s="149" t="s">
        <v>2563</v>
      </c>
      <c r="F428" s="34" t="s">
        <v>93</v>
      </c>
      <c r="G428" s="34" t="s">
        <v>168</v>
      </c>
      <c r="H428" s="48">
        <v>42779.0</v>
      </c>
      <c r="I428" s="48">
        <v>42779.0</v>
      </c>
      <c r="J428" s="48">
        <v>42779.0</v>
      </c>
      <c r="K428" s="32" t="s">
        <v>70</v>
      </c>
      <c r="L428" s="41" t="s">
        <v>115</v>
      </c>
      <c r="M428" s="63" t="s">
        <v>218</v>
      </c>
      <c r="N428" s="38" t="s">
        <v>89</v>
      </c>
      <c r="O428" s="32" t="s">
        <v>1608</v>
      </c>
      <c r="P428" s="32"/>
      <c r="Q428" s="32" t="s">
        <v>2931</v>
      </c>
      <c r="R428" s="48"/>
      <c r="S428" s="32" t="s">
        <v>116</v>
      </c>
      <c r="T428" s="56" t="s">
        <v>2564</v>
      </c>
      <c r="U428" s="45" t="s">
        <v>3190</v>
      </c>
      <c r="V428" s="34" t="s">
        <v>74</v>
      </c>
      <c r="W428" s="149" t="s">
        <v>2566</v>
      </c>
      <c r="X428" s="149" t="s">
        <v>2567</v>
      </c>
      <c r="Y428" s="152" t="s">
        <v>2568</v>
      </c>
      <c r="Z428" s="32" t="s">
        <v>112</v>
      </c>
      <c r="AA428" s="32"/>
      <c r="AB428" s="32" t="s">
        <v>113</v>
      </c>
      <c r="AC428" s="188"/>
      <c r="AD428" s="192"/>
      <c r="AE428" s="30"/>
      <c r="AF428" s="34" t="s">
        <v>80</v>
      </c>
      <c r="AG428" s="56" t="s">
        <v>2571</v>
      </c>
      <c r="AH428" s="47"/>
      <c r="AI428" s="58"/>
      <c r="AJ428" s="266"/>
      <c r="AK428" s="268">
        <v>42046.0</v>
      </c>
      <c r="AL428" s="56" t="s">
        <v>2933</v>
      </c>
    </row>
    <row r="429" ht="22.5" customHeight="1">
      <c r="A429" s="286" t="s">
        <v>3191</v>
      </c>
      <c r="B429" s="30" t="s">
        <v>1585</v>
      </c>
      <c r="C429" s="63" t="s">
        <v>1586</v>
      </c>
      <c r="D429" s="34" t="s">
        <v>584</v>
      </c>
      <c r="E429" s="38" t="s">
        <v>1588</v>
      </c>
      <c r="F429" s="34" t="s">
        <v>140</v>
      </c>
      <c r="G429" s="34" t="s">
        <v>168</v>
      </c>
      <c r="H429" s="48">
        <v>42775.0</v>
      </c>
      <c r="I429" s="48">
        <v>42773.0</v>
      </c>
      <c r="J429" s="48">
        <v>42775.0</v>
      </c>
      <c r="K429" s="32" t="s">
        <v>70</v>
      </c>
      <c r="L429" s="41" t="s">
        <v>115</v>
      </c>
      <c r="M429" s="63" t="s">
        <v>313</v>
      </c>
      <c r="N429" s="38" t="s">
        <v>89</v>
      </c>
      <c r="O429" s="32" t="s">
        <v>196</v>
      </c>
      <c r="P429" s="32" t="s">
        <v>1837</v>
      </c>
      <c r="Q429" s="32" t="s">
        <v>2434</v>
      </c>
      <c r="R429" s="48"/>
      <c r="S429" s="32" t="s">
        <v>327</v>
      </c>
      <c r="T429" s="203" t="s">
        <v>1591</v>
      </c>
      <c r="U429" s="45" t="s">
        <v>3192</v>
      </c>
      <c r="V429" s="34" t="s">
        <v>80</v>
      </c>
      <c r="W429" s="32" t="s">
        <v>561</v>
      </c>
      <c r="X429" s="60" t="s">
        <v>1595</v>
      </c>
      <c r="Y429" s="45" t="s">
        <v>1596</v>
      </c>
      <c r="Z429" s="32" t="s">
        <v>112</v>
      </c>
      <c r="AA429" s="32"/>
      <c r="AB429" s="32" t="s">
        <v>113</v>
      </c>
      <c r="AC429" s="60"/>
      <c r="AD429" s="192"/>
      <c r="AE429" s="30"/>
      <c r="AF429" s="272" t="s">
        <v>80</v>
      </c>
      <c r="AG429" s="56" t="s">
        <v>1598</v>
      </c>
      <c r="AH429" s="47"/>
      <c r="AI429" s="58"/>
      <c r="AJ429" s="266"/>
      <c r="AK429" s="58">
        <v>41770.0</v>
      </c>
      <c r="AL429" s="56" t="s">
        <v>208</v>
      </c>
    </row>
    <row r="430" ht="22.5" customHeight="1">
      <c r="A430" s="286" t="s">
        <v>3193</v>
      </c>
      <c r="B430" s="30" t="s">
        <v>2257</v>
      </c>
      <c r="C430" s="32" t="s">
        <v>2258</v>
      </c>
      <c r="D430" s="34" t="s">
        <v>584</v>
      </c>
      <c r="E430" s="103" t="s">
        <v>2259</v>
      </c>
      <c r="F430" s="41" t="s">
        <v>140</v>
      </c>
      <c r="G430" s="34" t="s">
        <v>168</v>
      </c>
      <c r="H430" s="48">
        <v>42781.0</v>
      </c>
      <c r="I430" s="48">
        <v>42780.0</v>
      </c>
      <c r="J430" s="48">
        <v>42781.0</v>
      </c>
      <c r="K430" s="32" t="s">
        <v>86</v>
      </c>
      <c r="L430" s="41" t="s">
        <v>115</v>
      </c>
      <c r="M430" s="32" t="s">
        <v>313</v>
      </c>
      <c r="N430" s="32" t="s">
        <v>89</v>
      </c>
      <c r="O430" s="32" t="s">
        <v>402</v>
      </c>
      <c r="P430" s="38"/>
      <c r="Q430" s="32" t="s">
        <v>3172</v>
      </c>
      <c r="R430" s="48">
        <v>42870.0</v>
      </c>
      <c r="S430" s="32" t="s">
        <v>402</v>
      </c>
      <c r="T430" s="56" t="s">
        <v>2260</v>
      </c>
      <c r="U430" s="45" t="s">
        <v>3194</v>
      </c>
      <c r="V430" s="34" t="s">
        <v>80</v>
      </c>
      <c r="W430" s="149" t="s">
        <v>2261</v>
      </c>
      <c r="X430" s="198" t="s">
        <v>2515</v>
      </c>
      <c r="Y430" s="45" t="s">
        <v>2263</v>
      </c>
      <c r="Z430" s="32" t="s">
        <v>112</v>
      </c>
      <c r="AA430" s="32"/>
      <c r="AB430" s="32" t="s">
        <v>113</v>
      </c>
      <c r="AC430" s="60"/>
      <c r="AD430" s="66"/>
      <c r="AE430" s="30"/>
      <c r="AF430" s="272" t="s">
        <v>74</v>
      </c>
      <c r="AG430" s="56" t="s">
        <v>2265</v>
      </c>
      <c r="AH430" s="42"/>
      <c r="AI430" s="41"/>
      <c r="AJ430" s="41"/>
      <c r="AK430" s="155">
        <v>41963.0</v>
      </c>
      <c r="AL430" s="56" t="s">
        <v>1033</v>
      </c>
    </row>
    <row r="431" ht="22.5" customHeight="1">
      <c r="A431" s="286" t="s">
        <v>3195</v>
      </c>
      <c r="B431" s="63" t="s">
        <v>951</v>
      </c>
      <c r="C431" s="57" t="s">
        <v>3196</v>
      </c>
      <c r="D431" s="54" t="s">
        <v>75</v>
      </c>
      <c r="E431" s="57" t="s">
        <v>3197</v>
      </c>
      <c r="F431" s="54" t="s">
        <v>140</v>
      </c>
      <c r="G431" s="54" t="s">
        <v>85</v>
      </c>
      <c r="H431" s="155">
        <v>42767.0</v>
      </c>
      <c r="I431" s="155">
        <v>42767.0</v>
      </c>
      <c r="J431" s="155">
        <v>42767.0</v>
      </c>
      <c r="K431" s="32" t="s">
        <v>70</v>
      </c>
      <c r="L431" s="54" t="s">
        <v>115</v>
      </c>
      <c r="M431" s="63" t="s">
        <v>313</v>
      </c>
      <c r="N431" s="32" t="s">
        <v>89</v>
      </c>
      <c r="O431" s="32" t="s">
        <v>196</v>
      </c>
      <c r="P431" s="47"/>
      <c r="Q431" s="57" t="s">
        <v>3198</v>
      </c>
      <c r="R431" s="47"/>
      <c r="S431" s="32" t="s">
        <v>196</v>
      </c>
      <c r="T431" s="45" t="s">
        <v>3199</v>
      </c>
      <c r="U431" s="67" t="s">
        <v>3200</v>
      </c>
      <c r="V431" s="54" t="s">
        <v>80</v>
      </c>
      <c r="W431" s="60" t="s">
        <v>3201</v>
      </c>
      <c r="X431" s="57" t="s">
        <v>960</v>
      </c>
      <c r="Y431" s="67" t="s">
        <v>3202</v>
      </c>
      <c r="Z431" s="32" t="s">
        <v>112</v>
      </c>
      <c r="AA431" s="47"/>
      <c r="AB431" s="57" t="s">
        <v>481</v>
      </c>
      <c r="AC431" s="255" t="s">
        <v>3203</v>
      </c>
      <c r="AD431" s="261">
        <v>42787.0</v>
      </c>
      <c r="AE431" s="47"/>
      <c r="AF431" s="54" t="s">
        <v>80</v>
      </c>
      <c r="AG431" s="56" t="s">
        <v>964</v>
      </c>
      <c r="AH431" s="47"/>
      <c r="AI431" s="58"/>
      <c r="AJ431" s="77"/>
      <c r="AK431" s="83">
        <v>42499.0</v>
      </c>
      <c r="AL431" s="56" t="s">
        <v>208</v>
      </c>
    </row>
    <row r="432" ht="22.5" customHeight="1">
      <c r="A432" s="286" t="s">
        <v>3204</v>
      </c>
      <c r="B432" s="63" t="s">
        <v>190</v>
      </c>
      <c r="C432" s="149" t="s">
        <v>211</v>
      </c>
      <c r="D432" s="34" t="s">
        <v>752</v>
      </c>
      <c r="E432" s="32" t="s">
        <v>947</v>
      </c>
      <c r="F432" s="34" t="s">
        <v>93</v>
      </c>
      <c r="G432" s="34" t="s">
        <v>168</v>
      </c>
      <c r="H432" s="155">
        <v>42780.0</v>
      </c>
      <c r="I432" s="155">
        <v>42780.0</v>
      </c>
      <c r="J432" s="155"/>
      <c r="K432" s="32" t="s">
        <v>70</v>
      </c>
      <c r="L432" s="41" t="s">
        <v>115</v>
      </c>
      <c r="M432" s="63" t="s">
        <v>218</v>
      </c>
      <c r="N432" s="32" t="s">
        <v>434</v>
      </c>
      <c r="O432" s="32" t="s">
        <v>954</v>
      </c>
      <c r="P432" s="57" t="s">
        <v>955</v>
      </c>
      <c r="Q432" s="57" t="s">
        <v>3205</v>
      </c>
      <c r="R432" s="47"/>
      <c r="S432" s="32" t="s">
        <v>116</v>
      </c>
      <c r="T432" s="56" t="s">
        <v>248</v>
      </c>
      <c r="U432" s="67" t="s">
        <v>3206</v>
      </c>
      <c r="V432" s="34" t="s">
        <v>80</v>
      </c>
      <c r="W432" s="32" t="s">
        <v>201</v>
      </c>
      <c r="X432" s="32" t="s">
        <v>202</v>
      </c>
      <c r="Y432" s="45" t="s">
        <v>203</v>
      </c>
      <c r="Z432" s="32" t="s">
        <v>112</v>
      </c>
      <c r="AA432" s="68"/>
      <c r="AB432" s="32" t="s">
        <v>113</v>
      </c>
      <c r="AC432" s="60"/>
      <c r="AD432" s="261"/>
      <c r="AE432" s="47"/>
      <c r="AF432" s="34" t="s">
        <v>80</v>
      </c>
      <c r="AG432" s="56" t="s">
        <v>206</v>
      </c>
      <c r="AH432" s="47"/>
      <c r="AI432" s="58"/>
      <c r="AJ432" s="41"/>
      <c r="AK432" s="58">
        <v>42212.0</v>
      </c>
      <c r="AL432" s="56" t="s">
        <v>965</v>
      </c>
    </row>
    <row r="433" ht="22.5" customHeight="1">
      <c r="A433" s="286" t="s">
        <v>3207</v>
      </c>
      <c r="B433" s="63" t="s">
        <v>2550</v>
      </c>
      <c r="C433" s="32" t="s">
        <v>2551</v>
      </c>
      <c r="D433" s="34" t="s">
        <v>584</v>
      </c>
      <c r="E433" s="149" t="s">
        <v>2552</v>
      </c>
      <c r="F433" s="34" t="s">
        <v>140</v>
      </c>
      <c r="G433" s="34" t="s">
        <v>168</v>
      </c>
      <c r="H433" s="155">
        <v>42782.0</v>
      </c>
      <c r="I433" s="155">
        <v>42782.0</v>
      </c>
      <c r="J433" s="155"/>
      <c r="K433" s="32" t="s">
        <v>70</v>
      </c>
      <c r="L433" s="34" t="s">
        <v>115</v>
      </c>
      <c r="M433" s="42" t="s">
        <v>88</v>
      </c>
      <c r="N433" s="32" t="s">
        <v>89</v>
      </c>
      <c r="O433" s="32" t="s">
        <v>327</v>
      </c>
      <c r="P433" s="57"/>
      <c r="Q433" s="57" t="s">
        <v>3208</v>
      </c>
      <c r="R433" s="155">
        <v>43877.0</v>
      </c>
      <c r="S433" s="32" t="s">
        <v>1023</v>
      </c>
      <c r="T433" s="56" t="s">
        <v>2553</v>
      </c>
      <c r="U433" s="67" t="s">
        <v>3209</v>
      </c>
      <c r="V433" s="34" t="s">
        <v>80</v>
      </c>
      <c r="W433" s="149" t="s">
        <v>2555</v>
      </c>
      <c r="X433" s="149" t="s">
        <v>2556</v>
      </c>
      <c r="Y433" s="152" t="s">
        <v>2557</v>
      </c>
      <c r="Z433" s="32" t="s">
        <v>112</v>
      </c>
      <c r="AA433" s="47"/>
      <c r="AB433" s="60" t="s">
        <v>389</v>
      </c>
      <c r="AC433" s="60"/>
      <c r="AD433" s="261"/>
      <c r="AE433" s="47"/>
      <c r="AF433" s="54" t="s">
        <v>80</v>
      </c>
      <c r="AG433" s="56" t="s">
        <v>2559</v>
      </c>
      <c r="AH433" s="47"/>
      <c r="AI433" s="58"/>
      <c r="AJ433" s="41"/>
      <c r="AK433" s="268">
        <v>41770.0</v>
      </c>
      <c r="AL433" s="56" t="s">
        <v>375</v>
      </c>
    </row>
    <row r="434" ht="22.5" customHeight="1">
      <c r="A434" s="286" t="s">
        <v>3210</v>
      </c>
      <c r="B434" s="63" t="s">
        <v>888</v>
      </c>
      <c r="C434" s="32" t="s">
        <v>889</v>
      </c>
      <c r="D434" s="34" t="s">
        <v>752</v>
      </c>
      <c r="E434" s="38" t="s">
        <v>892</v>
      </c>
      <c r="F434" s="34" t="s">
        <v>93</v>
      </c>
      <c r="G434" s="34" t="s">
        <v>168</v>
      </c>
      <c r="H434" s="155">
        <v>42671.0</v>
      </c>
      <c r="I434" s="155">
        <v>42671.0</v>
      </c>
      <c r="J434" s="155"/>
      <c r="K434" s="32" t="s">
        <v>70</v>
      </c>
      <c r="L434" s="41" t="s">
        <v>115</v>
      </c>
      <c r="M434" s="42" t="s">
        <v>88</v>
      </c>
      <c r="N434" s="38" t="s">
        <v>89</v>
      </c>
      <c r="O434" s="32" t="s">
        <v>327</v>
      </c>
      <c r="P434" s="57"/>
      <c r="Q434" s="57" t="s">
        <v>3008</v>
      </c>
      <c r="R434" s="155">
        <v>43766.0</v>
      </c>
      <c r="S434" s="32" t="s">
        <v>116</v>
      </c>
      <c r="T434" s="56" t="s">
        <v>1950</v>
      </c>
      <c r="U434" s="67" t="s">
        <v>3211</v>
      </c>
      <c r="V434" s="34" t="s">
        <v>80</v>
      </c>
      <c r="W434" s="60" t="s">
        <v>1934</v>
      </c>
      <c r="X434" s="109" t="s">
        <v>1935</v>
      </c>
      <c r="Y434" s="109" t="s">
        <v>899</v>
      </c>
      <c r="Z434" s="32" t="s">
        <v>112</v>
      </c>
      <c r="AA434" s="68"/>
      <c r="AB434" s="149" t="s">
        <v>481</v>
      </c>
      <c r="AC434" s="60"/>
      <c r="AD434" s="261"/>
      <c r="AE434" s="47"/>
      <c r="AF434" s="34" t="s">
        <v>80</v>
      </c>
      <c r="AG434" s="56" t="s">
        <v>900</v>
      </c>
      <c r="AH434" s="47"/>
      <c r="AI434" s="58"/>
      <c r="AJ434" s="41"/>
      <c r="AK434" s="155">
        <v>41352.0</v>
      </c>
      <c r="AL434" s="56" t="s">
        <v>375</v>
      </c>
    </row>
    <row r="435" ht="22.5" customHeight="1">
      <c r="A435" s="286" t="s">
        <v>3212</v>
      </c>
      <c r="B435" s="63" t="s">
        <v>411</v>
      </c>
      <c r="C435" s="32" t="s">
        <v>413</v>
      </c>
      <c r="D435" s="39" t="s">
        <v>91</v>
      </c>
      <c r="E435" s="38" t="s">
        <v>416</v>
      </c>
      <c r="F435" s="41" t="s">
        <v>93</v>
      </c>
      <c r="G435" s="34" t="s">
        <v>168</v>
      </c>
      <c r="H435" s="155">
        <v>42753.0</v>
      </c>
      <c r="I435" s="155">
        <v>42753.0</v>
      </c>
      <c r="J435" s="155">
        <v>42753.0</v>
      </c>
      <c r="K435" s="32" t="s">
        <v>86</v>
      </c>
      <c r="L435" s="34" t="s">
        <v>115</v>
      </c>
      <c r="M435" s="32" t="s">
        <v>313</v>
      </c>
      <c r="N435" s="32" t="s">
        <v>89</v>
      </c>
      <c r="O435" s="32" t="s">
        <v>1864</v>
      </c>
      <c r="P435" s="57"/>
      <c r="Q435" s="57" t="s">
        <v>3213</v>
      </c>
      <c r="R435" s="155">
        <v>43118.0</v>
      </c>
      <c r="S435" s="32" t="s">
        <v>116</v>
      </c>
      <c r="T435" s="45" t="s">
        <v>436</v>
      </c>
      <c r="U435" s="67" t="s">
        <v>3214</v>
      </c>
      <c r="V435" s="34" t="s">
        <v>80</v>
      </c>
      <c r="W435" s="60" t="s">
        <v>444</v>
      </c>
      <c r="X435" s="32" t="s">
        <v>445</v>
      </c>
      <c r="Y435" s="109" t="s">
        <v>446</v>
      </c>
      <c r="Z435" s="32" t="s">
        <v>112</v>
      </c>
      <c r="AA435" s="32"/>
      <c r="AB435" s="32" t="s">
        <v>113</v>
      </c>
      <c r="AC435" s="60"/>
      <c r="AD435" s="261"/>
      <c r="AE435" s="47"/>
      <c r="AF435" s="34" t="s">
        <v>74</v>
      </c>
      <c r="AG435" s="56" t="s">
        <v>454</v>
      </c>
      <c r="AH435" s="34"/>
      <c r="AI435" s="41"/>
      <c r="AJ435" s="41"/>
      <c r="AK435" s="58">
        <v>42212.0</v>
      </c>
      <c r="AL435" s="56" t="s">
        <v>2588</v>
      </c>
    </row>
    <row r="436" ht="22.5" customHeight="1">
      <c r="A436" s="286" t="s">
        <v>3215</v>
      </c>
      <c r="B436" s="63" t="s">
        <v>888</v>
      </c>
      <c r="C436" s="32" t="s">
        <v>1281</v>
      </c>
      <c r="D436" s="41" t="s">
        <v>75</v>
      </c>
      <c r="E436" s="38" t="s">
        <v>1282</v>
      </c>
      <c r="F436" s="34" t="s">
        <v>140</v>
      </c>
      <c r="G436" s="34" t="s">
        <v>168</v>
      </c>
      <c r="H436" s="155">
        <v>42650.0</v>
      </c>
      <c r="I436" s="155">
        <v>42650.0</v>
      </c>
      <c r="J436" s="155"/>
      <c r="K436" s="32" t="s">
        <v>70</v>
      </c>
      <c r="L436" s="34" t="s">
        <v>115</v>
      </c>
      <c r="M436" s="32" t="s">
        <v>88</v>
      </c>
      <c r="N436" s="32" t="s">
        <v>89</v>
      </c>
      <c r="O436" s="32" t="s">
        <v>743</v>
      </c>
      <c r="P436" s="57"/>
      <c r="Q436" s="57" t="s">
        <v>3133</v>
      </c>
      <c r="R436" s="155"/>
      <c r="S436" s="32" t="s">
        <v>196</v>
      </c>
      <c r="T436" s="45" t="s">
        <v>1285</v>
      </c>
      <c r="U436" s="67" t="s">
        <v>3216</v>
      </c>
      <c r="V436" s="34" t="s">
        <v>80</v>
      </c>
      <c r="W436" s="32" t="s">
        <v>561</v>
      </c>
      <c r="X436" s="60" t="s">
        <v>1287</v>
      </c>
      <c r="Y436" s="45" t="s">
        <v>1288</v>
      </c>
      <c r="Z436" s="32" t="s">
        <v>112</v>
      </c>
      <c r="AA436" s="32"/>
      <c r="AB436" s="32" t="s">
        <v>113</v>
      </c>
      <c r="AC436" s="60"/>
      <c r="AD436" s="261"/>
      <c r="AE436" s="47"/>
      <c r="AF436" s="142" t="s">
        <v>80</v>
      </c>
      <c r="AG436" s="56" t="s">
        <v>900</v>
      </c>
      <c r="AH436" s="287"/>
      <c r="AI436" s="288"/>
      <c r="AJ436" s="289"/>
      <c r="AK436" s="290">
        <v>41770.0</v>
      </c>
      <c r="AL436" s="56" t="s">
        <v>1953</v>
      </c>
    </row>
    <row r="437" ht="22.5" customHeight="1">
      <c r="A437" s="286" t="s">
        <v>3217</v>
      </c>
      <c r="B437" s="63" t="s">
        <v>190</v>
      </c>
      <c r="C437" s="32" t="s">
        <v>191</v>
      </c>
      <c r="D437" s="34" t="s">
        <v>752</v>
      </c>
      <c r="E437" s="38" t="s">
        <v>193</v>
      </c>
      <c r="F437" s="54" t="s">
        <v>93</v>
      </c>
      <c r="G437" s="34" t="s">
        <v>168</v>
      </c>
      <c r="H437" s="155">
        <v>42741.0</v>
      </c>
      <c r="I437" s="155">
        <v>42741.0</v>
      </c>
      <c r="J437" s="155"/>
      <c r="K437" s="32" t="s">
        <v>70</v>
      </c>
      <c r="L437" s="41" t="s">
        <v>115</v>
      </c>
      <c r="M437" s="63" t="s">
        <v>88</v>
      </c>
      <c r="N437" s="38" t="s">
        <v>89</v>
      </c>
      <c r="O437" s="32" t="s">
        <v>743</v>
      </c>
      <c r="P437" s="57"/>
      <c r="Q437" s="57" t="s">
        <v>3133</v>
      </c>
      <c r="R437" s="155"/>
      <c r="S437" s="57" t="s">
        <v>116</v>
      </c>
      <c r="T437" s="56" t="s">
        <v>198</v>
      </c>
      <c r="U437" s="67" t="s">
        <v>3218</v>
      </c>
      <c r="V437" s="34" t="s">
        <v>80</v>
      </c>
      <c r="W437" s="32" t="s">
        <v>201</v>
      </c>
      <c r="X437" s="32" t="s">
        <v>202</v>
      </c>
      <c r="Y437" s="45" t="s">
        <v>203</v>
      </c>
      <c r="Z437" s="32" t="s">
        <v>112</v>
      </c>
      <c r="AA437" s="47"/>
      <c r="AB437" s="32" t="s">
        <v>113</v>
      </c>
      <c r="AC437" s="60"/>
      <c r="AD437" s="261"/>
      <c r="AE437" s="47"/>
      <c r="AF437" s="54" t="s">
        <v>80</v>
      </c>
      <c r="AG437" s="56" t="s">
        <v>206</v>
      </c>
      <c r="AH437" s="47"/>
      <c r="AI437" s="268"/>
      <c r="AJ437" s="41"/>
      <c r="AK437" s="58">
        <v>41215.0</v>
      </c>
      <c r="AL437" s="56" t="s">
        <v>1953</v>
      </c>
    </row>
    <row r="438" ht="22.5" customHeight="1">
      <c r="A438" s="286" t="s">
        <v>3219</v>
      </c>
      <c r="B438" s="63" t="s">
        <v>1374</v>
      </c>
      <c r="C438" s="63" t="s">
        <v>2582</v>
      </c>
      <c r="D438" s="34" t="s">
        <v>584</v>
      </c>
      <c r="E438" s="32" t="s">
        <v>2583</v>
      </c>
      <c r="F438" s="34" t="s">
        <v>140</v>
      </c>
      <c r="G438" s="34" t="s">
        <v>85</v>
      </c>
      <c r="H438" s="155">
        <v>42782.0</v>
      </c>
      <c r="I438" s="155"/>
      <c r="J438" s="155">
        <v>42782.0</v>
      </c>
      <c r="K438" s="32" t="s">
        <v>70</v>
      </c>
      <c r="L438" s="34" t="s">
        <v>115</v>
      </c>
      <c r="M438" s="63" t="s">
        <v>218</v>
      </c>
      <c r="N438" s="32" t="s">
        <v>89</v>
      </c>
      <c r="O438" s="32" t="s">
        <v>1864</v>
      </c>
      <c r="P438" s="38"/>
      <c r="Q438" s="57" t="s">
        <v>3220</v>
      </c>
      <c r="R438" s="155"/>
      <c r="S438" s="32" t="s">
        <v>1864</v>
      </c>
      <c r="T438" s="56" t="s">
        <v>2585</v>
      </c>
      <c r="U438" s="67" t="s">
        <v>3221</v>
      </c>
      <c r="V438" s="34" t="s">
        <v>80</v>
      </c>
      <c r="W438" s="32" t="s">
        <v>2587</v>
      </c>
      <c r="X438" s="269" t="s">
        <v>1381</v>
      </c>
      <c r="Y438" s="45" t="s">
        <v>1382</v>
      </c>
      <c r="Z438" s="32" t="s">
        <v>112</v>
      </c>
      <c r="AA438" s="38"/>
      <c r="AB438" s="32" t="s">
        <v>113</v>
      </c>
      <c r="AC438" s="60" t="s">
        <v>3222</v>
      </c>
      <c r="AD438" s="136">
        <v>42646.0</v>
      </c>
      <c r="AE438" s="47"/>
      <c r="AF438" s="34" t="s">
        <v>80</v>
      </c>
      <c r="AG438" s="56" t="s">
        <v>1384</v>
      </c>
      <c r="AH438" s="103" t="s">
        <v>1376</v>
      </c>
      <c r="AI438" s="266"/>
      <c r="AJ438" s="266"/>
      <c r="AK438" s="268">
        <v>42502.0</v>
      </c>
      <c r="AL438" s="56" t="s">
        <v>2588</v>
      </c>
    </row>
    <row r="439" ht="22.5" customHeight="1">
      <c r="A439" s="286" t="s">
        <v>3223</v>
      </c>
      <c r="B439" s="63" t="s">
        <v>190</v>
      </c>
      <c r="C439" s="63" t="s">
        <v>191</v>
      </c>
      <c r="D439" s="34" t="s">
        <v>752</v>
      </c>
      <c r="E439" s="38" t="s">
        <v>193</v>
      </c>
      <c r="F439" s="54" t="s">
        <v>93</v>
      </c>
      <c r="G439" s="34" t="s">
        <v>168</v>
      </c>
      <c r="H439" s="155">
        <v>42739.0</v>
      </c>
      <c r="I439" s="155">
        <v>42739.0</v>
      </c>
      <c r="J439" s="155"/>
      <c r="K439" s="32" t="s">
        <v>70</v>
      </c>
      <c r="L439" s="41" t="s">
        <v>115</v>
      </c>
      <c r="M439" s="63" t="s">
        <v>88</v>
      </c>
      <c r="N439" s="38" t="s">
        <v>89</v>
      </c>
      <c r="O439" s="32" t="s">
        <v>196</v>
      </c>
      <c r="P439" s="38"/>
      <c r="Q439" s="57" t="s">
        <v>3091</v>
      </c>
      <c r="R439" s="155">
        <v>43834.0</v>
      </c>
      <c r="S439" s="57" t="s">
        <v>116</v>
      </c>
      <c r="T439" s="56" t="s">
        <v>198</v>
      </c>
      <c r="U439" s="67" t="s">
        <v>3192</v>
      </c>
      <c r="V439" s="34" t="s">
        <v>80</v>
      </c>
      <c r="W439" s="32" t="s">
        <v>201</v>
      </c>
      <c r="X439" s="32" t="s">
        <v>202</v>
      </c>
      <c r="Y439" s="45" t="s">
        <v>203</v>
      </c>
      <c r="Z439" s="32" t="s">
        <v>112</v>
      </c>
      <c r="AA439" s="47"/>
      <c r="AB439" s="32" t="s">
        <v>113</v>
      </c>
      <c r="AC439" s="60"/>
      <c r="AD439" s="66"/>
      <c r="AE439" s="57" t="s">
        <v>3224</v>
      </c>
      <c r="AF439" s="54" t="s">
        <v>80</v>
      </c>
      <c r="AG439" s="56" t="s">
        <v>206</v>
      </c>
      <c r="AH439" s="47"/>
      <c r="AI439" s="268"/>
      <c r="AJ439" s="41"/>
      <c r="AK439" s="58">
        <v>41215.0</v>
      </c>
      <c r="AL439" s="56" t="s">
        <v>208</v>
      </c>
    </row>
    <row r="440" ht="22.5" customHeight="1">
      <c r="A440" s="286" t="s">
        <v>3225</v>
      </c>
      <c r="B440" s="63" t="s">
        <v>987</v>
      </c>
      <c r="C440" s="63" t="s">
        <v>988</v>
      </c>
      <c r="D440" s="41" t="s">
        <v>75</v>
      </c>
      <c r="E440" s="63" t="s">
        <v>990</v>
      </c>
      <c r="F440" s="34" t="s">
        <v>93</v>
      </c>
      <c r="G440" s="34" t="s">
        <v>168</v>
      </c>
      <c r="H440" s="58">
        <v>42779.0</v>
      </c>
      <c r="I440" s="155"/>
      <c r="J440" s="58">
        <v>42779.0</v>
      </c>
      <c r="K440" s="32" t="s">
        <v>86</v>
      </c>
      <c r="L440" s="41" t="s">
        <v>115</v>
      </c>
      <c r="M440" s="63" t="s">
        <v>218</v>
      </c>
      <c r="N440" s="38" t="s">
        <v>89</v>
      </c>
      <c r="O440" s="32" t="s">
        <v>1640</v>
      </c>
      <c r="P440" s="38"/>
      <c r="Q440" s="57" t="s">
        <v>3226</v>
      </c>
      <c r="R440" s="155">
        <v>43069.0</v>
      </c>
      <c r="S440" s="32" t="s">
        <v>116</v>
      </c>
      <c r="T440" s="203" t="s">
        <v>997</v>
      </c>
      <c r="U440" s="67" t="s">
        <v>3227</v>
      </c>
      <c r="V440" s="34" t="s">
        <v>74</v>
      </c>
      <c r="W440" s="60" t="s">
        <v>1001</v>
      </c>
      <c r="X440" s="60" t="s">
        <v>1002</v>
      </c>
      <c r="Y440" s="109" t="s">
        <v>1003</v>
      </c>
      <c r="Z440" s="32" t="s">
        <v>112</v>
      </c>
      <c r="AA440" s="32"/>
      <c r="AB440" s="32" t="s">
        <v>113</v>
      </c>
      <c r="AC440" s="60"/>
      <c r="AD440" s="66"/>
      <c r="AE440" s="57"/>
      <c r="AF440" s="180" t="s">
        <v>74</v>
      </c>
      <c r="AG440" s="56" t="s">
        <v>1005</v>
      </c>
      <c r="AH440" s="47"/>
      <c r="AI440" s="58"/>
      <c r="AJ440" s="41"/>
      <c r="AK440" s="83">
        <v>41736.0</v>
      </c>
      <c r="AL440" s="56" t="s">
        <v>2352</v>
      </c>
    </row>
    <row r="441" ht="22.5" customHeight="1">
      <c r="A441" s="286" t="s">
        <v>3228</v>
      </c>
      <c r="B441" s="63" t="s">
        <v>1321</v>
      </c>
      <c r="C441" s="63" t="s">
        <v>1322</v>
      </c>
      <c r="D441" s="34" t="s">
        <v>845</v>
      </c>
      <c r="E441" s="38" t="s">
        <v>1323</v>
      </c>
      <c r="F441" s="34" t="s">
        <v>140</v>
      </c>
      <c r="G441" s="34" t="s">
        <v>168</v>
      </c>
      <c r="H441" s="58">
        <v>42720.0</v>
      </c>
      <c r="I441" s="58">
        <v>42720.0</v>
      </c>
      <c r="J441" s="58">
        <v>42719.0</v>
      </c>
      <c r="K441" s="32" t="s">
        <v>70</v>
      </c>
      <c r="L441" s="34" t="s">
        <v>115</v>
      </c>
      <c r="M441" s="42" t="s">
        <v>88</v>
      </c>
      <c r="N441" s="32" t="s">
        <v>89</v>
      </c>
      <c r="O441" s="32" t="s">
        <v>2271</v>
      </c>
      <c r="P441" s="38"/>
      <c r="Q441" s="57" t="s">
        <v>3229</v>
      </c>
      <c r="R441" s="155"/>
      <c r="S441" s="32" t="s">
        <v>196</v>
      </c>
      <c r="T441" s="45" t="s">
        <v>1324</v>
      </c>
      <c r="U441" s="67" t="s">
        <v>3230</v>
      </c>
      <c r="V441" s="34" t="s">
        <v>74</v>
      </c>
      <c r="W441" s="32" t="s">
        <v>561</v>
      </c>
      <c r="X441" s="32" t="s">
        <v>1326</v>
      </c>
      <c r="Y441" s="109" t="s">
        <v>1327</v>
      </c>
      <c r="Z441" s="32" t="s">
        <v>112</v>
      </c>
      <c r="AA441" s="32"/>
      <c r="AB441" s="32" t="s">
        <v>113</v>
      </c>
      <c r="AC441" s="60"/>
      <c r="AD441" s="66"/>
      <c r="AE441" s="57"/>
      <c r="AF441" s="180" t="s">
        <v>80</v>
      </c>
      <c r="AG441" s="56" t="s">
        <v>1329</v>
      </c>
      <c r="AH441" s="47"/>
      <c r="AI441" s="58"/>
      <c r="AJ441" s="266"/>
      <c r="AK441" s="58">
        <v>41619.0</v>
      </c>
      <c r="AL441" s="56" t="s">
        <v>2275</v>
      </c>
    </row>
    <row r="442" ht="22.5" customHeight="1">
      <c r="A442" s="286" t="s">
        <v>3231</v>
      </c>
      <c r="B442" s="63" t="s">
        <v>1321</v>
      </c>
      <c r="C442" s="63" t="s">
        <v>1322</v>
      </c>
      <c r="D442" s="34" t="s">
        <v>845</v>
      </c>
      <c r="E442" s="38" t="s">
        <v>1323</v>
      </c>
      <c r="F442" s="34" t="s">
        <v>140</v>
      </c>
      <c r="G442" s="34" t="s">
        <v>168</v>
      </c>
      <c r="H442" s="58">
        <v>42796.0</v>
      </c>
      <c r="I442" s="58">
        <v>42796.0</v>
      </c>
      <c r="J442" s="58"/>
      <c r="K442" s="32" t="s">
        <v>86</v>
      </c>
      <c r="L442" s="34" t="s">
        <v>115</v>
      </c>
      <c r="M442" s="42" t="s">
        <v>88</v>
      </c>
      <c r="N442" s="32" t="s">
        <v>89</v>
      </c>
      <c r="O442" s="32" t="s">
        <v>220</v>
      </c>
      <c r="P442" s="38"/>
      <c r="Q442" s="57" t="s">
        <v>3232</v>
      </c>
      <c r="R442" s="155">
        <v>43161.0</v>
      </c>
      <c r="S442" s="32" t="s">
        <v>196</v>
      </c>
      <c r="T442" s="45" t="s">
        <v>1324</v>
      </c>
      <c r="U442" s="67" t="s">
        <v>3233</v>
      </c>
      <c r="V442" s="34" t="s">
        <v>80</v>
      </c>
      <c r="W442" s="32" t="s">
        <v>561</v>
      </c>
      <c r="X442" s="32" t="s">
        <v>1326</v>
      </c>
      <c r="Y442" s="109" t="s">
        <v>1327</v>
      </c>
      <c r="Z442" s="32" t="s">
        <v>112</v>
      </c>
      <c r="AA442" s="32"/>
      <c r="AB442" s="32" t="s">
        <v>113</v>
      </c>
      <c r="AC442" s="60"/>
      <c r="AD442" s="66"/>
      <c r="AE442" s="57"/>
      <c r="AF442" s="34" t="s">
        <v>74</v>
      </c>
      <c r="AG442" s="56" t="s">
        <v>1329</v>
      </c>
      <c r="AH442" s="47"/>
      <c r="AI442" s="58"/>
      <c r="AJ442" s="266"/>
      <c r="AK442" s="58">
        <v>41619.0</v>
      </c>
      <c r="AL442" s="56" t="s">
        <v>232</v>
      </c>
    </row>
    <row r="443" ht="22.5" customHeight="1">
      <c r="A443" s="286" t="s">
        <v>3234</v>
      </c>
      <c r="B443" s="63" t="s">
        <v>888</v>
      </c>
      <c r="C443" s="63" t="s">
        <v>2745</v>
      </c>
      <c r="D443" s="34" t="s">
        <v>752</v>
      </c>
      <c r="E443" s="32" t="s">
        <v>2746</v>
      </c>
      <c r="F443" s="34" t="s">
        <v>93</v>
      </c>
      <c r="G443" s="34" t="s">
        <v>168</v>
      </c>
      <c r="H443" s="58">
        <v>42800.0</v>
      </c>
      <c r="I443" s="58"/>
      <c r="J443" s="58">
        <v>42800.0</v>
      </c>
      <c r="K443" s="32" t="s">
        <v>70</v>
      </c>
      <c r="L443" s="34" t="s">
        <v>115</v>
      </c>
      <c r="M443" s="63" t="s">
        <v>218</v>
      </c>
      <c r="N443" s="32" t="s">
        <v>434</v>
      </c>
      <c r="O443" s="32" t="s">
        <v>1023</v>
      </c>
      <c r="P443" s="32" t="s">
        <v>1024</v>
      </c>
      <c r="Q443" s="57" t="s">
        <v>3235</v>
      </c>
      <c r="R443" s="155"/>
      <c r="S443" s="32" t="s">
        <v>116</v>
      </c>
      <c r="T443" s="56" t="s">
        <v>1931</v>
      </c>
      <c r="U443" s="67" t="s">
        <v>3236</v>
      </c>
      <c r="V443" s="34" t="s">
        <v>80</v>
      </c>
      <c r="W443" s="32" t="s">
        <v>897</v>
      </c>
      <c r="X443" s="109" t="s">
        <v>898</v>
      </c>
      <c r="Y443" s="109" t="s">
        <v>899</v>
      </c>
      <c r="Z443" s="32" t="s">
        <v>112</v>
      </c>
      <c r="AA443" s="32"/>
      <c r="AB443" s="32" t="s">
        <v>481</v>
      </c>
      <c r="AC443" s="60"/>
      <c r="AD443" s="66"/>
      <c r="AE443" s="57"/>
      <c r="AF443" s="34" t="s">
        <v>80</v>
      </c>
      <c r="AG443" s="56" t="s">
        <v>900</v>
      </c>
      <c r="AH443" s="47"/>
      <c r="AI443" s="58"/>
      <c r="AJ443" s="41"/>
      <c r="AK443" s="155">
        <v>42212.0</v>
      </c>
      <c r="AL443" s="56" t="s">
        <v>1028</v>
      </c>
    </row>
    <row r="444" ht="22.5" customHeight="1">
      <c r="A444" s="286" t="s">
        <v>3237</v>
      </c>
      <c r="B444" s="57" t="s">
        <v>3238</v>
      </c>
      <c r="C444" s="57" t="s">
        <v>2376</v>
      </c>
      <c r="D444" s="142" t="s">
        <v>75</v>
      </c>
      <c r="E444" s="262" t="s">
        <v>2377</v>
      </c>
      <c r="F444" s="54" t="s">
        <v>140</v>
      </c>
      <c r="G444" s="54" t="s">
        <v>85</v>
      </c>
      <c r="H444" s="155">
        <v>42781.0</v>
      </c>
      <c r="I444" s="65"/>
      <c r="J444" s="155">
        <v>42781.0</v>
      </c>
      <c r="K444" s="32" t="s">
        <v>70</v>
      </c>
      <c r="L444" s="54" t="s">
        <v>115</v>
      </c>
      <c r="M444" s="63" t="s">
        <v>313</v>
      </c>
      <c r="N444" s="32" t="s">
        <v>89</v>
      </c>
      <c r="O444" s="57" t="s">
        <v>327</v>
      </c>
      <c r="P444" s="32" t="s">
        <v>328</v>
      </c>
      <c r="Q444" s="57" t="s">
        <v>3239</v>
      </c>
      <c r="R444" s="47"/>
      <c r="S444" s="32" t="s">
        <v>327</v>
      </c>
      <c r="T444" s="45" t="s">
        <v>2379</v>
      </c>
      <c r="U444" s="67" t="s">
        <v>3240</v>
      </c>
      <c r="V444" s="54" t="s">
        <v>80</v>
      </c>
      <c r="W444" s="57" t="s">
        <v>2381</v>
      </c>
      <c r="X444" s="57" t="s">
        <v>2382</v>
      </c>
      <c r="Y444" s="263" t="s">
        <v>2383</v>
      </c>
      <c r="Z444" s="32" t="s">
        <v>112</v>
      </c>
      <c r="AA444" s="47"/>
      <c r="AB444" s="57" t="s">
        <v>481</v>
      </c>
      <c r="AC444" s="68" t="s">
        <v>3241</v>
      </c>
      <c r="AD444" s="261">
        <v>42804.0</v>
      </c>
      <c r="AE444" s="57"/>
      <c r="AF444" s="54" t="s">
        <v>80</v>
      </c>
      <c r="AG444" s="56" t="s">
        <v>2384</v>
      </c>
      <c r="AH444" s="47"/>
      <c r="AI444" s="58"/>
      <c r="AJ444" s="77"/>
      <c r="AK444" s="83">
        <v>42627.0</v>
      </c>
      <c r="AL444" s="56" t="s">
        <v>375</v>
      </c>
    </row>
    <row r="445" ht="22.5" customHeight="1">
      <c r="A445" s="286" t="s">
        <v>3242</v>
      </c>
      <c r="B445" s="57" t="s">
        <v>888</v>
      </c>
      <c r="C445" s="57" t="s">
        <v>2745</v>
      </c>
      <c r="D445" s="34" t="s">
        <v>752</v>
      </c>
      <c r="E445" s="32" t="s">
        <v>2746</v>
      </c>
      <c r="F445" s="34" t="s">
        <v>93</v>
      </c>
      <c r="G445" s="34" t="s">
        <v>168</v>
      </c>
      <c r="H445" s="155">
        <v>42803.0</v>
      </c>
      <c r="I445" s="155">
        <v>42803.0</v>
      </c>
      <c r="J445" s="155"/>
      <c r="K445" s="32" t="s">
        <v>70</v>
      </c>
      <c r="L445" s="34" t="s">
        <v>115</v>
      </c>
      <c r="M445" s="63" t="s">
        <v>218</v>
      </c>
      <c r="N445" s="32" t="s">
        <v>434</v>
      </c>
      <c r="O445" s="57" t="s">
        <v>743</v>
      </c>
      <c r="P445" s="32"/>
      <c r="Q445" s="57" t="s">
        <v>3133</v>
      </c>
      <c r="R445" s="47"/>
      <c r="S445" s="32" t="s">
        <v>116</v>
      </c>
      <c r="T445" s="56" t="s">
        <v>1931</v>
      </c>
      <c r="U445" s="67" t="s">
        <v>3243</v>
      </c>
      <c r="V445" s="34" t="s">
        <v>80</v>
      </c>
      <c r="W445" s="32" t="s">
        <v>897</v>
      </c>
      <c r="X445" s="109" t="s">
        <v>898</v>
      </c>
      <c r="Y445" s="109" t="s">
        <v>899</v>
      </c>
      <c r="Z445" s="32" t="s">
        <v>112</v>
      </c>
      <c r="AA445" s="32"/>
      <c r="AB445" s="32" t="s">
        <v>481</v>
      </c>
      <c r="AC445" s="60"/>
      <c r="AD445" s="66"/>
      <c r="AE445" s="57"/>
      <c r="AF445" s="34" t="s">
        <v>80</v>
      </c>
      <c r="AG445" s="56" t="s">
        <v>900</v>
      </c>
      <c r="AH445" s="47"/>
      <c r="AI445" s="58"/>
      <c r="AJ445" s="41"/>
      <c r="AK445" s="155">
        <v>42212.0</v>
      </c>
      <c r="AL445" s="56" t="s">
        <v>1953</v>
      </c>
    </row>
    <row r="446" ht="22.5" customHeight="1">
      <c r="A446" s="286" t="s">
        <v>3244</v>
      </c>
      <c r="B446" s="57" t="s">
        <v>190</v>
      </c>
      <c r="C446" s="149" t="s">
        <v>211</v>
      </c>
      <c r="D446" s="34" t="s">
        <v>752</v>
      </c>
      <c r="E446" s="32" t="s">
        <v>947</v>
      </c>
      <c r="F446" s="34" t="s">
        <v>93</v>
      </c>
      <c r="G446" s="34" t="s">
        <v>168</v>
      </c>
      <c r="H446" s="155">
        <v>42800.0</v>
      </c>
      <c r="I446" s="155">
        <v>42800.0</v>
      </c>
      <c r="J446" s="155"/>
      <c r="K446" s="32" t="s">
        <v>70</v>
      </c>
      <c r="L446" s="34" t="s">
        <v>115</v>
      </c>
      <c r="M446" s="63" t="s">
        <v>218</v>
      </c>
      <c r="N446" s="32" t="s">
        <v>434</v>
      </c>
      <c r="O446" s="57" t="s">
        <v>743</v>
      </c>
      <c r="P446" s="32"/>
      <c r="Q446" s="57" t="s">
        <v>3133</v>
      </c>
      <c r="R446" s="47"/>
      <c r="S446" s="32" t="s">
        <v>116</v>
      </c>
      <c r="T446" s="56" t="s">
        <v>2733</v>
      </c>
      <c r="U446" s="67" t="s">
        <v>3245</v>
      </c>
      <c r="V446" s="34" t="s">
        <v>80</v>
      </c>
      <c r="W446" s="32" t="s">
        <v>201</v>
      </c>
      <c r="X446" s="32" t="s">
        <v>202</v>
      </c>
      <c r="Y446" s="45" t="s">
        <v>203</v>
      </c>
      <c r="Z446" s="32" t="s">
        <v>112</v>
      </c>
      <c r="AA446" s="32"/>
      <c r="AB446" s="32" t="s">
        <v>113</v>
      </c>
      <c r="AC446" s="60"/>
      <c r="AD446" s="66"/>
      <c r="AE446" s="57"/>
      <c r="AF446" s="34" t="s">
        <v>80</v>
      </c>
      <c r="AG446" s="56" t="s">
        <v>206</v>
      </c>
      <c r="AH446" s="47"/>
      <c r="AI446" s="58"/>
      <c r="AJ446" s="41"/>
      <c r="AK446" s="58">
        <v>42212.0</v>
      </c>
      <c r="AL446" s="56" t="s">
        <v>1953</v>
      </c>
    </row>
    <row r="447" ht="22.5" customHeight="1">
      <c r="A447" s="286" t="s">
        <v>3246</v>
      </c>
      <c r="B447" s="57" t="s">
        <v>3247</v>
      </c>
      <c r="C447" s="57" t="s">
        <v>1281</v>
      </c>
      <c r="D447" s="41" t="s">
        <v>75</v>
      </c>
      <c r="E447" s="38" t="s">
        <v>1282</v>
      </c>
      <c r="F447" s="34" t="s">
        <v>140</v>
      </c>
      <c r="G447" s="34" t="s">
        <v>168</v>
      </c>
      <c r="H447" s="155">
        <v>42825.0</v>
      </c>
      <c r="I447" s="155">
        <v>42825.0</v>
      </c>
      <c r="J447" s="155"/>
      <c r="K447" s="32" t="s">
        <v>70</v>
      </c>
      <c r="L447" s="34" t="s">
        <v>115</v>
      </c>
      <c r="M447" s="32" t="s">
        <v>88</v>
      </c>
      <c r="N447" s="32" t="s">
        <v>89</v>
      </c>
      <c r="O447" s="57" t="s">
        <v>1510</v>
      </c>
      <c r="P447" s="32"/>
      <c r="Q447" s="57" t="s">
        <v>3004</v>
      </c>
      <c r="R447" s="47"/>
      <c r="S447" s="32" t="s">
        <v>196</v>
      </c>
      <c r="T447" s="45" t="s">
        <v>1285</v>
      </c>
      <c r="U447" s="67" t="s">
        <v>3248</v>
      </c>
      <c r="V447" s="34" t="s">
        <v>80</v>
      </c>
      <c r="W447" s="32" t="s">
        <v>561</v>
      </c>
      <c r="X447" s="60" t="s">
        <v>1287</v>
      </c>
      <c r="Y447" s="45" t="s">
        <v>1288</v>
      </c>
      <c r="Z447" s="32" t="s">
        <v>112</v>
      </c>
      <c r="AA447" s="32"/>
      <c r="AB447" s="32" t="s">
        <v>113</v>
      </c>
      <c r="AC447" s="60"/>
      <c r="AD447" s="66"/>
      <c r="AE447" s="57"/>
      <c r="AF447" s="142" t="s">
        <v>80</v>
      </c>
      <c r="AG447" s="56" t="s">
        <v>900</v>
      </c>
      <c r="AH447" s="287"/>
      <c r="AI447" s="288"/>
      <c r="AJ447" s="289"/>
      <c r="AK447" s="290">
        <v>41770.0</v>
      </c>
      <c r="AL447" s="56" t="s">
        <v>3006</v>
      </c>
    </row>
    <row r="448" ht="22.5" customHeight="1">
      <c r="A448" s="286" t="s">
        <v>3249</v>
      </c>
      <c r="B448" s="57" t="s">
        <v>888</v>
      </c>
      <c r="C448" s="32" t="s">
        <v>1956</v>
      </c>
      <c r="D448" s="41" t="s">
        <v>75</v>
      </c>
      <c r="E448" s="38" t="s">
        <v>1957</v>
      </c>
      <c r="F448" s="34" t="s">
        <v>93</v>
      </c>
      <c r="G448" s="34" t="s">
        <v>168</v>
      </c>
      <c r="H448" s="155">
        <v>42800.0</v>
      </c>
      <c r="I448" s="155">
        <v>42800.0</v>
      </c>
      <c r="J448" s="155"/>
      <c r="K448" s="32" t="s">
        <v>70</v>
      </c>
      <c r="L448" s="34" t="s">
        <v>115</v>
      </c>
      <c r="M448" s="32" t="s">
        <v>218</v>
      </c>
      <c r="N448" s="32" t="s">
        <v>434</v>
      </c>
      <c r="O448" s="57" t="s">
        <v>743</v>
      </c>
      <c r="P448" s="32"/>
      <c r="Q448" s="57" t="s">
        <v>3133</v>
      </c>
      <c r="R448" s="47"/>
      <c r="S448" s="32" t="s">
        <v>116</v>
      </c>
      <c r="T448" s="45" t="s">
        <v>1959</v>
      </c>
      <c r="U448" s="67" t="s">
        <v>3250</v>
      </c>
      <c r="V448" s="34" t="s">
        <v>80</v>
      </c>
      <c r="W448" s="60" t="s">
        <v>1961</v>
      </c>
      <c r="X448" s="198" t="s">
        <v>1962</v>
      </c>
      <c r="Y448" s="109" t="s">
        <v>1963</v>
      </c>
      <c r="Z448" s="32" t="s">
        <v>112</v>
      </c>
      <c r="AA448" s="32"/>
      <c r="AB448" s="32" t="s">
        <v>113</v>
      </c>
      <c r="AC448" s="68"/>
      <c r="AD448" s="66"/>
      <c r="AE448" s="57"/>
      <c r="AF448" s="34" t="s">
        <v>80</v>
      </c>
      <c r="AG448" s="56" t="s">
        <v>900</v>
      </c>
      <c r="AH448" s="287"/>
      <c r="AI448" s="288"/>
      <c r="AJ448" s="41"/>
      <c r="AK448" s="155">
        <v>42138.0</v>
      </c>
      <c r="AL448" s="56" t="s">
        <v>1953</v>
      </c>
    </row>
    <row r="449" ht="22.5" customHeight="1">
      <c r="A449" s="286" t="s">
        <v>3251</v>
      </c>
      <c r="B449" s="57" t="s">
        <v>3162</v>
      </c>
      <c r="C449" s="198" t="s">
        <v>3163</v>
      </c>
      <c r="D449" s="34" t="s">
        <v>584</v>
      </c>
      <c r="E449" s="32" t="s">
        <v>3164</v>
      </c>
      <c r="F449" s="34" t="s">
        <v>93</v>
      </c>
      <c r="G449" s="34" t="s">
        <v>168</v>
      </c>
      <c r="H449" s="155">
        <v>42795.0</v>
      </c>
      <c r="I449" s="155">
        <v>42795.0</v>
      </c>
      <c r="J449" s="155"/>
      <c r="K449" s="32" t="s">
        <v>70</v>
      </c>
      <c r="L449" s="34" t="s">
        <v>115</v>
      </c>
      <c r="M449" s="32" t="s">
        <v>218</v>
      </c>
      <c r="N449" s="32" t="s">
        <v>89</v>
      </c>
      <c r="O449" s="57" t="s">
        <v>1510</v>
      </c>
      <c r="P449" s="32"/>
      <c r="Q449" s="57" t="s">
        <v>3004</v>
      </c>
      <c r="R449" s="47"/>
      <c r="S449" s="32" t="s">
        <v>116</v>
      </c>
      <c r="T449" s="56" t="s">
        <v>3165</v>
      </c>
      <c r="U449" s="67" t="s">
        <v>3252</v>
      </c>
      <c r="V449" s="34" t="s">
        <v>74</v>
      </c>
      <c r="W449" s="32" t="s">
        <v>561</v>
      </c>
      <c r="X449" s="32" t="s">
        <v>3167</v>
      </c>
      <c r="Y449" s="45" t="s">
        <v>3168</v>
      </c>
      <c r="Z449" s="32" t="s">
        <v>112</v>
      </c>
      <c r="AA449" s="32"/>
      <c r="AB449" s="32" t="s">
        <v>113</v>
      </c>
      <c r="AC449" s="60"/>
      <c r="AD449" s="66"/>
      <c r="AE449" s="57"/>
      <c r="AF449" s="180" t="s">
        <v>80</v>
      </c>
      <c r="AG449" s="56" t="s">
        <v>3170</v>
      </c>
      <c r="AH449" s="287"/>
      <c r="AI449" s="288"/>
      <c r="AJ449" s="83">
        <v>42510.0</v>
      </c>
      <c r="AK449" s="83">
        <v>42591.0</v>
      </c>
      <c r="AL449" s="56" t="s">
        <v>3006</v>
      </c>
    </row>
    <row r="450" ht="22.5" customHeight="1">
      <c r="A450" s="286" t="s">
        <v>3253</v>
      </c>
      <c r="B450" s="57" t="s">
        <v>1008</v>
      </c>
      <c r="C450" s="32" t="s">
        <v>1009</v>
      </c>
      <c r="D450" s="34" t="s">
        <v>1010</v>
      </c>
      <c r="E450" s="38" t="s">
        <v>1011</v>
      </c>
      <c r="F450" s="41" t="s">
        <v>140</v>
      </c>
      <c r="G450" s="34" t="s">
        <v>85</v>
      </c>
      <c r="H450" s="155">
        <v>41691.0</v>
      </c>
      <c r="I450" s="155">
        <v>42753.0</v>
      </c>
      <c r="J450" s="155"/>
      <c r="K450" s="32" t="s">
        <v>70</v>
      </c>
      <c r="L450" s="34" t="s">
        <v>115</v>
      </c>
      <c r="M450" s="42" t="s">
        <v>383</v>
      </c>
      <c r="N450" s="32" t="s">
        <v>89</v>
      </c>
      <c r="O450" s="38" t="s">
        <v>1012</v>
      </c>
      <c r="P450" s="32"/>
      <c r="Q450" s="57" t="s">
        <v>1958</v>
      </c>
      <c r="R450" s="47"/>
      <c r="S450" s="38" t="s">
        <v>1012</v>
      </c>
      <c r="T450" s="45" t="s">
        <v>1014</v>
      </c>
      <c r="U450" s="67" t="s">
        <v>3254</v>
      </c>
      <c r="V450" s="34" t="s">
        <v>80</v>
      </c>
      <c r="W450" s="60" t="s">
        <v>1016</v>
      </c>
      <c r="X450" s="32" t="s">
        <v>1017</v>
      </c>
      <c r="Y450" s="109" t="s">
        <v>1018</v>
      </c>
      <c r="Z450" s="32" t="s">
        <v>112</v>
      </c>
      <c r="AA450" s="38"/>
      <c r="AB450" s="32" t="s">
        <v>113</v>
      </c>
      <c r="AC450" s="68" t="s">
        <v>1019</v>
      </c>
      <c r="AD450" s="66">
        <v>41691.0</v>
      </c>
      <c r="AE450" s="57" t="s">
        <v>3255</v>
      </c>
      <c r="AF450" s="34" t="s">
        <v>80</v>
      </c>
      <c r="AG450" s="56" t="s">
        <v>1020</v>
      </c>
      <c r="AH450" s="41"/>
      <c r="AI450" s="41"/>
      <c r="AJ450" s="41"/>
      <c r="AK450" s="58">
        <v>41261.0</v>
      </c>
      <c r="AL450" s="56" t="s">
        <v>1021</v>
      </c>
    </row>
    <row r="451" ht="22.5" customHeight="1">
      <c r="A451" s="286" t="s">
        <v>3256</v>
      </c>
      <c r="B451" s="57" t="s">
        <v>2550</v>
      </c>
      <c r="C451" s="32" t="s">
        <v>2551</v>
      </c>
      <c r="D451" s="34" t="s">
        <v>584</v>
      </c>
      <c r="E451" s="149" t="s">
        <v>2552</v>
      </c>
      <c r="F451" s="34" t="s">
        <v>140</v>
      </c>
      <c r="G451" s="34" t="s">
        <v>168</v>
      </c>
      <c r="H451" s="155">
        <v>42788.0</v>
      </c>
      <c r="I451" s="155">
        <v>42788.0</v>
      </c>
      <c r="J451" s="155"/>
      <c r="K451" s="32" t="s">
        <v>70</v>
      </c>
      <c r="L451" s="34" t="s">
        <v>115</v>
      </c>
      <c r="M451" s="42" t="s">
        <v>88</v>
      </c>
      <c r="N451" s="32" t="s">
        <v>89</v>
      </c>
      <c r="O451" s="32" t="s">
        <v>954</v>
      </c>
      <c r="P451" s="32" t="s">
        <v>1283</v>
      </c>
      <c r="Q451" s="57" t="s">
        <v>1284</v>
      </c>
      <c r="R451" s="47"/>
      <c r="S451" s="32" t="s">
        <v>1023</v>
      </c>
      <c r="T451" s="56" t="s">
        <v>2553</v>
      </c>
      <c r="U451" s="67" t="s">
        <v>3257</v>
      </c>
      <c r="V451" s="34" t="s">
        <v>80</v>
      </c>
      <c r="W451" s="149" t="s">
        <v>2555</v>
      </c>
      <c r="X451" s="149" t="s">
        <v>2556</v>
      </c>
      <c r="Y451" s="152" t="s">
        <v>2557</v>
      </c>
      <c r="Z451" s="32" t="s">
        <v>112</v>
      </c>
      <c r="AA451" s="47"/>
      <c r="AB451" s="60" t="s">
        <v>389</v>
      </c>
      <c r="AC451" s="68"/>
      <c r="AD451" s="261"/>
      <c r="AE451" s="57"/>
      <c r="AF451" s="54" t="s">
        <v>80</v>
      </c>
      <c r="AG451" s="56" t="s">
        <v>2559</v>
      </c>
      <c r="AH451" s="47"/>
      <c r="AI451" s="58"/>
      <c r="AJ451" s="41"/>
      <c r="AK451" s="268">
        <v>41770.0</v>
      </c>
      <c r="AL451" s="56" t="s">
        <v>965</v>
      </c>
    </row>
    <row r="452" ht="22.5" customHeight="1">
      <c r="A452" s="286" t="s">
        <v>3258</v>
      </c>
      <c r="B452" s="57" t="s">
        <v>190</v>
      </c>
      <c r="C452" s="149" t="s">
        <v>211</v>
      </c>
      <c r="D452" s="34" t="s">
        <v>752</v>
      </c>
      <c r="E452" s="32" t="s">
        <v>947</v>
      </c>
      <c r="F452" s="34" t="s">
        <v>93</v>
      </c>
      <c r="G452" s="34" t="s">
        <v>168</v>
      </c>
      <c r="H452" s="155">
        <v>42822.0</v>
      </c>
      <c r="I452" s="155"/>
      <c r="J452" s="155">
        <v>42822.0</v>
      </c>
      <c r="K452" s="32" t="s">
        <v>70</v>
      </c>
      <c r="L452" s="41" t="s">
        <v>115</v>
      </c>
      <c r="M452" s="63" t="s">
        <v>218</v>
      </c>
      <c r="N452" s="32" t="s">
        <v>434</v>
      </c>
      <c r="O452" s="32" t="s">
        <v>1023</v>
      </c>
      <c r="P452" s="32" t="s">
        <v>1024</v>
      </c>
      <c r="Q452" s="57" t="s">
        <v>3259</v>
      </c>
      <c r="R452" s="47"/>
      <c r="S452" s="32" t="s">
        <v>116</v>
      </c>
      <c r="T452" s="56" t="s">
        <v>248</v>
      </c>
      <c r="U452" s="67" t="s">
        <v>3260</v>
      </c>
      <c r="V452" s="34" t="s">
        <v>80</v>
      </c>
      <c r="W452" s="32" t="s">
        <v>201</v>
      </c>
      <c r="X452" s="32" t="s">
        <v>202</v>
      </c>
      <c r="Y452" s="45" t="s">
        <v>203</v>
      </c>
      <c r="Z452" s="32" t="s">
        <v>112</v>
      </c>
      <c r="AA452" s="68"/>
      <c r="AB452" s="32" t="s">
        <v>113</v>
      </c>
      <c r="AC452" s="60"/>
      <c r="AD452" s="261"/>
      <c r="AE452" s="57"/>
      <c r="AF452" s="34" t="s">
        <v>80</v>
      </c>
      <c r="AG452" s="56" t="s">
        <v>206</v>
      </c>
      <c r="AH452" s="47"/>
      <c r="AI452" s="58"/>
      <c r="AJ452" s="41"/>
      <c r="AK452" s="58">
        <v>42212.0</v>
      </c>
      <c r="AL452" s="56" t="s">
        <v>1028</v>
      </c>
    </row>
    <row r="453" ht="22.5" customHeight="1">
      <c r="A453" s="286" t="s">
        <v>3261</v>
      </c>
      <c r="B453" s="57" t="s">
        <v>1707</v>
      </c>
      <c r="C453" s="32" t="s">
        <v>1708</v>
      </c>
      <c r="D453" s="177" t="s">
        <v>584</v>
      </c>
      <c r="E453" s="103" t="s">
        <v>1709</v>
      </c>
      <c r="F453" s="34" t="s">
        <v>93</v>
      </c>
      <c r="G453" s="34" t="s">
        <v>168</v>
      </c>
      <c r="H453" s="155">
        <v>42823.0</v>
      </c>
      <c r="I453" s="155"/>
      <c r="J453" s="155">
        <v>42823.0</v>
      </c>
      <c r="K453" s="32" t="s">
        <v>70</v>
      </c>
      <c r="L453" s="34" t="s">
        <v>115</v>
      </c>
      <c r="M453" s="63" t="s">
        <v>218</v>
      </c>
      <c r="N453" s="38" t="s">
        <v>89</v>
      </c>
      <c r="O453" s="32" t="s">
        <v>1023</v>
      </c>
      <c r="P453" s="32" t="s">
        <v>1024</v>
      </c>
      <c r="Q453" s="57" t="s">
        <v>3235</v>
      </c>
      <c r="R453" s="47"/>
      <c r="S453" s="32" t="s">
        <v>116</v>
      </c>
      <c r="T453" s="203" t="s">
        <v>1712</v>
      </c>
      <c r="U453" s="67" t="s">
        <v>3262</v>
      </c>
      <c r="V453" s="34" t="s">
        <v>80</v>
      </c>
      <c r="W453" s="60" t="s">
        <v>1714</v>
      </c>
      <c r="X453" s="60" t="s">
        <v>1715</v>
      </c>
      <c r="Y453" s="109" t="s">
        <v>1716</v>
      </c>
      <c r="Z453" s="32" t="s">
        <v>112</v>
      </c>
      <c r="AA453" s="32"/>
      <c r="AB453" s="123" t="s">
        <v>113</v>
      </c>
      <c r="AC453" s="60"/>
      <c r="AD453" s="261"/>
      <c r="AE453" s="57"/>
      <c r="AF453" s="34" t="s">
        <v>80</v>
      </c>
      <c r="AG453" s="56" t="s">
        <v>1720</v>
      </c>
      <c r="AH453" s="41"/>
      <c r="AI453" s="41"/>
      <c r="AJ453" s="41"/>
      <c r="AK453" s="58">
        <v>41674.0</v>
      </c>
      <c r="AL453" s="56" t="s">
        <v>1028</v>
      </c>
    </row>
    <row r="454" ht="22.5" customHeight="1">
      <c r="A454" s="286" t="s">
        <v>3263</v>
      </c>
      <c r="B454" s="57" t="s">
        <v>1707</v>
      </c>
      <c r="C454" s="32" t="s">
        <v>1708</v>
      </c>
      <c r="D454" s="177" t="s">
        <v>584</v>
      </c>
      <c r="E454" s="103" t="s">
        <v>1709</v>
      </c>
      <c r="F454" s="34" t="s">
        <v>93</v>
      </c>
      <c r="G454" s="34" t="s">
        <v>168</v>
      </c>
      <c r="H454" s="155">
        <v>42824.0</v>
      </c>
      <c r="I454" s="155">
        <v>42824.0</v>
      </c>
      <c r="J454" s="155"/>
      <c r="K454" s="32" t="s">
        <v>70</v>
      </c>
      <c r="L454" s="34" t="s">
        <v>115</v>
      </c>
      <c r="M454" s="63" t="s">
        <v>218</v>
      </c>
      <c r="N454" s="38" t="s">
        <v>89</v>
      </c>
      <c r="O454" s="32" t="s">
        <v>1045</v>
      </c>
      <c r="P454" s="32"/>
      <c r="Q454" s="57" t="s">
        <v>3264</v>
      </c>
      <c r="R454" s="155">
        <v>43920.0</v>
      </c>
      <c r="S454" s="32" t="s">
        <v>116</v>
      </c>
      <c r="T454" s="203" t="s">
        <v>1712</v>
      </c>
      <c r="U454" s="67" t="s">
        <v>3265</v>
      </c>
      <c r="V454" s="34" t="s">
        <v>80</v>
      </c>
      <c r="W454" s="60" t="s">
        <v>1714</v>
      </c>
      <c r="X454" s="60" t="s">
        <v>1715</v>
      </c>
      <c r="Y454" s="109" t="s">
        <v>1716</v>
      </c>
      <c r="Z454" s="32" t="s">
        <v>112</v>
      </c>
      <c r="AA454" s="32"/>
      <c r="AB454" s="123" t="s">
        <v>113</v>
      </c>
      <c r="AC454" s="60"/>
      <c r="AD454" s="261"/>
      <c r="AE454" s="57"/>
      <c r="AF454" s="34" t="s">
        <v>80</v>
      </c>
      <c r="AG454" s="56" t="s">
        <v>1720</v>
      </c>
      <c r="AH454" s="41"/>
      <c r="AI454" s="41"/>
      <c r="AJ454" s="41"/>
      <c r="AK454" s="58">
        <v>41674.0</v>
      </c>
      <c r="AL454" s="56" t="s">
        <v>1048</v>
      </c>
    </row>
    <row r="455" ht="22.5" customHeight="1">
      <c r="A455" s="286" t="s">
        <v>3266</v>
      </c>
      <c r="B455" s="57" t="s">
        <v>888</v>
      </c>
      <c r="C455" s="32" t="s">
        <v>1281</v>
      </c>
      <c r="D455" s="41" t="s">
        <v>75</v>
      </c>
      <c r="E455" s="38" t="s">
        <v>1282</v>
      </c>
      <c r="F455" s="34" t="s">
        <v>140</v>
      </c>
      <c r="G455" s="34" t="s">
        <v>168</v>
      </c>
      <c r="H455" s="155">
        <v>42824.0</v>
      </c>
      <c r="I455" s="155">
        <v>42824.0</v>
      </c>
      <c r="J455" s="155">
        <v>42824.0</v>
      </c>
      <c r="K455" s="32" t="s">
        <v>70</v>
      </c>
      <c r="L455" s="34" t="s">
        <v>115</v>
      </c>
      <c r="M455" s="32" t="s">
        <v>88</v>
      </c>
      <c r="N455" s="32" t="s">
        <v>89</v>
      </c>
      <c r="O455" s="32" t="s">
        <v>3267</v>
      </c>
      <c r="P455" s="32"/>
      <c r="Q455" s="57" t="s">
        <v>1575</v>
      </c>
      <c r="R455" s="291"/>
      <c r="S455" s="32" t="s">
        <v>196</v>
      </c>
      <c r="T455" s="45" t="s">
        <v>1285</v>
      </c>
      <c r="U455" s="67" t="s">
        <v>3268</v>
      </c>
      <c r="V455" s="34" t="s">
        <v>74</v>
      </c>
      <c r="W455" s="32" t="s">
        <v>561</v>
      </c>
      <c r="X455" s="60" t="s">
        <v>1287</v>
      </c>
      <c r="Y455" s="45" t="s">
        <v>1288</v>
      </c>
      <c r="Z455" s="32" t="s">
        <v>112</v>
      </c>
      <c r="AA455" s="32"/>
      <c r="AB455" s="32" t="s">
        <v>113</v>
      </c>
      <c r="AC455" s="60"/>
      <c r="AD455" s="261"/>
      <c r="AE455" s="57"/>
      <c r="AF455" s="142" t="s">
        <v>80</v>
      </c>
      <c r="AG455" s="56" t="s">
        <v>900</v>
      </c>
      <c r="AH455" s="41"/>
      <c r="AI455" s="41"/>
      <c r="AJ455" s="41"/>
      <c r="AK455" s="290">
        <v>41770.0</v>
      </c>
      <c r="AL455" s="45" t="s">
        <v>3269</v>
      </c>
    </row>
    <row r="456" ht="22.5" customHeight="1">
      <c r="A456" s="286" t="s">
        <v>3270</v>
      </c>
      <c r="B456" s="57" t="s">
        <v>888</v>
      </c>
      <c r="C456" s="32" t="s">
        <v>889</v>
      </c>
      <c r="D456" s="34" t="s">
        <v>752</v>
      </c>
      <c r="E456" s="38" t="s">
        <v>892</v>
      </c>
      <c r="F456" s="34" t="s">
        <v>93</v>
      </c>
      <c r="G456" s="34" t="s">
        <v>168</v>
      </c>
      <c r="H456" s="155">
        <v>42825.0</v>
      </c>
      <c r="I456" s="155">
        <v>42825.0</v>
      </c>
      <c r="J456" s="155"/>
      <c r="K456" s="32" t="s">
        <v>70</v>
      </c>
      <c r="L456" s="41" t="s">
        <v>115</v>
      </c>
      <c r="M456" s="42" t="s">
        <v>88</v>
      </c>
      <c r="N456" s="38" t="s">
        <v>89</v>
      </c>
      <c r="O456" s="32" t="s">
        <v>1045</v>
      </c>
      <c r="P456" s="32"/>
      <c r="Q456" s="57" t="s">
        <v>2540</v>
      </c>
      <c r="R456" s="291"/>
      <c r="S456" s="32" t="s">
        <v>116</v>
      </c>
      <c r="T456" s="56" t="s">
        <v>1950</v>
      </c>
      <c r="U456" s="67" t="s">
        <v>3271</v>
      </c>
      <c r="V456" s="34" t="s">
        <v>80</v>
      </c>
      <c r="W456" s="60" t="s">
        <v>1934</v>
      </c>
      <c r="X456" s="109" t="s">
        <v>1935</v>
      </c>
      <c r="Y456" s="109" t="s">
        <v>899</v>
      </c>
      <c r="Z456" s="32" t="s">
        <v>112</v>
      </c>
      <c r="AA456" s="32"/>
      <c r="AB456" s="149" t="s">
        <v>481</v>
      </c>
      <c r="AC456" s="60"/>
      <c r="AD456" s="261"/>
      <c r="AE456" s="57"/>
      <c r="AF456" s="34" t="s">
        <v>80</v>
      </c>
      <c r="AG456" s="56" t="s">
        <v>900</v>
      </c>
      <c r="AH456" s="41"/>
      <c r="AI456" s="41"/>
      <c r="AJ456" s="41"/>
      <c r="AK456" s="155">
        <v>41352.0</v>
      </c>
      <c r="AL456" s="56" t="s">
        <v>1048</v>
      </c>
    </row>
    <row r="457" ht="22.5" customHeight="1">
      <c r="A457" s="286" t="s">
        <v>3272</v>
      </c>
      <c r="B457" s="57" t="s">
        <v>888</v>
      </c>
      <c r="C457" s="63" t="s">
        <v>918</v>
      </c>
      <c r="D457" s="34" t="s">
        <v>91</v>
      </c>
      <c r="E457" s="103" t="s">
        <v>919</v>
      </c>
      <c r="F457" s="41" t="s">
        <v>93</v>
      </c>
      <c r="G457" s="34" t="s">
        <v>168</v>
      </c>
      <c r="H457" s="155">
        <v>42825.0</v>
      </c>
      <c r="I457" s="155">
        <v>42825.0</v>
      </c>
      <c r="J457" s="155"/>
      <c r="K457" s="32" t="s">
        <v>86</v>
      </c>
      <c r="L457" s="34" t="s">
        <v>115</v>
      </c>
      <c r="M457" s="103" t="s">
        <v>88</v>
      </c>
      <c r="N457" s="32" t="s">
        <v>89</v>
      </c>
      <c r="O457" s="32" t="s">
        <v>1045</v>
      </c>
      <c r="P457" s="32"/>
      <c r="Q457" s="57" t="s">
        <v>2540</v>
      </c>
      <c r="R457" s="291"/>
      <c r="S457" s="32" t="s">
        <v>116</v>
      </c>
      <c r="T457" s="45" t="s">
        <v>926</v>
      </c>
      <c r="U457" s="67" t="s">
        <v>3273</v>
      </c>
      <c r="V457" s="34" t="s">
        <v>80</v>
      </c>
      <c r="W457" s="172" t="s">
        <v>897</v>
      </c>
      <c r="X457" s="111" t="s">
        <v>898</v>
      </c>
      <c r="Y457" s="45" t="s">
        <v>929</v>
      </c>
      <c r="Z457" s="32" t="s">
        <v>112</v>
      </c>
      <c r="AA457" s="32"/>
      <c r="AB457" s="149" t="s">
        <v>481</v>
      </c>
      <c r="AC457" s="68"/>
      <c r="AD457" s="261"/>
      <c r="AE457" s="57"/>
      <c r="AF457" s="34" t="s">
        <v>74</v>
      </c>
      <c r="AG457" s="56" t="s">
        <v>900</v>
      </c>
      <c r="AH457" s="41"/>
      <c r="AI457" s="41"/>
      <c r="AJ457" s="41"/>
      <c r="AK457" s="155">
        <v>41185.0</v>
      </c>
      <c r="AL457" s="56" t="s">
        <v>1048</v>
      </c>
    </row>
    <row r="458" ht="22.5" customHeight="1">
      <c r="A458" s="286" t="s">
        <v>3274</v>
      </c>
      <c r="B458" s="57" t="s">
        <v>355</v>
      </c>
      <c r="C458" s="32" t="s">
        <v>1345</v>
      </c>
      <c r="D458" s="34" t="s">
        <v>75</v>
      </c>
      <c r="E458" s="38" t="s">
        <v>1346</v>
      </c>
      <c r="F458" s="41" t="s">
        <v>140</v>
      </c>
      <c r="G458" s="34" t="s">
        <v>168</v>
      </c>
      <c r="H458" s="155">
        <v>42821.0</v>
      </c>
      <c r="I458" s="155">
        <v>42821.0</v>
      </c>
      <c r="J458" s="155"/>
      <c r="K458" s="32" t="s">
        <v>70</v>
      </c>
      <c r="L458" s="41" t="s">
        <v>115</v>
      </c>
      <c r="M458" s="42" t="s">
        <v>313</v>
      </c>
      <c r="N458" s="38" t="s">
        <v>89</v>
      </c>
      <c r="O458" s="32" t="s">
        <v>743</v>
      </c>
      <c r="P458" s="32"/>
      <c r="Q458" s="57" t="s">
        <v>3133</v>
      </c>
      <c r="R458" s="291"/>
      <c r="S458" s="32" t="s">
        <v>402</v>
      </c>
      <c r="T458" s="56" t="s">
        <v>1349</v>
      </c>
      <c r="U458" s="67" t="s">
        <v>3275</v>
      </c>
      <c r="V458" s="34" t="s">
        <v>80</v>
      </c>
      <c r="W458" s="32" t="s">
        <v>1351</v>
      </c>
      <c r="X458" s="149" t="s">
        <v>1352</v>
      </c>
      <c r="Y458" s="152" t="s">
        <v>1353</v>
      </c>
      <c r="Z458" s="32" t="s">
        <v>112</v>
      </c>
      <c r="AA458" s="292"/>
      <c r="AB458" s="32" t="s">
        <v>113</v>
      </c>
      <c r="AC458" s="68"/>
      <c r="AD458" s="261"/>
      <c r="AE458" s="57"/>
      <c r="AF458" s="34" t="s">
        <v>80</v>
      </c>
      <c r="AG458" s="56" t="s">
        <v>1355</v>
      </c>
      <c r="AH458" s="41"/>
      <c r="AI458" s="41"/>
      <c r="AJ458" s="41"/>
      <c r="AK458" s="58">
        <v>41770.0</v>
      </c>
      <c r="AL458" s="56" t="s">
        <v>1953</v>
      </c>
    </row>
    <row r="459" ht="22.5" customHeight="1">
      <c r="A459" s="286" t="s">
        <v>3276</v>
      </c>
      <c r="B459" s="30" t="s">
        <v>2501</v>
      </c>
      <c r="C459" s="32" t="s">
        <v>2502</v>
      </c>
      <c r="D459" s="34" t="s">
        <v>75</v>
      </c>
      <c r="E459" s="32" t="s">
        <v>2503</v>
      </c>
      <c r="F459" s="34" t="s">
        <v>140</v>
      </c>
      <c r="G459" s="34" t="s">
        <v>85</v>
      </c>
      <c r="H459" s="48">
        <v>42796.0</v>
      </c>
      <c r="I459" s="48">
        <v>42796.0</v>
      </c>
      <c r="J459" s="36"/>
      <c r="K459" s="32" t="s">
        <v>86</v>
      </c>
      <c r="L459" s="34" t="s">
        <v>115</v>
      </c>
      <c r="M459" s="32" t="s">
        <v>313</v>
      </c>
      <c r="N459" s="32" t="s">
        <v>89</v>
      </c>
      <c r="O459" s="32" t="s">
        <v>220</v>
      </c>
      <c r="P459" s="38"/>
      <c r="Q459" s="32" t="s">
        <v>3232</v>
      </c>
      <c r="R459" s="48">
        <v>43161.0</v>
      </c>
      <c r="S459" s="32" t="s">
        <v>220</v>
      </c>
      <c r="T459" s="56" t="s">
        <v>2504</v>
      </c>
      <c r="U459" s="45" t="s">
        <v>3277</v>
      </c>
      <c r="V459" s="34" t="s">
        <v>80</v>
      </c>
      <c r="W459" s="32" t="s">
        <v>2506</v>
      </c>
      <c r="X459" s="32" t="s">
        <v>2507</v>
      </c>
      <c r="Y459" s="45" t="s">
        <v>2508</v>
      </c>
      <c r="Z459" s="32" t="s">
        <v>112</v>
      </c>
      <c r="AA459" s="47"/>
      <c r="AB459" s="32" t="s">
        <v>113</v>
      </c>
      <c r="AC459" s="32"/>
      <c r="AD459" s="192"/>
      <c r="AE459" s="53"/>
      <c r="AF459" s="180" t="s">
        <v>74</v>
      </c>
      <c r="AG459" s="56" t="s">
        <v>2510</v>
      </c>
      <c r="AH459" s="57"/>
      <c r="AI459" s="58"/>
      <c r="AJ459" s="41"/>
      <c r="AK459" s="58">
        <v>42485.0</v>
      </c>
      <c r="AL459" s="56" t="s">
        <v>232</v>
      </c>
    </row>
    <row r="460" ht="22.5" customHeight="1">
      <c r="A460" s="286" t="s">
        <v>3278</v>
      </c>
      <c r="B460" s="32" t="s">
        <v>190</v>
      </c>
      <c r="C460" s="149" t="s">
        <v>211</v>
      </c>
      <c r="D460" s="34" t="s">
        <v>752</v>
      </c>
      <c r="E460" s="32" t="s">
        <v>947</v>
      </c>
      <c r="F460" s="34" t="s">
        <v>140</v>
      </c>
      <c r="G460" s="34" t="s">
        <v>168</v>
      </c>
      <c r="H460" s="48">
        <v>42816.0</v>
      </c>
      <c r="I460" s="48">
        <v>42816.0</v>
      </c>
      <c r="J460" s="36"/>
      <c r="K460" s="32" t="s">
        <v>86</v>
      </c>
      <c r="L460" s="41" t="s">
        <v>115</v>
      </c>
      <c r="M460" s="63" t="s">
        <v>218</v>
      </c>
      <c r="N460" s="32" t="s">
        <v>434</v>
      </c>
      <c r="O460" s="32" t="s">
        <v>954</v>
      </c>
      <c r="P460" s="32" t="s">
        <v>1987</v>
      </c>
      <c r="Q460" s="32" t="s">
        <v>3279</v>
      </c>
      <c r="R460" s="48">
        <v>43191.0</v>
      </c>
      <c r="S460" s="32" t="s">
        <v>116</v>
      </c>
      <c r="T460" s="56" t="s">
        <v>248</v>
      </c>
      <c r="U460" s="45" t="s">
        <v>3280</v>
      </c>
      <c r="V460" s="34" t="s">
        <v>80</v>
      </c>
      <c r="W460" s="32" t="s">
        <v>201</v>
      </c>
      <c r="X460" s="32" t="s">
        <v>202</v>
      </c>
      <c r="Y460" s="45" t="s">
        <v>203</v>
      </c>
      <c r="Z460" s="32" t="s">
        <v>112</v>
      </c>
      <c r="AA460" s="68"/>
      <c r="AB460" s="32" t="s">
        <v>113</v>
      </c>
      <c r="AC460" s="60"/>
      <c r="AD460" s="192"/>
      <c r="AE460" s="53"/>
      <c r="AF460" s="34" t="s">
        <v>80</v>
      </c>
      <c r="AG460" s="56" t="s">
        <v>206</v>
      </c>
      <c r="AH460" s="47"/>
      <c r="AI460" s="58"/>
      <c r="AJ460" s="41"/>
      <c r="AK460" s="58">
        <v>42212.0</v>
      </c>
      <c r="AL460" s="56" t="s">
        <v>965</v>
      </c>
    </row>
    <row r="461" ht="22.5" customHeight="1">
      <c r="A461" s="286" t="s">
        <v>3281</v>
      </c>
      <c r="B461" s="32" t="s">
        <v>190</v>
      </c>
      <c r="C461" s="149" t="s">
        <v>191</v>
      </c>
      <c r="D461" s="34" t="s">
        <v>752</v>
      </c>
      <c r="E461" s="38" t="s">
        <v>193</v>
      </c>
      <c r="F461" s="54" t="s">
        <v>93</v>
      </c>
      <c r="G461" s="34" t="s">
        <v>168</v>
      </c>
      <c r="H461" s="48">
        <v>42816.0</v>
      </c>
      <c r="I461" s="48">
        <v>42816.0</v>
      </c>
      <c r="J461" s="36"/>
      <c r="K461" s="32" t="s">
        <v>86</v>
      </c>
      <c r="L461" s="41" t="s">
        <v>115</v>
      </c>
      <c r="M461" s="63" t="s">
        <v>88</v>
      </c>
      <c r="N461" s="38" t="s">
        <v>89</v>
      </c>
      <c r="O461" s="32" t="s">
        <v>954</v>
      </c>
      <c r="P461" s="32" t="s">
        <v>1987</v>
      </c>
      <c r="Q461" s="32" t="s">
        <v>3279</v>
      </c>
      <c r="R461" s="48">
        <v>43191.0</v>
      </c>
      <c r="S461" s="57" t="s">
        <v>116</v>
      </c>
      <c r="T461" s="56" t="s">
        <v>198</v>
      </c>
      <c r="U461" s="45" t="s">
        <v>3282</v>
      </c>
      <c r="V461" s="34" t="s">
        <v>80</v>
      </c>
      <c r="W461" s="32" t="s">
        <v>201</v>
      </c>
      <c r="X461" s="32" t="s">
        <v>202</v>
      </c>
      <c r="Y461" s="45" t="s">
        <v>203</v>
      </c>
      <c r="Z461" s="32" t="s">
        <v>112</v>
      </c>
      <c r="AA461" s="68"/>
      <c r="AB461" s="32" t="s">
        <v>113</v>
      </c>
      <c r="AC461" s="60"/>
      <c r="AD461" s="192"/>
      <c r="AE461" s="53"/>
      <c r="AF461" s="34" t="s">
        <v>80</v>
      </c>
      <c r="AG461" s="56" t="s">
        <v>206</v>
      </c>
      <c r="AH461" s="47"/>
      <c r="AI461" s="58"/>
      <c r="AJ461" s="41"/>
      <c r="AK461" s="58">
        <v>41215.0</v>
      </c>
      <c r="AL461" s="56" t="s">
        <v>965</v>
      </c>
    </row>
    <row r="462" ht="22.5" customHeight="1">
      <c r="A462" s="286" t="s">
        <v>3283</v>
      </c>
      <c r="B462" s="32" t="s">
        <v>355</v>
      </c>
      <c r="C462" s="32" t="s">
        <v>1345</v>
      </c>
      <c r="D462" s="34" t="s">
        <v>75</v>
      </c>
      <c r="E462" s="38" t="s">
        <v>1346</v>
      </c>
      <c r="F462" s="34" t="s">
        <v>140</v>
      </c>
      <c r="G462" s="34" t="s">
        <v>168</v>
      </c>
      <c r="H462" s="48">
        <v>42816.0</v>
      </c>
      <c r="I462" s="48">
        <v>42816.0</v>
      </c>
      <c r="J462" s="36"/>
      <c r="K462" s="32" t="s">
        <v>86</v>
      </c>
      <c r="L462" s="41" t="s">
        <v>115</v>
      </c>
      <c r="M462" s="42" t="s">
        <v>313</v>
      </c>
      <c r="N462" s="38" t="s">
        <v>89</v>
      </c>
      <c r="O462" s="32" t="s">
        <v>954</v>
      </c>
      <c r="P462" s="32" t="s">
        <v>1987</v>
      </c>
      <c r="Q462" s="32" t="s">
        <v>3279</v>
      </c>
      <c r="R462" s="48">
        <v>43191.0</v>
      </c>
      <c r="S462" s="32" t="s">
        <v>402</v>
      </c>
      <c r="T462" s="56" t="s">
        <v>1349</v>
      </c>
      <c r="U462" s="45" t="s">
        <v>3284</v>
      </c>
      <c r="V462" s="34" t="s">
        <v>80</v>
      </c>
      <c r="W462" s="32" t="s">
        <v>1351</v>
      </c>
      <c r="X462" s="149" t="s">
        <v>1352</v>
      </c>
      <c r="Y462" s="152" t="s">
        <v>1353</v>
      </c>
      <c r="Z462" s="32" t="s">
        <v>112</v>
      </c>
      <c r="AA462" s="68"/>
      <c r="AB462" s="32" t="s">
        <v>113</v>
      </c>
      <c r="AC462" s="68"/>
      <c r="AD462" s="192"/>
      <c r="AE462" s="53"/>
      <c r="AF462" s="34" t="s">
        <v>80</v>
      </c>
      <c r="AG462" s="56" t="s">
        <v>1355</v>
      </c>
      <c r="AH462" s="41"/>
      <c r="AI462" s="41"/>
      <c r="AJ462" s="41"/>
      <c r="AK462" s="58">
        <v>41770.0</v>
      </c>
      <c r="AL462" s="56" t="s">
        <v>965</v>
      </c>
    </row>
    <row r="463" ht="22.5" customHeight="1">
      <c r="A463" s="286" t="s">
        <v>3285</v>
      </c>
      <c r="B463" s="32" t="s">
        <v>1251</v>
      </c>
      <c r="C463" s="149" t="s">
        <v>1832</v>
      </c>
      <c r="D463" s="41" t="s">
        <v>75</v>
      </c>
      <c r="E463" s="103" t="s">
        <v>1833</v>
      </c>
      <c r="F463" s="34" t="s">
        <v>93</v>
      </c>
      <c r="G463" s="34" t="s">
        <v>168</v>
      </c>
      <c r="H463" s="48">
        <v>42816.0</v>
      </c>
      <c r="I463" s="48">
        <v>42816.0</v>
      </c>
      <c r="J463" s="36"/>
      <c r="K463" s="32" t="s">
        <v>86</v>
      </c>
      <c r="L463" s="41" t="s">
        <v>115</v>
      </c>
      <c r="M463" s="103" t="s">
        <v>88</v>
      </c>
      <c r="N463" s="38" t="s">
        <v>89</v>
      </c>
      <c r="O463" s="32" t="s">
        <v>954</v>
      </c>
      <c r="P463" s="32" t="s">
        <v>1987</v>
      </c>
      <c r="Q463" s="32" t="s">
        <v>3279</v>
      </c>
      <c r="R463" s="48">
        <v>43191.0</v>
      </c>
      <c r="S463" s="32" t="s">
        <v>116</v>
      </c>
      <c r="T463" s="45" t="s">
        <v>1835</v>
      </c>
      <c r="U463" s="45" t="s">
        <v>3286</v>
      </c>
      <c r="V463" s="34" t="s">
        <v>80</v>
      </c>
      <c r="W463" s="60" t="s">
        <v>1838</v>
      </c>
      <c r="X463" s="60" t="s">
        <v>1839</v>
      </c>
      <c r="Y463" s="109" t="s">
        <v>1841</v>
      </c>
      <c r="Z463" s="32" t="s">
        <v>112</v>
      </c>
      <c r="AA463" s="68"/>
      <c r="AB463" s="123" t="s">
        <v>113</v>
      </c>
      <c r="AC463" s="60"/>
      <c r="AD463" s="192"/>
      <c r="AE463" s="53"/>
      <c r="AF463" s="34" t="s">
        <v>80</v>
      </c>
      <c r="AG463" s="56" t="s">
        <v>1845</v>
      </c>
      <c r="AH463" s="53"/>
      <c r="AI463" s="77"/>
      <c r="AJ463" s="41"/>
      <c r="AK463" s="58">
        <v>41340.0</v>
      </c>
      <c r="AL463" s="56" t="s">
        <v>965</v>
      </c>
    </row>
    <row r="464" ht="22.5" customHeight="1">
      <c r="A464" s="286" t="s">
        <v>3287</v>
      </c>
      <c r="B464" s="32" t="s">
        <v>888</v>
      </c>
      <c r="C464" s="32" t="s">
        <v>889</v>
      </c>
      <c r="D464" s="34" t="s">
        <v>752</v>
      </c>
      <c r="E464" s="38" t="s">
        <v>892</v>
      </c>
      <c r="F464" s="34" t="s">
        <v>93</v>
      </c>
      <c r="G464" s="34" t="s">
        <v>168</v>
      </c>
      <c r="H464" s="48">
        <v>42816.0</v>
      </c>
      <c r="I464" s="48">
        <v>42816.0</v>
      </c>
      <c r="J464" s="36"/>
      <c r="K464" s="32" t="s">
        <v>86</v>
      </c>
      <c r="L464" s="41" t="s">
        <v>115</v>
      </c>
      <c r="M464" s="42" t="s">
        <v>88</v>
      </c>
      <c r="N464" s="38" t="s">
        <v>89</v>
      </c>
      <c r="O464" s="32" t="s">
        <v>954</v>
      </c>
      <c r="P464" s="32" t="s">
        <v>1987</v>
      </c>
      <c r="Q464" s="32" t="s">
        <v>3279</v>
      </c>
      <c r="R464" s="48">
        <v>43191.0</v>
      </c>
      <c r="S464" s="32" t="s">
        <v>116</v>
      </c>
      <c r="T464" s="56" t="s">
        <v>1950</v>
      </c>
      <c r="U464" s="45" t="s">
        <v>3288</v>
      </c>
      <c r="V464" s="34" t="s">
        <v>80</v>
      </c>
      <c r="W464" s="60" t="s">
        <v>1934</v>
      </c>
      <c r="X464" s="109" t="s">
        <v>1935</v>
      </c>
      <c r="Y464" s="109" t="s">
        <v>899</v>
      </c>
      <c r="Z464" s="32" t="s">
        <v>112</v>
      </c>
      <c r="AA464" s="68"/>
      <c r="AB464" s="149" t="s">
        <v>481</v>
      </c>
      <c r="AC464" s="60"/>
      <c r="AD464" s="192"/>
      <c r="AE464" s="53"/>
      <c r="AF464" s="34" t="s">
        <v>80</v>
      </c>
      <c r="AG464" s="56" t="s">
        <v>900</v>
      </c>
      <c r="AH464" s="47"/>
      <c r="AI464" s="58"/>
      <c r="AJ464" s="41"/>
      <c r="AK464" s="155">
        <v>41352.0</v>
      </c>
      <c r="AL464" s="56" t="s">
        <v>965</v>
      </c>
    </row>
    <row r="465" ht="22.5" customHeight="1">
      <c r="A465" s="286" t="s">
        <v>3289</v>
      </c>
      <c r="B465" s="32" t="s">
        <v>888</v>
      </c>
      <c r="C465" s="32" t="s">
        <v>1956</v>
      </c>
      <c r="D465" s="41" t="s">
        <v>75</v>
      </c>
      <c r="E465" s="38" t="s">
        <v>1957</v>
      </c>
      <c r="F465" s="34" t="s">
        <v>93</v>
      </c>
      <c r="G465" s="34" t="s">
        <v>168</v>
      </c>
      <c r="H465" s="48">
        <v>42716.0</v>
      </c>
      <c r="I465" s="48">
        <v>42716.0</v>
      </c>
      <c r="J465" s="36"/>
      <c r="K465" s="32" t="s">
        <v>70</v>
      </c>
      <c r="L465" s="34" t="s">
        <v>115</v>
      </c>
      <c r="M465" s="32" t="s">
        <v>218</v>
      </c>
      <c r="N465" s="32" t="s">
        <v>434</v>
      </c>
      <c r="O465" s="38" t="s">
        <v>220</v>
      </c>
      <c r="P465" s="32" t="s">
        <v>3290</v>
      </c>
      <c r="Q465" s="32" t="s">
        <v>3291</v>
      </c>
      <c r="R465" s="48"/>
      <c r="S465" s="32" t="s">
        <v>116</v>
      </c>
      <c r="T465" s="45" t="s">
        <v>1959</v>
      </c>
      <c r="U465" s="45" t="s">
        <v>3292</v>
      </c>
      <c r="V465" s="34" t="s">
        <v>80</v>
      </c>
      <c r="W465" s="60" t="s">
        <v>1961</v>
      </c>
      <c r="X465" s="198" t="s">
        <v>1962</v>
      </c>
      <c r="Y465" s="109" t="s">
        <v>1963</v>
      </c>
      <c r="Z465" s="32" t="s">
        <v>112</v>
      </c>
      <c r="AA465" s="68"/>
      <c r="AB465" s="32" t="s">
        <v>113</v>
      </c>
      <c r="AC465" s="68"/>
      <c r="AD465" s="192"/>
      <c r="AE465" s="53"/>
      <c r="AF465" s="34" t="s">
        <v>80</v>
      </c>
      <c r="AG465" s="56" t="s">
        <v>900</v>
      </c>
      <c r="AH465" s="287"/>
      <c r="AI465" s="288"/>
      <c r="AJ465" s="41"/>
      <c r="AK465" s="155">
        <v>42138.0</v>
      </c>
      <c r="AL465" s="56" t="s">
        <v>232</v>
      </c>
    </row>
    <row r="466" ht="22.5" customHeight="1">
      <c r="A466" s="286" t="s">
        <v>3293</v>
      </c>
      <c r="B466" s="60" t="s">
        <v>1795</v>
      </c>
      <c r="C466" s="32" t="s">
        <v>1796</v>
      </c>
      <c r="D466" s="34" t="s">
        <v>75</v>
      </c>
      <c r="E466" s="38" t="s">
        <v>1797</v>
      </c>
      <c r="F466" s="34" t="s">
        <v>140</v>
      </c>
      <c r="G466" s="34" t="s">
        <v>168</v>
      </c>
      <c r="H466" s="48">
        <v>42797.0</v>
      </c>
      <c r="I466" s="48">
        <v>42797.0</v>
      </c>
      <c r="J466" s="36"/>
      <c r="K466" s="32" t="s">
        <v>70</v>
      </c>
      <c r="L466" s="41" t="s">
        <v>115</v>
      </c>
      <c r="M466" s="42" t="s">
        <v>88</v>
      </c>
      <c r="N466" s="38" t="s">
        <v>89</v>
      </c>
      <c r="O466" s="32" t="s">
        <v>954</v>
      </c>
      <c r="P466" s="32" t="s">
        <v>1283</v>
      </c>
      <c r="Q466" s="32" t="s">
        <v>3294</v>
      </c>
      <c r="R466" s="48"/>
      <c r="S466" s="32" t="s">
        <v>1798</v>
      </c>
      <c r="T466" s="45" t="s">
        <v>1800</v>
      </c>
      <c r="U466" s="45" t="s">
        <v>3295</v>
      </c>
      <c r="V466" s="34" t="s">
        <v>80</v>
      </c>
      <c r="W466" s="60" t="s">
        <v>1804</v>
      </c>
      <c r="X466" s="60" t="s">
        <v>2622</v>
      </c>
      <c r="Y466" s="109" t="s">
        <v>1806</v>
      </c>
      <c r="Z466" s="32" t="s">
        <v>112</v>
      </c>
      <c r="AA466" s="68"/>
      <c r="AB466" s="123" t="s">
        <v>113</v>
      </c>
      <c r="AC466" s="60"/>
      <c r="AD466" s="192"/>
      <c r="AE466" s="53"/>
      <c r="AF466" s="34" t="s">
        <v>80</v>
      </c>
      <c r="AG466" s="56" t="s">
        <v>1810</v>
      </c>
      <c r="AH466" s="287"/>
      <c r="AI466" s="288"/>
      <c r="AJ466" s="41"/>
      <c r="AK466" s="58">
        <v>41925.0</v>
      </c>
      <c r="AL466" s="56" t="s">
        <v>965</v>
      </c>
    </row>
    <row r="467" ht="22.5" customHeight="1">
      <c r="A467" s="286" t="s">
        <v>3296</v>
      </c>
      <c r="B467" s="32" t="s">
        <v>1321</v>
      </c>
      <c r="C467" s="32" t="s">
        <v>1322</v>
      </c>
      <c r="D467" s="34" t="s">
        <v>845</v>
      </c>
      <c r="E467" s="38" t="s">
        <v>1323</v>
      </c>
      <c r="F467" s="34" t="s">
        <v>140</v>
      </c>
      <c r="G467" s="34" t="s">
        <v>168</v>
      </c>
      <c r="H467" s="48">
        <v>42723.0</v>
      </c>
      <c r="I467" s="48">
        <v>42723.0</v>
      </c>
      <c r="J467" s="48">
        <v>42723.0</v>
      </c>
      <c r="K467" s="32" t="s">
        <v>70</v>
      </c>
      <c r="L467" s="34" t="s">
        <v>115</v>
      </c>
      <c r="M467" s="42" t="s">
        <v>88</v>
      </c>
      <c r="N467" s="32" t="s">
        <v>89</v>
      </c>
      <c r="O467" s="32" t="s">
        <v>196</v>
      </c>
      <c r="P467" s="32" t="s">
        <v>1569</v>
      </c>
      <c r="Q467" s="32" t="s">
        <v>3297</v>
      </c>
      <c r="R467" s="48">
        <v>43818.0</v>
      </c>
      <c r="S467" s="32" t="s">
        <v>196</v>
      </c>
      <c r="T467" s="45" t="s">
        <v>1324</v>
      </c>
      <c r="U467" s="45" t="s">
        <v>3298</v>
      </c>
      <c r="V467" s="34" t="s">
        <v>80</v>
      </c>
      <c r="W467" s="32" t="s">
        <v>561</v>
      </c>
      <c r="X467" s="32" t="s">
        <v>1326</v>
      </c>
      <c r="Y467" s="109" t="s">
        <v>1327</v>
      </c>
      <c r="Z467" s="32" t="s">
        <v>112</v>
      </c>
      <c r="AA467" s="32"/>
      <c r="AB467" s="32" t="s">
        <v>113</v>
      </c>
      <c r="AC467" s="60"/>
      <c r="AD467" s="192"/>
      <c r="AE467" s="53"/>
      <c r="AF467" s="180" t="s">
        <v>80</v>
      </c>
      <c r="AG467" s="56" t="s">
        <v>1329</v>
      </c>
      <c r="AH467" s="47"/>
      <c r="AI467" s="58"/>
      <c r="AJ467" s="266"/>
      <c r="AK467" s="58">
        <v>41619.0</v>
      </c>
      <c r="AL467" s="56" t="s">
        <v>208</v>
      </c>
    </row>
    <row r="468" ht="22.5" customHeight="1">
      <c r="A468" s="27" t="s">
        <v>3299</v>
      </c>
      <c r="B468" s="149" t="s">
        <v>3300</v>
      </c>
      <c r="C468" s="149" t="s">
        <v>3301</v>
      </c>
      <c r="D468" s="41" t="s">
        <v>75</v>
      </c>
      <c r="E468" s="103" t="s">
        <v>3302</v>
      </c>
      <c r="F468" s="41" t="s">
        <v>140</v>
      </c>
      <c r="G468" s="34" t="s">
        <v>85</v>
      </c>
      <c r="H468" s="48">
        <v>42846.0</v>
      </c>
      <c r="I468" s="48">
        <v>42846.0</v>
      </c>
      <c r="J468" s="36"/>
      <c r="K468" s="32" t="s">
        <v>86</v>
      </c>
      <c r="L468" s="34" t="s">
        <v>115</v>
      </c>
      <c r="M468" s="63" t="s">
        <v>218</v>
      </c>
      <c r="N468" s="32" t="s">
        <v>89</v>
      </c>
      <c r="O468" s="38" t="s">
        <v>969</v>
      </c>
      <c r="P468" s="38"/>
      <c r="Q468" s="32" t="s">
        <v>2201</v>
      </c>
      <c r="R468" s="48">
        <v>43211.0</v>
      </c>
      <c r="S468" s="38" t="s">
        <v>969</v>
      </c>
      <c r="T468" s="56" t="s">
        <v>3303</v>
      </c>
      <c r="U468" s="45" t="s">
        <v>3304</v>
      </c>
      <c r="V468" s="34" t="s">
        <v>80</v>
      </c>
      <c r="W468" s="149" t="s">
        <v>3305</v>
      </c>
      <c r="X468" s="32" t="s">
        <v>3306</v>
      </c>
      <c r="Y468" s="152" t="s">
        <v>3307</v>
      </c>
      <c r="Z468" s="32" t="s">
        <v>112</v>
      </c>
      <c r="AA468" s="38"/>
      <c r="AB468" s="60" t="s">
        <v>389</v>
      </c>
      <c r="AC468" s="60"/>
      <c r="AD468" s="66"/>
      <c r="AE468" s="32"/>
      <c r="AF468" s="34" t="s">
        <v>80</v>
      </c>
      <c r="AG468" s="56" t="s">
        <v>3308</v>
      </c>
      <c r="AH468" s="63"/>
      <c r="AI468" s="41"/>
      <c r="AJ468" s="41"/>
      <c r="AK468" s="58">
        <v>42355.0</v>
      </c>
      <c r="AL468" s="56" t="s">
        <v>1043</v>
      </c>
    </row>
    <row r="469" ht="22.5" customHeight="1">
      <c r="A469" s="286" t="s">
        <v>3309</v>
      </c>
      <c r="B469" s="57" t="s">
        <v>3310</v>
      </c>
      <c r="C469" s="57" t="s">
        <v>3311</v>
      </c>
      <c r="D469" s="54" t="s">
        <v>75</v>
      </c>
      <c r="E469" s="57" t="s">
        <v>3312</v>
      </c>
      <c r="F469" s="54" t="s">
        <v>140</v>
      </c>
      <c r="G469" s="54" t="s">
        <v>85</v>
      </c>
      <c r="H469" s="155">
        <v>42668.0</v>
      </c>
      <c r="I469" s="155">
        <v>42668.0</v>
      </c>
      <c r="J469" s="155">
        <v>42668.0</v>
      </c>
      <c r="K469" s="32" t="s">
        <v>70</v>
      </c>
      <c r="L469" s="54" t="s">
        <v>115</v>
      </c>
      <c r="M469" s="63" t="s">
        <v>218</v>
      </c>
      <c r="N469" s="32" t="s">
        <v>89</v>
      </c>
      <c r="O469" s="32" t="s">
        <v>1864</v>
      </c>
      <c r="P469" s="47"/>
      <c r="Q469" s="57" t="s">
        <v>3313</v>
      </c>
      <c r="R469" s="155">
        <v>43763.0</v>
      </c>
      <c r="S469" s="32" t="s">
        <v>1864</v>
      </c>
      <c r="T469" s="45" t="s">
        <v>3314</v>
      </c>
      <c r="U469" s="67" t="s">
        <v>3315</v>
      </c>
      <c r="V469" s="54" t="s">
        <v>80</v>
      </c>
      <c r="W469" s="57" t="s">
        <v>3316</v>
      </c>
      <c r="X469" s="57" t="s">
        <v>3317</v>
      </c>
      <c r="Y469" s="67" t="s">
        <v>3318</v>
      </c>
      <c r="Z469" s="32" t="s">
        <v>112</v>
      </c>
      <c r="AA469" s="47"/>
      <c r="AB469" s="57" t="s">
        <v>613</v>
      </c>
      <c r="AC469" s="60" t="s">
        <v>3319</v>
      </c>
      <c r="AD469" s="261">
        <v>42852.0</v>
      </c>
      <c r="AE469" s="47"/>
      <c r="AF469" s="54" t="s">
        <v>80</v>
      </c>
      <c r="AG469" s="56" t="s">
        <v>3320</v>
      </c>
      <c r="AH469" s="47"/>
      <c r="AI469" s="41"/>
      <c r="AJ469" s="77"/>
      <c r="AK469" s="83">
        <v>41640.0</v>
      </c>
      <c r="AL469" s="56" t="s">
        <v>2588</v>
      </c>
    </row>
    <row r="470" ht="22.5" customHeight="1">
      <c r="A470" s="286" t="s">
        <v>3321</v>
      </c>
      <c r="B470" s="149" t="s">
        <v>2561</v>
      </c>
      <c r="C470" s="57" t="s">
        <v>2562</v>
      </c>
      <c r="D470" s="41" t="s">
        <v>75</v>
      </c>
      <c r="E470" s="149" t="s">
        <v>2563</v>
      </c>
      <c r="F470" s="34" t="s">
        <v>93</v>
      </c>
      <c r="G470" s="34" t="s">
        <v>168</v>
      </c>
      <c r="H470" s="155">
        <v>42853.0</v>
      </c>
      <c r="I470" s="155">
        <v>42842.0</v>
      </c>
      <c r="J470" s="155">
        <v>42853.0</v>
      </c>
      <c r="K470" s="32" t="s">
        <v>86</v>
      </c>
      <c r="L470" s="41" t="s">
        <v>115</v>
      </c>
      <c r="M470" s="63" t="s">
        <v>218</v>
      </c>
      <c r="N470" s="38" t="s">
        <v>89</v>
      </c>
      <c r="O470" s="32" t="s">
        <v>954</v>
      </c>
      <c r="P470" s="32" t="s">
        <v>2512</v>
      </c>
      <c r="Q470" s="32" t="s">
        <v>2991</v>
      </c>
      <c r="R470" s="155">
        <v>43219.0</v>
      </c>
      <c r="S470" s="32" t="s">
        <v>116</v>
      </c>
      <c r="T470" s="56" t="s">
        <v>2564</v>
      </c>
      <c r="U470" s="67" t="s">
        <v>3322</v>
      </c>
      <c r="V470" s="34" t="s">
        <v>80</v>
      </c>
      <c r="W470" s="149" t="s">
        <v>2566</v>
      </c>
      <c r="X470" s="149" t="s">
        <v>2567</v>
      </c>
      <c r="Y470" s="152" t="s">
        <v>2568</v>
      </c>
      <c r="Z470" s="32" t="s">
        <v>112</v>
      </c>
      <c r="AA470" s="32"/>
      <c r="AB470" s="32" t="s">
        <v>113</v>
      </c>
      <c r="AC470" s="60"/>
      <c r="AD470" s="261"/>
      <c r="AE470" s="47"/>
      <c r="AF470" s="34" t="s">
        <v>74</v>
      </c>
      <c r="AG470" s="56" t="s">
        <v>2571</v>
      </c>
      <c r="AH470" s="47"/>
      <c r="AI470" s="58"/>
      <c r="AJ470" s="266"/>
      <c r="AK470" s="268">
        <v>42046.0</v>
      </c>
      <c r="AL470" s="56" t="s">
        <v>965</v>
      </c>
    </row>
    <row r="471" ht="22.5" customHeight="1">
      <c r="A471" s="286" t="s">
        <v>3323</v>
      </c>
      <c r="B471" s="57" t="s">
        <v>901</v>
      </c>
      <c r="C471" s="57" t="s">
        <v>1995</v>
      </c>
      <c r="D471" s="41" t="s">
        <v>75</v>
      </c>
      <c r="E471" s="38" t="s">
        <v>1996</v>
      </c>
      <c r="F471" s="34" t="s">
        <v>93</v>
      </c>
      <c r="G471" s="34" t="s">
        <v>168</v>
      </c>
      <c r="H471" s="155">
        <v>42739.0</v>
      </c>
      <c r="I471" s="155">
        <v>42739.0</v>
      </c>
      <c r="J471" s="155"/>
      <c r="K471" s="32" t="s">
        <v>70</v>
      </c>
      <c r="L471" s="41" t="s">
        <v>115</v>
      </c>
      <c r="M471" s="63" t="s">
        <v>218</v>
      </c>
      <c r="N471" s="38" t="s">
        <v>89</v>
      </c>
      <c r="O471" s="32" t="s">
        <v>743</v>
      </c>
      <c r="P471" s="32"/>
      <c r="Q471" s="32" t="s">
        <v>3133</v>
      </c>
      <c r="R471" s="155"/>
      <c r="S471" s="32" t="s">
        <v>116</v>
      </c>
      <c r="T471" s="45" t="s">
        <v>1318</v>
      </c>
      <c r="U471" s="67" t="s">
        <v>3324</v>
      </c>
      <c r="V471" s="34" t="s">
        <v>80</v>
      </c>
      <c r="W471" s="60" t="s">
        <v>904</v>
      </c>
      <c r="X471" s="60" t="s">
        <v>905</v>
      </c>
      <c r="Y471" s="109" t="s">
        <v>1999</v>
      </c>
      <c r="Z471" s="32" t="s">
        <v>112</v>
      </c>
      <c r="AA471" s="68"/>
      <c r="AB471" s="123" t="s">
        <v>113</v>
      </c>
      <c r="AC471" s="60"/>
      <c r="AD471" s="261"/>
      <c r="AE471" s="47"/>
      <c r="AF471" s="34" t="s">
        <v>80</v>
      </c>
      <c r="AG471" s="56" t="s">
        <v>911</v>
      </c>
      <c r="AH471" s="41"/>
      <c r="AI471" s="41"/>
      <c r="AJ471" s="41"/>
      <c r="AK471" s="58">
        <v>41530.0</v>
      </c>
      <c r="AL471" s="56" t="s">
        <v>1953</v>
      </c>
    </row>
    <row r="472" ht="22.5" customHeight="1">
      <c r="A472" s="286" t="s">
        <v>3325</v>
      </c>
      <c r="B472" s="57" t="s">
        <v>3162</v>
      </c>
      <c r="C472" s="198" t="s">
        <v>3163</v>
      </c>
      <c r="D472" s="34" t="s">
        <v>584</v>
      </c>
      <c r="E472" s="32" t="s">
        <v>3164</v>
      </c>
      <c r="F472" s="34" t="s">
        <v>93</v>
      </c>
      <c r="G472" s="34" t="s">
        <v>168</v>
      </c>
      <c r="H472" s="155">
        <v>42857.0</v>
      </c>
      <c r="I472" s="155">
        <v>42857.0</v>
      </c>
      <c r="J472" s="155">
        <v>42857.0</v>
      </c>
      <c r="K472" s="32" t="s">
        <v>70</v>
      </c>
      <c r="L472" s="34" t="s">
        <v>115</v>
      </c>
      <c r="M472" s="32" t="s">
        <v>218</v>
      </c>
      <c r="N472" s="32" t="s">
        <v>89</v>
      </c>
      <c r="O472" s="32" t="s">
        <v>142</v>
      </c>
      <c r="P472" s="32" t="s">
        <v>1050</v>
      </c>
      <c r="Q472" s="32" t="s">
        <v>2590</v>
      </c>
      <c r="R472" s="155"/>
      <c r="S472" s="32" t="s">
        <v>116</v>
      </c>
      <c r="T472" s="56" t="s">
        <v>3165</v>
      </c>
      <c r="U472" s="67" t="s">
        <v>3326</v>
      </c>
      <c r="V472" s="34" t="s">
        <v>80</v>
      </c>
      <c r="W472" s="32" t="s">
        <v>561</v>
      </c>
      <c r="X472" s="32" t="s">
        <v>3167</v>
      </c>
      <c r="Y472" s="45" t="s">
        <v>3168</v>
      </c>
      <c r="Z472" s="32" t="s">
        <v>112</v>
      </c>
      <c r="AA472" s="38"/>
      <c r="AB472" s="32" t="s">
        <v>113</v>
      </c>
      <c r="AC472" s="60"/>
      <c r="AD472" s="66"/>
      <c r="AE472" s="47"/>
      <c r="AF472" s="180" t="s">
        <v>80</v>
      </c>
      <c r="AG472" s="56" t="s">
        <v>3170</v>
      </c>
      <c r="AH472" s="287"/>
      <c r="AI472" s="288"/>
      <c r="AJ472" s="83">
        <v>42510.0</v>
      </c>
      <c r="AK472" s="83">
        <v>42591.0</v>
      </c>
      <c r="AL472" s="56" t="s">
        <v>262</v>
      </c>
    </row>
    <row r="473" ht="22.5" customHeight="1">
      <c r="A473" s="286" t="s">
        <v>3327</v>
      </c>
      <c r="B473" s="57" t="s">
        <v>1374</v>
      </c>
      <c r="C473" s="198" t="s">
        <v>1375</v>
      </c>
      <c r="D473" s="39" t="s">
        <v>91</v>
      </c>
      <c r="E473" s="103" t="s">
        <v>1376</v>
      </c>
      <c r="F473" s="41" t="s">
        <v>93</v>
      </c>
      <c r="G473" s="34" t="s">
        <v>168</v>
      </c>
      <c r="H473" s="155">
        <v>42810.0</v>
      </c>
      <c r="I473" s="155">
        <v>42810.0</v>
      </c>
      <c r="J473" s="155"/>
      <c r="K473" s="32" t="s">
        <v>70</v>
      </c>
      <c r="L473" s="41" t="s">
        <v>115</v>
      </c>
      <c r="M473" s="63" t="s">
        <v>218</v>
      </c>
      <c r="N473" s="32" t="s">
        <v>89</v>
      </c>
      <c r="O473" s="32" t="s">
        <v>954</v>
      </c>
      <c r="P473" s="32" t="s">
        <v>955</v>
      </c>
      <c r="Q473" s="32" t="s">
        <v>3205</v>
      </c>
      <c r="R473" s="155"/>
      <c r="S473" s="32" t="s">
        <v>116</v>
      </c>
      <c r="T473" s="56" t="s">
        <v>1378</v>
      </c>
      <c r="U473" s="67" t="s">
        <v>3328</v>
      </c>
      <c r="V473" s="34" t="s">
        <v>80</v>
      </c>
      <c r="W473" s="172" t="s">
        <v>1380</v>
      </c>
      <c r="X473" s="198" t="s">
        <v>1381</v>
      </c>
      <c r="Y473" s="152" t="s">
        <v>1382</v>
      </c>
      <c r="Z473" s="32" t="s">
        <v>112</v>
      </c>
      <c r="AA473" s="38"/>
      <c r="AB473" s="32" t="s">
        <v>113</v>
      </c>
      <c r="AC473" s="60"/>
      <c r="AD473" s="66"/>
      <c r="AE473" s="47"/>
      <c r="AF473" s="34" t="s">
        <v>80</v>
      </c>
      <c r="AG473" s="56" t="s">
        <v>1384</v>
      </c>
      <c r="AH473" s="41"/>
      <c r="AI473" s="41"/>
      <c r="AJ473" s="41"/>
      <c r="AK473" s="58">
        <v>41869.0</v>
      </c>
      <c r="AL473" s="56" t="s">
        <v>965</v>
      </c>
    </row>
    <row r="474" ht="22.5" customHeight="1">
      <c r="A474" s="286" t="s">
        <v>3329</v>
      </c>
      <c r="B474" s="57" t="s">
        <v>1008</v>
      </c>
      <c r="C474" s="198" t="s">
        <v>1009</v>
      </c>
      <c r="D474" s="34" t="s">
        <v>845</v>
      </c>
      <c r="E474" s="38" t="s">
        <v>1011</v>
      </c>
      <c r="F474" s="41" t="s">
        <v>140</v>
      </c>
      <c r="G474" s="34" t="s">
        <v>168</v>
      </c>
      <c r="H474" s="155">
        <v>42857.0</v>
      </c>
      <c r="I474" s="155">
        <v>42857.0</v>
      </c>
      <c r="J474" s="155">
        <v>42857.0</v>
      </c>
      <c r="K474" s="32" t="s">
        <v>70</v>
      </c>
      <c r="L474" s="34" t="s">
        <v>115</v>
      </c>
      <c r="M474" s="42" t="s">
        <v>383</v>
      </c>
      <c r="N474" s="32" t="s">
        <v>89</v>
      </c>
      <c r="O474" s="32" t="s">
        <v>142</v>
      </c>
      <c r="P474" s="38" t="s">
        <v>1050</v>
      </c>
      <c r="Q474" s="32" t="s">
        <v>2590</v>
      </c>
      <c r="R474" s="155">
        <v>43848.0</v>
      </c>
      <c r="S474" s="38" t="s">
        <v>1012</v>
      </c>
      <c r="T474" s="45" t="s">
        <v>1014</v>
      </c>
      <c r="U474" s="67" t="s">
        <v>3330</v>
      </c>
      <c r="V474" s="34" t="s">
        <v>80</v>
      </c>
      <c r="W474" s="60" t="s">
        <v>1016</v>
      </c>
      <c r="X474" s="32" t="s">
        <v>1017</v>
      </c>
      <c r="Y474" s="109" t="s">
        <v>1018</v>
      </c>
      <c r="Z474" s="32" t="s">
        <v>112</v>
      </c>
      <c r="AA474" s="38"/>
      <c r="AB474" s="32" t="s">
        <v>113</v>
      </c>
      <c r="AC474" s="68"/>
      <c r="AD474" s="66"/>
      <c r="AE474" s="47"/>
      <c r="AF474" s="34" t="s">
        <v>80</v>
      </c>
      <c r="AG474" s="56" t="s">
        <v>1020</v>
      </c>
      <c r="AH474" s="41"/>
      <c r="AI474" s="41"/>
      <c r="AJ474" s="41"/>
      <c r="AK474" s="58">
        <v>41261.0</v>
      </c>
      <c r="AL474" s="56" t="s">
        <v>262</v>
      </c>
    </row>
    <row r="475" ht="22.5" customHeight="1">
      <c r="A475" s="286" t="s">
        <v>3331</v>
      </c>
      <c r="B475" s="57" t="s">
        <v>190</v>
      </c>
      <c r="C475" s="149" t="s">
        <v>211</v>
      </c>
      <c r="D475" s="34" t="s">
        <v>752</v>
      </c>
      <c r="E475" s="32" t="s">
        <v>947</v>
      </c>
      <c r="F475" s="34" t="s">
        <v>93</v>
      </c>
      <c r="G475" s="34" t="s">
        <v>168</v>
      </c>
      <c r="H475" s="155">
        <v>42833.0</v>
      </c>
      <c r="I475" s="155">
        <v>42833.0</v>
      </c>
      <c r="J475" s="155">
        <v>42833.0</v>
      </c>
      <c r="K475" s="32" t="s">
        <v>70</v>
      </c>
      <c r="L475" s="41" t="s">
        <v>115</v>
      </c>
      <c r="M475" s="63" t="s">
        <v>218</v>
      </c>
      <c r="N475" s="32" t="s">
        <v>434</v>
      </c>
      <c r="O475" s="32" t="s">
        <v>142</v>
      </c>
      <c r="P475" s="32" t="s">
        <v>1050</v>
      </c>
      <c r="Q475" s="57" t="s">
        <v>2590</v>
      </c>
      <c r="R475" s="155">
        <v>43631.0</v>
      </c>
      <c r="S475" s="32" t="s">
        <v>116</v>
      </c>
      <c r="T475" s="56" t="s">
        <v>248</v>
      </c>
      <c r="U475" s="67" t="s">
        <v>3332</v>
      </c>
      <c r="V475" s="34" t="s">
        <v>80</v>
      </c>
      <c r="W475" s="32" t="s">
        <v>201</v>
      </c>
      <c r="X475" s="32" t="s">
        <v>202</v>
      </c>
      <c r="Y475" s="45" t="s">
        <v>203</v>
      </c>
      <c r="Z475" s="32" t="s">
        <v>112</v>
      </c>
      <c r="AA475" s="68"/>
      <c r="AB475" s="32" t="s">
        <v>113</v>
      </c>
      <c r="AC475" s="60"/>
      <c r="AD475" s="66"/>
      <c r="AE475" s="57" t="s">
        <v>3333</v>
      </c>
      <c r="AF475" s="272" t="s">
        <v>80</v>
      </c>
      <c r="AG475" s="56" t="s">
        <v>206</v>
      </c>
      <c r="AH475" s="266"/>
      <c r="AI475" s="266"/>
      <c r="AJ475" s="266"/>
      <c r="AK475" s="58">
        <v>42212.0</v>
      </c>
      <c r="AL475" s="56" t="s">
        <v>262</v>
      </c>
    </row>
    <row r="476" ht="22.5" customHeight="1">
      <c r="A476" s="286" t="s">
        <v>3334</v>
      </c>
      <c r="B476" s="57" t="s">
        <v>2257</v>
      </c>
      <c r="C476" s="32" t="s">
        <v>2258</v>
      </c>
      <c r="D476" s="34" t="s">
        <v>584</v>
      </c>
      <c r="E476" s="103" t="s">
        <v>2259</v>
      </c>
      <c r="F476" s="41" t="s">
        <v>140</v>
      </c>
      <c r="G476" s="34" t="s">
        <v>85</v>
      </c>
      <c r="H476" s="48">
        <v>42612.0</v>
      </c>
      <c r="I476" s="155">
        <v>42863.0</v>
      </c>
      <c r="J476" s="155">
        <v>42863.0</v>
      </c>
      <c r="K476" s="32" t="s">
        <v>86</v>
      </c>
      <c r="L476" s="41" t="s">
        <v>115</v>
      </c>
      <c r="M476" s="32" t="s">
        <v>313</v>
      </c>
      <c r="N476" s="32" t="s">
        <v>89</v>
      </c>
      <c r="O476" s="32" t="s">
        <v>1608</v>
      </c>
      <c r="P476" s="32"/>
      <c r="Q476" s="57" t="s">
        <v>3335</v>
      </c>
      <c r="R476" s="155"/>
      <c r="S476" s="32" t="s">
        <v>402</v>
      </c>
      <c r="T476" s="56" t="s">
        <v>2260</v>
      </c>
      <c r="U476" s="67" t="s">
        <v>3336</v>
      </c>
      <c r="V476" s="34" t="s">
        <v>74</v>
      </c>
      <c r="W476" s="149" t="s">
        <v>2261</v>
      </c>
      <c r="X476" s="198" t="s">
        <v>2515</v>
      </c>
      <c r="Y476" s="45" t="s">
        <v>2263</v>
      </c>
      <c r="Z476" s="32" t="s">
        <v>112</v>
      </c>
      <c r="AA476" s="32"/>
      <c r="AB476" s="32" t="s">
        <v>113</v>
      </c>
      <c r="AC476" s="60"/>
      <c r="AD476" s="66"/>
      <c r="AE476" s="57"/>
      <c r="AF476" s="272" t="s">
        <v>80</v>
      </c>
      <c r="AG476" s="56" t="s">
        <v>2265</v>
      </c>
      <c r="AH476" s="63"/>
      <c r="AI476" s="41"/>
      <c r="AJ476" s="41"/>
      <c r="AK476" s="155">
        <v>41963.0</v>
      </c>
      <c r="AL476" s="56" t="s">
        <v>2933</v>
      </c>
    </row>
    <row r="477" ht="22.5" customHeight="1">
      <c r="A477" s="286" t="s">
        <v>3337</v>
      </c>
      <c r="B477" s="57" t="s">
        <v>888</v>
      </c>
      <c r="C477" s="149" t="s">
        <v>1281</v>
      </c>
      <c r="D477" s="41" t="s">
        <v>75</v>
      </c>
      <c r="E477" s="38" t="s">
        <v>1282</v>
      </c>
      <c r="F477" s="34" t="s">
        <v>140</v>
      </c>
      <c r="G477" s="34" t="s">
        <v>168</v>
      </c>
      <c r="H477" s="155">
        <v>42747.0</v>
      </c>
      <c r="I477" s="155">
        <v>42747.0</v>
      </c>
      <c r="J477" s="155">
        <v>42747.0</v>
      </c>
      <c r="K477" s="32" t="s">
        <v>86</v>
      </c>
      <c r="L477" s="34" t="s">
        <v>115</v>
      </c>
      <c r="M477" s="32" t="s">
        <v>88</v>
      </c>
      <c r="N477" s="32" t="s">
        <v>89</v>
      </c>
      <c r="O477" s="32" t="s">
        <v>1023</v>
      </c>
      <c r="P477" s="32" t="s">
        <v>3085</v>
      </c>
      <c r="Q477" s="57" t="s">
        <v>3086</v>
      </c>
      <c r="R477" s="155">
        <v>42887.0</v>
      </c>
      <c r="S477" s="32" t="s">
        <v>196</v>
      </c>
      <c r="T477" s="45" t="s">
        <v>1285</v>
      </c>
      <c r="U477" s="67" t="s">
        <v>3338</v>
      </c>
      <c r="V477" s="34" t="s">
        <v>80</v>
      </c>
      <c r="W477" s="32" t="s">
        <v>561</v>
      </c>
      <c r="X477" s="60" t="s">
        <v>1287</v>
      </c>
      <c r="Y477" s="45" t="s">
        <v>1288</v>
      </c>
      <c r="Z477" s="32" t="s">
        <v>112</v>
      </c>
      <c r="AA477" s="32"/>
      <c r="AB477" s="32" t="s">
        <v>113</v>
      </c>
      <c r="AC477" s="60"/>
      <c r="AD477" s="66"/>
      <c r="AE477" s="57"/>
      <c r="AF477" s="54" t="s">
        <v>74</v>
      </c>
      <c r="AG477" s="56" t="s">
        <v>900</v>
      </c>
      <c r="AH477" s="41"/>
      <c r="AI477" s="41"/>
      <c r="AJ477" s="41"/>
      <c r="AK477" s="290">
        <v>41770.0</v>
      </c>
      <c r="AL477" s="56" t="s">
        <v>1028</v>
      </c>
    </row>
    <row r="478" ht="22.5" customHeight="1">
      <c r="A478" s="286" t="s">
        <v>3339</v>
      </c>
      <c r="B478" s="57" t="s">
        <v>1008</v>
      </c>
      <c r="C478" s="149" t="s">
        <v>1009</v>
      </c>
      <c r="D478" s="34" t="s">
        <v>845</v>
      </c>
      <c r="E478" s="38" t="s">
        <v>1011</v>
      </c>
      <c r="F478" s="41" t="s">
        <v>140</v>
      </c>
      <c r="G478" s="34" t="s">
        <v>168</v>
      </c>
      <c r="H478" s="155">
        <v>42866.0</v>
      </c>
      <c r="I478" s="155">
        <v>42866.0</v>
      </c>
      <c r="J478" s="155"/>
      <c r="K478" s="32" t="s">
        <v>70</v>
      </c>
      <c r="L478" s="34" t="s">
        <v>115</v>
      </c>
      <c r="M478" s="42" t="s">
        <v>383</v>
      </c>
      <c r="N478" s="32" t="s">
        <v>89</v>
      </c>
      <c r="O478" s="32" t="s">
        <v>989</v>
      </c>
      <c r="P478" s="32"/>
      <c r="Q478" s="57" t="s">
        <v>3340</v>
      </c>
      <c r="R478" s="155"/>
      <c r="S478" s="38" t="s">
        <v>1012</v>
      </c>
      <c r="T478" s="45" t="s">
        <v>1014</v>
      </c>
      <c r="U478" s="67" t="s">
        <v>3341</v>
      </c>
      <c r="V478" s="34" t="s">
        <v>80</v>
      </c>
      <c r="W478" s="60" t="s">
        <v>1016</v>
      </c>
      <c r="X478" s="32" t="s">
        <v>1017</v>
      </c>
      <c r="Y478" s="109" t="s">
        <v>1018</v>
      </c>
      <c r="Z478" s="32" t="s">
        <v>112</v>
      </c>
      <c r="AA478" s="38"/>
      <c r="AB478" s="32" t="s">
        <v>113</v>
      </c>
      <c r="AC478" s="68"/>
      <c r="AD478" s="66"/>
      <c r="AE478" s="57"/>
      <c r="AF478" s="34" t="s">
        <v>80</v>
      </c>
      <c r="AG478" s="56" t="s">
        <v>1020</v>
      </c>
      <c r="AH478" s="41"/>
      <c r="AI478" s="41"/>
      <c r="AJ478" s="41"/>
      <c r="AK478" s="58">
        <v>41261.0</v>
      </c>
      <c r="AL478" s="56" t="s">
        <v>1004</v>
      </c>
    </row>
    <row r="479" ht="22.5" customHeight="1">
      <c r="A479" s="286" t="s">
        <v>3342</v>
      </c>
      <c r="B479" s="57" t="s">
        <v>3022</v>
      </c>
      <c r="C479" s="32" t="s">
        <v>3023</v>
      </c>
      <c r="D479" s="54" t="s">
        <v>75</v>
      </c>
      <c r="E479" s="57" t="s">
        <v>3024</v>
      </c>
      <c r="F479" s="54" t="s">
        <v>140</v>
      </c>
      <c r="G479" s="54" t="s">
        <v>85</v>
      </c>
      <c r="H479" s="155">
        <v>42733.0</v>
      </c>
      <c r="I479" s="155">
        <v>42733.0</v>
      </c>
      <c r="J479" s="47"/>
      <c r="K479" s="32" t="s">
        <v>86</v>
      </c>
      <c r="L479" s="54" t="s">
        <v>115</v>
      </c>
      <c r="M479" s="63" t="s">
        <v>88</v>
      </c>
      <c r="N479" s="32" t="s">
        <v>89</v>
      </c>
      <c r="O479" s="32" t="s">
        <v>1570</v>
      </c>
      <c r="P479" s="47"/>
      <c r="Q479" s="57" t="s">
        <v>2752</v>
      </c>
      <c r="R479" s="47"/>
      <c r="S479" s="32" t="s">
        <v>1570</v>
      </c>
      <c r="T479" s="45" t="s">
        <v>3025</v>
      </c>
      <c r="U479" s="67" t="s">
        <v>3343</v>
      </c>
      <c r="V479" s="54" t="s">
        <v>74</v>
      </c>
      <c r="W479" s="57" t="s">
        <v>3027</v>
      </c>
      <c r="X479" s="57" t="s">
        <v>3028</v>
      </c>
      <c r="Y479" s="67" t="s">
        <v>3029</v>
      </c>
      <c r="Z479" s="32" t="s">
        <v>112</v>
      </c>
      <c r="AA479" s="47"/>
      <c r="AB479" s="123" t="s">
        <v>113</v>
      </c>
      <c r="AC479" s="32"/>
      <c r="AD479" s="261">
        <v>42870.0</v>
      </c>
      <c r="AE479" s="47"/>
      <c r="AF479" s="54" t="s">
        <v>74</v>
      </c>
      <c r="AG479" s="56" t="s">
        <v>3030</v>
      </c>
      <c r="AH479" s="57"/>
      <c r="AI479" s="41"/>
      <c r="AJ479" s="77"/>
      <c r="AK479" s="83">
        <v>42065.0</v>
      </c>
      <c r="AL479" s="109" t="s">
        <v>2055</v>
      </c>
    </row>
    <row r="480" ht="22.5" customHeight="1">
      <c r="A480" s="286" t="s">
        <v>3344</v>
      </c>
      <c r="B480" s="57" t="s">
        <v>2526</v>
      </c>
      <c r="C480" s="149" t="s">
        <v>383</v>
      </c>
      <c r="D480" s="41" t="s">
        <v>75</v>
      </c>
      <c r="E480" s="38" t="s">
        <v>2527</v>
      </c>
      <c r="F480" s="41" t="s">
        <v>140</v>
      </c>
      <c r="G480" s="34" t="s">
        <v>85</v>
      </c>
      <c r="H480" s="155">
        <v>42794.0</v>
      </c>
      <c r="I480" s="155">
        <v>42794.0</v>
      </c>
      <c r="J480" s="155">
        <v>42794.0</v>
      </c>
      <c r="K480" s="32" t="s">
        <v>70</v>
      </c>
      <c r="L480" s="34" t="s">
        <v>115</v>
      </c>
      <c r="M480" s="63" t="s">
        <v>88</v>
      </c>
      <c r="N480" s="32" t="s">
        <v>89</v>
      </c>
      <c r="O480" s="38" t="s">
        <v>1610</v>
      </c>
      <c r="P480" s="47"/>
      <c r="Q480" s="57" t="s">
        <v>3345</v>
      </c>
      <c r="R480" s="47"/>
      <c r="S480" s="38" t="s">
        <v>1610</v>
      </c>
      <c r="T480" s="56" t="s">
        <v>2529</v>
      </c>
      <c r="U480" s="67" t="s">
        <v>3346</v>
      </c>
      <c r="V480" s="34" t="s">
        <v>80</v>
      </c>
      <c r="W480" s="149" t="s">
        <v>2531</v>
      </c>
      <c r="X480" s="149" t="s">
        <v>2532</v>
      </c>
      <c r="Y480" s="152" t="s">
        <v>2533</v>
      </c>
      <c r="Z480" s="32" t="s">
        <v>112</v>
      </c>
      <c r="AA480" s="38"/>
      <c r="AB480" s="32" t="s">
        <v>134</v>
      </c>
      <c r="AC480" s="60" t="s">
        <v>2534</v>
      </c>
      <c r="AD480" s="66">
        <v>42870.0</v>
      </c>
      <c r="AE480" s="47"/>
      <c r="AF480" s="34" t="s">
        <v>80</v>
      </c>
      <c r="AG480" s="56" t="s">
        <v>2535</v>
      </c>
      <c r="AH480" s="41"/>
      <c r="AI480" s="41"/>
      <c r="AJ480" s="41"/>
      <c r="AK480" s="58">
        <v>42093.0</v>
      </c>
      <c r="AL480" s="56" t="s">
        <v>1745</v>
      </c>
    </row>
    <row r="481" ht="22.5" customHeight="1">
      <c r="A481" s="286" t="s">
        <v>3347</v>
      </c>
      <c r="B481" s="57" t="s">
        <v>69</v>
      </c>
      <c r="C481" s="149" t="s">
        <v>90</v>
      </c>
      <c r="D481" s="39" t="s">
        <v>91</v>
      </c>
      <c r="E481" s="38" t="s">
        <v>92</v>
      </c>
      <c r="F481" s="34" t="s">
        <v>93</v>
      </c>
      <c r="G481" s="54" t="s">
        <v>168</v>
      </c>
      <c r="H481" s="155">
        <v>42867.0</v>
      </c>
      <c r="I481" s="155">
        <v>42867.0</v>
      </c>
      <c r="J481" s="155"/>
      <c r="K481" s="32" t="s">
        <v>70</v>
      </c>
      <c r="L481" s="54" t="s">
        <v>115</v>
      </c>
      <c r="M481" s="121" t="s">
        <v>88</v>
      </c>
      <c r="N481" s="32" t="s">
        <v>89</v>
      </c>
      <c r="O481" s="38" t="s">
        <v>220</v>
      </c>
      <c r="P481" s="47"/>
      <c r="Q481" s="57" t="s">
        <v>3348</v>
      </c>
      <c r="R481" s="47"/>
      <c r="S481" s="32" t="s">
        <v>116</v>
      </c>
      <c r="T481" s="56" t="s">
        <v>118</v>
      </c>
      <c r="U481" s="67" t="s">
        <v>3349</v>
      </c>
      <c r="V481" s="54" t="s">
        <v>80</v>
      </c>
      <c r="W481" s="60" t="s">
        <v>122</v>
      </c>
      <c r="X481" s="60" t="s">
        <v>130</v>
      </c>
      <c r="Y481" s="45" t="s">
        <v>131</v>
      </c>
      <c r="Z481" s="32" t="s">
        <v>112</v>
      </c>
      <c r="AA481" s="47"/>
      <c r="AB481" s="60" t="s">
        <v>113</v>
      </c>
      <c r="AC481" s="60"/>
      <c r="AD481" s="66"/>
      <c r="AE481" s="47"/>
      <c r="AF481" s="54" t="s">
        <v>80</v>
      </c>
      <c r="AG481" s="56" t="s">
        <v>159</v>
      </c>
      <c r="AH481" s="47"/>
      <c r="AI481" s="58"/>
      <c r="AJ481" s="77"/>
      <c r="AK481" s="58">
        <v>41100.0</v>
      </c>
      <c r="AL481" s="56" t="s">
        <v>232</v>
      </c>
    </row>
    <row r="482" ht="22.5" customHeight="1">
      <c r="A482" s="286" t="s">
        <v>3350</v>
      </c>
      <c r="B482" s="57" t="s">
        <v>190</v>
      </c>
      <c r="C482" s="149" t="s">
        <v>191</v>
      </c>
      <c r="D482" s="34" t="s">
        <v>752</v>
      </c>
      <c r="E482" s="38" t="s">
        <v>193</v>
      </c>
      <c r="F482" s="54" t="s">
        <v>93</v>
      </c>
      <c r="G482" s="34" t="s">
        <v>168</v>
      </c>
      <c r="H482" s="155">
        <v>42867.0</v>
      </c>
      <c r="I482" s="155">
        <v>42867.0</v>
      </c>
      <c r="J482" s="155"/>
      <c r="K482" s="32" t="s">
        <v>70</v>
      </c>
      <c r="L482" s="41" t="s">
        <v>115</v>
      </c>
      <c r="M482" s="63" t="s">
        <v>88</v>
      </c>
      <c r="N482" s="38" t="s">
        <v>89</v>
      </c>
      <c r="O482" s="38" t="s">
        <v>220</v>
      </c>
      <c r="P482" s="47"/>
      <c r="Q482" s="57" t="s">
        <v>3348</v>
      </c>
      <c r="R482" s="47"/>
      <c r="S482" s="57" t="s">
        <v>116</v>
      </c>
      <c r="T482" s="56" t="s">
        <v>198</v>
      </c>
      <c r="U482" s="67" t="s">
        <v>3351</v>
      </c>
      <c r="V482" s="34" t="s">
        <v>80</v>
      </c>
      <c r="W482" s="32" t="s">
        <v>201</v>
      </c>
      <c r="X482" s="32" t="s">
        <v>202</v>
      </c>
      <c r="Y482" s="45" t="s">
        <v>203</v>
      </c>
      <c r="Z482" s="32" t="s">
        <v>112</v>
      </c>
      <c r="AA482" s="47"/>
      <c r="AB482" s="32" t="s">
        <v>113</v>
      </c>
      <c r="AC482" s="60"/>
      <c r="AD482" s="66"/>
      <c r="AE482" s="47"/>
      <c r="AF482" s="34" t="s">
        <v>80</v>
      </c>
      <c r="AG482" s="56" t="s">
        <v>206</v>
      </c>
      <c r="AH482" s="47"/>
      <c r="AI482" s="58"/>
      <c r="AJ482" s="41"/>
      <c r="AK482" s="58">
        <v>41215.0</v>
      </c>
      <c r="AL482" s="56" t="s">
        <v>232</v>
      </c>
    </row>
    <row r="483" ht="22.5" customHeight="1">
      <c r="A483" s="286" t="s">
        <v>3352</v>
      </c>
      <c r="B483" s="57" t="s">
        <v>190</v>
      </c>
      <c r="C483" s="149" t="s">
        <v>211</v>
      </c>
      <c r="D483" s="34" t="s">
        <v>752</v>
      </c>
      <c r="E483" s="32" t="s">
        <v>947</v>
      </c>
      <c r="F483" s="34" t="s">
        <v>93</v>
      </c>
      <c r="G483" s="34" t="s">
        <v>168</v>
      </c>
      <c r="H483" s="155">
        <v>42867.0</v>
      </c>
      <c r="I483" s="155">
        <v>42867.0</v>
      </c>
      <c r="J483" s="155"/>
      <c r="K483" s="32" t="s">
        <v>70</v>
      </c>
      <c r="L483" s="41" t="s">
        <v>115</v>
      </c>
      <c r="M483" s="63" t="s">
        <v>218</v>
      </c>
      <c r="N483" s="32" t="s">
        <v>434</v>
      </c>
      <c r="O483" s="38" t="s">
        <v>220</v>
      </c>
      <c r="P483" s="47"/>
      <c r="Q483" s="57" t="s">
        <v>3348</v>
      </c>
      <c r="R483" s="47"/>
      <c r="S483" s="32" t="s">
        <v>116</v>
      </c>
      <c r="T483" s="56" t="s">
        <v>248</v>
      </c>
      <c r="U483" s="67" t="s">
        <v>3353</v>
      </c>
      <c r="V483" s="34" t="s">
        <v>80</v>
      </c>
      <c r="W483" s="32" t="s">
        <v>201</v>
      </c>
      <c r="X483" s="32" t="s">
        <v>202</v>
      </c>
      <c r="Y483" s="45" t="s">
        <v>203</v>
      </c>
      <c r="Z483" s="32" t="s">
        <v>112</v>
      </c>
      <c r="AA483" s="68"/>
      <c r="AB483" s="32" t="s">
        <v>113</v>
      </c>
      <c r="AC483" s="60"/>
      <c r="AD483" s="66"/>
      <c r="AE483" s="47"/>
      <c r="AF483" s="34" t="s">
        <v>80</v>
      </c>
      <c r="AG483" s="56" t="s">
        <v>206</v>
      </c>
      <c r="AH483" s="266"/>
      <c r="AI483" s="266"/>
      <c r="AJ483" s="266"/>
      <c r="AK483" s="58">
        <v>42212.0</v>
      </c>
      <c r="AL483" s="56" t="s">
        <v>232</v>
      </c>
    </row>
    <row r="484" ht="22.5" customHeight="1">
      <c r="A484" s="286" t="s">
        <v>3354</v>
      </c>
      <c r="B484" s="57" t="s">
        <v>843</v>
      </c>
      <c r="C484" s="149" t="s">
        <v>844</v>
      </c>
      <c r="D484" s="34" t="s">
        <v>845</v>
      </c>
      <c r="E484" s="38" t="s">
        <v>846</v>
      </c>
      <c r="F484" s="34" t="s">
        <v>140</v>
      </c>
      <c r="G484" s="34" t="s">
        <v>168</v>
      </c>
      <c r="H484" s="155">
        <v>42800.0</v>
      </c>
      <c r="I484" s="155">
        <v>42796.0</v>
      </c>
      <c r="J484" s="155">
        <v>42800.0</v>
      </c>
      <c r="K484" s="32" t="s">
        <v>86</v>
      </c>
      <c r="L484" s="41" t="s">
        <v>115</v>
      </c>
      <c r="M484" s="42" t="s">
        <v>88</v>
      </c>
      <c r="N484" s="38" t="s">
        <v>89</v>
      </c>
      <c r="O484" s="32" t="s">
        <v>2125</v>
      </c>
      <c r="P484" s="47"/>
      <c r="Q484" s="57" t="s">
        <v>3355</v>
      </c>
      <c r="R484" s="155">
        <v>43165.0</v>
      </c>
      <c r="S484" s="32" t="s">
        <v>220</v>
      </c>
      <c r="T484" s="45" t="s">
        <v>855</v>
      </c>
      <c r="U484" s="67" t="s">
        <v>3356</v>
      </c>
      <c r="V484" s="34" t="s">
        <v>80</v>
      </c>
      <c r="W484" s="32" t="s">
        <v>561</v>
      </c>
      <c r="X484" s="32" t="s">
        <v>561</v>
      </c>
      <c r="Y484" s="45" t="s">
        <v>859</v>
      </c>
      <c r="Z484" s="32" t="s">
        <v>112</v>
      </c>
      <c r="AA484" s="47"/>
      <c r="AB484" s="60" t="s">
        <v>860</v>
      </c>
      <c r="AC484" s="60"/>
      <c r="AD484" s="66"/>
      <c r="AE484" s="47"/>
      <c r="AF484" s="34" t="s">
        <v>74</v>
      </c>
      <c r="AG484" s="56" t="s">
        <v>865</v>
      </c>
      <c r="AH484" s="47"/>
      <c r="AI484" s="58"/>
      <c r="AJ484" s="58">
        <v>41779.0</v>
      </c>
      <c r="AK484" s="58">
        <v>41612.0</v>
      </c>
      <c r="AL484" s="56" t="s">
        <v>2373</v>
      </c>
    </row>
    <row r="485" ht="22.5" customHeight="1">
      <c r="A485" s="286" t="s">
        <v>3357</v>
      </c>
      <c r="B485" s="57" t="s">
        <v>1693</v>
      </c>
      <c r="C485" s="32" t="s">
        <v>1694</v>
      </c>
      <c r="D485" s="41" t="s">
        <v>75</v>
      </c>
      <c r="E485" s="32" t="s">
        <v>1695</v>
      </c>
      <c r="F485" s="34" t="s">
        <v>140</v>
      </c>
      <c r="G485" s="34" t="s">
        <v>168</v>
      </c>
      <c r="H485" s="155">
        <v>42865.0</v>
      </c>
      <c r="I485" s="155"/>
      <c r="J485" s="155">
        <v>42865.0</v>
      </c>
      <c r="K485" s="32" t="s">
        <v>86</v>
      </c>
      <c r="L485" s="41" t="s">
        <v>115</v>
      </c>
      <c r="M485" s="63" t="s">
        <v>218</v>
      </c>
      <c r="N485" s="38" t="s">
        <v>89</v>
      </c>
      <c r="O485" s="32" t="s">
        <v>954</v>
      </c>
      <c r="P485" s="32" t="s">
        <v>2000</v>
      </c>
      <c r="Q485" s="57" t="s">
        <v>3358</v>
      </c>
      <c r="R485" s="58">
        <v>43230.0</v>
      </c>
      <c r="S485" s="32" t="s">
        <v>1023</v>
      </c>
      <c r="T485" s="203" t="s">
        <v>1696</v>
      </c>
      <c r="U485" s="67" t="s">
        <v>3359</v>
      </c>
      <c r="V485" s="34" t="s">
        <v>80</v>
      </c>
      <c r="W485" s="60" t="s">
        <v>1699</v>
      </c>
      <c r="X485" s="109" t="s">
        <v>1700</v>
      </c>
      <c r="Y485" s="109" t="s">
        <v>1701</v>
      </c>
      <c r="Z485" s="32" t="s">
        <v>112</v>
      </c>
      <c r="AA485" s="32"/>
      <c r="AB485" s="60" t="s">
        <v>389</v>
      </c>
      <c r="AC485" s="60"/>
      <c r="AD485" s="261"/>
      <c r="AE485" s="57" t="s">
        <v>3360</v>
      </c>
      <c r="AF485" s="54" t="s">
        <v>74</v>
      </c>
      <c r="AG485" s="56" t="s">
        <v>1703</v>
      </c>
      <c r="AH485" s="47"/>
      <c r="AI485" s="58"/>
      <c r="AJ485" s="41"/>
      <c r="AK485" s="58">
        <v>42103.0</v>
      </c>
      <c r="AL485" s="56" t="s">
        <v>965</v>
      </c>
    </row>
    <row r="486" ht="22.5" customHeight="1">
      <c r="A486" s="286" t="s">
        <v>3361</v>
      </c>
      <c r="B486" s="57" t="s">
        <v>1765</v>
      </c>
      <c r="C486" s="32" t="s">
        <v>1766</v>
      </c>
      <c r="D486" s="34" t="s">
        <v>845</v>
      </c>
      <c r="E486" s="38" t="s">
        <v>1768</v>
      </c>
      <c r="F486" s="41" t="s">
        <v>140</v>
      </c>
      <c r="G486" s="34" t="s">
        <v>168</v>
      </c>
      <c r="H486" s="155">
        <v>42678.0</v>
      </c>
      <c r="I486" s="155">
        <v>42678.0</v>
      </c>
      <c r="J486" s="155"/>
      <c r="K486" s="32" t="s">
        <v>70</v>
      </c>
      <c r="L486" s="34" t="s">
        <v>115</v>
      </c>
      <c r="M486" s="42" t="s">
        <v>88</v>
      </c>
      <c r="N486" s="32" t="s">
        <v>89</v>
      </c>
      <c r="O486" s="32" t="s">
        <v>850</v>
      </c>
      <c r="P486" s="32"/>
      <c r="Q486" s="57" t="s">
        <v>2359</v>
      </c>
      <c r="R486" s="58">
        <v>43773.0</v>
      </c>
      <c r="S486" s="38" t="s">
        <v>954</v>
      </c>
      <c r="T486" s="45" t="s">
        <v>1769</v>
      </c>
      <c r="U486" s="67" t="s">
        <v>3362</v>
      </c>
      <c r="V486" s="34" t="s">
        <v>80</v>
      </c>
      <c r="W486" s="60" t="s">
        <v>1772</v>
      </c>
      <c r="X486" s="60" t="s">
        <v>1773</v>
      </c>
      <c r="Y486" s="109" t="s">
        <v>1774</v>
      </c>
      <c r="Z486" s="32" t="s">
        <v>112</v>
      </c>
      <c r="AA486" s="32"/>
      <c r="AB486" s="32" t="s">
        <v>113</v>
      </c>
      <c r="AC486" s="60"/>
      <c r="AD486" s="261"/>
      <c r="AE486" s="57"/>
      <c r="AF486" s="34" t="s">
        <v>80</v>
      </c>
      <c r="AG486" s="56" t="s">
        <v>1775</v>
      </c>
      <c r="AH486" s="41"/>
      <c r="AI486" s="41"/>
      <c r="AJ486" s="77"/>
      <c r="AK486" s="132">
        <v>42018.0</v>
      </c>
      <c r="AL486" s="56" t="s">
        <v>870</v>
      </c>
    </row>
    <row r="487" ht="22.5" customHeight="1">
      <c r="A487" s="286" t="s">
        <v>3363</v>
      </c>
      <c r="B487" s="57" t="s">
        <v>2257</v>
      </c>
      <c r="C487" s="32" t="s">
        <v>2258</v>
      </c>
      <c r="D487" s="34" t="s">
        <v>584</v>
      </c>
      <c r="E487" s="103" t="s">
        <v>2259</v>
      </c>
      <c r="F487" s="41" t="s">
        <v>140</v>
      </c>
      <c r="G487" s="34" t="s">
        <v>168</v>
      </c>
      <c r="H487" s="155">
        <v>42866.0</v>
      </c>
      <c r="I487" s="155">
        <v>42866.0</v>
      </c>
      <c r="J487" s="155">
        <v>42866.0</v>
      </c>
      <c r="K487" s="32" t="s">
        <v>86</v>
      </c>
      <c r="L487" s="41" t="s">
        <v>115</v>
      </c>
      <c r="M487" s="32" t="s">
        <v>313</v>
      </c>
      <c r="N487" s="32" t="s">
        <v>89</v>
      </c>
      <c r="O487" s="32" t="s">
        <v>402</v>
      </c>
      <c r="P487" s="32"/>
      <c r="Q487" s="57" t="s">
        <v>3364</v>
      </c>
      <c r="R487" s="58">
        <v>42989.0</v>
      </c>
      <c r="S487" s="32" t="s">
        <v>402</v>
      </c>
      <c r="T487" s="56" t="s">
        <v>2260</v>
      </c>
      <c r="U487" s="67" t="s">
        <v>3365</v>
      </c>
      <c r="V487" s="34" t="s">
        <v>80</v>
      </c>
      <c r="W487" s="149" t="s">
        <v>2261</v>
      </c>
      <c r="X487" s="198" t="s">
        <v>2515</v>
      </c>
      <c r="Y487" s="45" t="s">
        <v>2263</v>
      </c>
      <c r="Z487" s="32" t="s">
        <v>112</v>
      </c>
      <c r="AA487" s="32"/>
      <c r="AB487" s="32" t="s">
        <v>113</v>
      </c>
      <c r="AC487" s="60"/>
      <c r="AD487" s="261"/>
      <c r="AE487" s="57" t="s">
        <v>3366</v>
      </c>
      <c r="AF487" s="272" t="s">
        <v>80</v>
      </c>
      <c r="AG487" s="56" t="s">
        <v>2265</v>
      </c>
      <c r="AH487" s="41"/>
      <c r="AI487" s="41"/>
      <c r="AJ487" s="41"/>
      <c r="AK487" s="155">
        <v>41963.0</v>
      </c>
      <c r="AL487" s="56" t="s">
        <v>1033</v>
      </c>
    </row>
    <row r="488" ht="22.5" customHeight="1">
      <c r="A488" s="286" t="s">
        <v>3367</v>
      </c>
      <c r="B488" s="57" t="s">
        <v>69</v>
      </c>
      <c r="C488" s="149" t="s">
        <v>90</v>
      </c>
      <c r="D488" s="39" t="s">
        <v>91</v>
      </c>
      <c r="E488" s="38" t="s">
        <v>92</v>
      </c>
      <c r="F488" s="34" t="s">
        <v>93</v>
      </c>
      <c r="G488" s="54" t="s">
        <v>168</v>
      </c>
      <c r="H488" s="155">
        <v>42885.0</v>
      </c>
      <c r="I488" s="155">
        <v>42885.0</v>
      </c>
      <c r="J488" s="155"/>
      <c r="K488" s="32" t="s">
        <v>70</v>
      </c>
      <c r="L488" s="54" t="s">
        <v>115</v>
      </c>
      <c r="M488" s="121" t="s">
        <v>88</v>
      </c>
      <c r="N488" s="32" t="s">
        <v>89</v>
      </c>
      <c r="O488" s="32" t="s">
        <v>1045</v>
      </c>
      <c r="P488" s="32"/>
      <c r="Q488" s="57" t="s">
        <v>3368</v>
      </c>
      <c r="R488" s="58"/>
      <c r="S488" s="32" t="s">
        <v>116</v>
      </c>
      <c r="T488" s="56" t="s">
        <v>118</v>
      </c>
      <c r="U488" s="67" t="s">
        <v>3369</v>
      </c>
      <c r="V488" s="54" t="s">
        <v>80</v>
      </c>
      <c r="W488" s="60" t="s">
        <v>122</v>
      </c>
      <c r="X488" s="60" t="s">
        <v>130</v>
      </c>
      <c r="Y488" s="45" t="s">
        <v>131</v>
      </c>
      <c r="Z488" s="32" t="s">
        <v>112</v>
      </c>
      <c r="AA488" s="47"/>
      <c r="AB488" s="60" t="s">
        <v>113</v>
      </c>
      <c r="AC488" s="60"/>
      <c r="AD488" s="261"/>
      <c r="AE488" s="57"/>
      <c r="AF488" s="54" t="s">
        <v>80</v>
      </c>
      <c r="AG488" s="56" t="s">
        <v>159</v>
      </c>
      <c r="AH488" s="47"/>
      <c r="AI488" s="58"/>
      <c r="AJ488" s="77"/>
      <c r="AK488" s="58">
        <v>41100.0</v>
      </c>
      <c r="AL488" s="56" t="s">
        <v>1048</v>
      </c>
    </row>
    <row r="489" ht="22.5" customHeight="1">
      <c r="A489" s="286" t="s">
        <v>3370</v>
      </c>
      <c r="B489" s="57" t="s">
        <v>888</v>
      </c>
      <c r="C489" s="149" t="s">
        <v>1281</v>
      </c>
      <c r="D489" s="41" t="s">
        <v>75</v>
      </c>
      <c r="E489" s="38" t="s">
        <v>1282</v>
      </c>
      <c r="F489" s="34" t="s">
        <v>140</v>
      </c>
      <c r="G489" s="34" t="s">
        <v>168</v>
      </c>
      <c r="H489" s="155">
        <v>42809.0</v>
      </c>
      <c r="I489" s="155">
        <v>42809.0</v>
      </c>
      <c r="J489" s="155"/>
      <c r="K489" s="32" t="s">
        <v>86</v>
      </c>
      <c r="L489" s="34" t="s">
        <v>115</v>
      </c>
      <c r="M489" s="32" t="s">
        <v>88</v>
      </c>
      <c r="N489" s="32" t="s">
        <v>89</v>
      </c>
      <c r="O489" s="32" t="s">
        <v>954</v>
      </c>
      <c r="P489" s="32" t="s">
        <v>3371</v>
      </c>
      <c r="Q489" s="57" t="s">
        <v>3372</v>
      </c>
      <c r="R489" s="58">
        <v>42992.0</v>
      </c>
      <c r="S489" s="32" t="s">
        <v>196</v>
      </c>
      <c r="T489" s="45" t="s">
        <v>1285</v>
      </c>
      <c r="U489" s="67" t="s">
        <v>3373</v>
      </c>
      <c r="V489" s="34" t="s">
        <v>80</v>
      </c>
      <c r="W489" s="32" t="s">
        <v>561</v>
      </c>
      <c r="X489" s="60" t="s">
        <v>1287</v>
      </c>
      <c r="Y489" s="45" t="s">
        <v>1288</v>
      </c>
      <c r="Z489" s="32" t="s">
        <v>112</v>
      </c>
      <c r="AA489" s="32"/>
      <c r="AB489" s="32" t="s">
        <v>113</v>
      </c>
      <c r="AC489" s="60"/>
      <c r="AD489" s="261"/>
      <c r="AE489" s="57"/>
      <c r="AF489" s="54" t="s">
        <v>74</v>
      </c>
      <c r="AG489" s="56" t="s">
        <v>900</v>
      </c>
      <c r="AH489" s="41"/>
      <c r="AI489" s="41"/>
      <c r="AJ489" s="41"/>
      <c r="AK489" s="290">
        <v>41770.0</v>
      </c>
      <c r="AL489" s="56" t="s">
        <v>965</v>
      </c>
    </row>
    <row r="490" ht="22.5" customHeight="1">
      <c r="A490" s="286" t="s">
        <v>3374</v>
      </c>
      <c r="B490" s="57" t="s">
        <v>1251</v>
      </c>
      <c r="C490" s="149" t="s">
        <v>1832</v>
      </c>
      <c r="D490" s="41" t="s">
        <v>75</v>
      </c>
      <c r="E490" s="103" t="s">
        <v>1833</v>
      </c>
      <c r="F490" s="34" t="s">
        <v>93</v>
      </c>
      <c r="G490" s="34" t="s">
        <v>168</v>
      </c>
      <c r="H490" s="155">
        <v>42809.0</v>
      </c>
      <c r="I490" s="155">
        <v>42809.0</v>
      </c>
      <c r="J490" s="155"/>
      <c r="K490" s="32" t="s">
        <v>86</v>
      </c>
      <c r="L490" s="41" t="s">
        <v>115</v>
      </c>
      <c r="M490" s="103" t="s">
        <v>88</v>
      </c>
      <c r="N490" s="38" t="s">
        <v>89</v>
      </c>
      <c r="O490" s="32" t="s">
        <v>954</v>
      </c>
      <c r="P490" s="32" t="s">
        <v>3371</v>
      </c>
      <c r="Q490" s="57" t="s">
        <v>3372</v>
      </c>
      <c r="R490" s="58">
        <v>42992.0</v>
      </c>
      <c r="S490" s="32" t="s">
        <v>116</v>
      </c>
      <c r="T490" s="45" t="s">
        <v>1835</v>
      </c>
      <c r="U490" s="67" t="s">
        <v>3375</v>
      </c>
      <c r="V490" s="34" t="s">
        <v>80</v>
      </c>
      <c r="W490" s="60" t="s">
        <v>1838</v>
      </c>
      <c r="X490" s="60" t="s">
        <v>1839</v>
      </c>
      <c r="Y490" s="109" t="s">
        <v>1841</v>
      </c>
      <c r="Z490" s="32" t="s">
        <v>112</v>
      </c>
      <c r="AA490" s="68"/>
      <c r="AB490" s="123" t="s">
        <v>113</v>
      </c>
      <c r="AC490" s="60"/>
      <c r="AD490" s="192"/>
      <c r="AE490" s="57"/>
      <c r="AF490" s="34" t="s">
        <v>74</v>
      </c>
      <c r="AG490" s="56" t="s">
        <v>1845</v>
      </c>
      <c r="AH490" s="53"/>
      <c r="AI490" s="77"/>
      <c r="AJ490" s="41"/>
      <c r="AK490" s="58">
        <v>41340.0</v>
      </c>
      <c r="AL490" s="56" t="s">
        <v>965</v>
      </c>
    </row>
    <row r="491" ht="22.5" customHeight="1">
      <c r="A491" s="286" t="s">
        <v>3376</v>
      </c>
      <c r="B491" s="57" t="s">
        <v>190</v>
      </c>
      <c r="C491" s="149" t="s">
        <v>191</v>
      </c>
      <c r="D491" s="34" t="s">
        <v>752</v>
      </c>
      <c r="E491" s="32" t="s">
        <v>193</v>
      </c>
      <c r="F491" s="54" t="s">
        <v>93</v>
      </c>
      <c r="G491" s="34" t="s">
        <v>168</v>
      </c>
      <c r="H491" s="155">
        <v>42874.0</v>
      </c>
      <c r="I491" s="155">
        <v>42874.0</v>
      </c>
      <c r="J491" s="155"/>
      <c r="K491" s="32" t="s">
        <v>86</v>
      </c>
      <c r="L491" s="34" t="s">
        <v>115</v>
      </c>
      <c r="M491" s="63" t="s">
        <v>88</v>
      </c>
      <c r="N491" s="32" t="s">
        <v>89</v>
      </c>
      <c r="O491" s="38" t="s">
        <v>969</v>
      </c>
      <c r="P491" s="32" t="s">
        <v>1055</v>
      </c>
      <c r="Q491" s="38" t="s">
        <v>1056</v>
      </c>
      <c r="R491" s="58">
        <v>43041.0</v>
      </c>
      <c r="S491" s="57" t="s">
        <v>116</v>
      </c>
      <c r="T491" s="56" t="s">
        <v>198</v>
      </c>
      <c r="U491" s="67" t="s">
        <v>3377</v>
      </c>
      <c r="V491" s="34" t="s">
        <v>80</v>
      </c>
      <c r="W491" s="32" t="s">
        <v>201</v>
      </c>
      <c r="X491" s="32" t="s">
        <v>202</v>
      </c>
      <c r="Y491" s="45" t="s">
        <v>203</v>
      </c>
      <c r="Z491" s="32" t="s">
        <v>112</v>
      </c>
      <c r="AA491" s="47"/>
      <c r="AB491" s="32" t="s">
        <v>113</v>
      </c>
      <c r="AC491" s="60"/>
      <c r="AD491" s="192"/>
      <c r="AE491" s="57"/>
      <c r="AF491" s="34" t="s">
        <v>74</v>
      </c>
      <c r="AG491" s="56" t="s">
        <v>206</v>
      </c>
      <c r="AH491" s="47"/>
      <c r="AI491" s="58"/>
      <c r="AJ491" s="41"/>
      <c r="AK491" s="58">
        <v>41215.0</v>
      </c>
      <c r="AL491" s="56" t="s">
        <v>1043</v>
      </c>
    </row>
    <row r="492" ht="22.5" customHeight="1">
      <c r="A492" s="286" t="s">
        <v>3378</v>
      </c>
      <c r="B492" s="57" t="s">
        <v>1693</v>
      </c>
      <c r="C492" s="32" t="s">
        <v>1694</v>
      </c>
      <c r="D492" s="41" t="s">
        <v>75</v>
      </c>
      <c r="E492" s="32" t="s">
        <v>1695</v>
      </c>
      <c r="F492" s="34" t="s">
        <v>140</v>
      </c>
      <c r="G492" s="34" t="s">
        <v>168</v>
      </c>
      <c r="H492" s="155">
        <v>42877.0</v>
      </c>
      <c r="I492" s="155">
        <v>42877.0</v>
      </c>
      <c r="J492" s="155">
        <v>42877.0</v>
      </c>
      <c r="K492" s="32" t="s">
        <v>70</v>
      </c>
      <c r="L492" s="41" t="s">
        <v>115</v>
      </c>
      <c r="M492" s="63" t="s">
        <v>218</v>
      </c>
      <c r="N492" s="38" t="s">
        <v>89</v>
      </c>
      <c r="O492" s="32" t="s">
        <v>2388</v>
      </c>
      <c r="P492" s="32"/>
      <c r="Q492" s="32" t="s">
        <v>2389</v>
      </c>
      <c r="R492" s="58"/>
      <c r="S492" s="32" t="s">
        <v>1023</v>
      </c>
      <c r="T492" s="203" t="s">
        <v>1696</v>
      </c>
      <c r="U492" s="67" t="s">
        <v>3379</v>
      </c>
      <c r="V492" s="34" t="s">
        <v>74</v>
      </c>
      <c r="W492" s="60" t="s">
        <v>1699</v>
      </c>
      <c r="X492" s="109" t="s">
        <v>1700</v>
      </c>
      <c r="Y492" s="109" t="s">
        <v>1701</v>
      </c>
      <c r="Z492" s="32" t="s">
        <v>112</v>
      </c>
      <c r="AA492" s="32"/>
      <c r="AB492" s="60" t="s">
        <v>389</v>
      </c>
      <c r="AC492" s="60"/>
      <c r="AD492" s="261"/>
      <c r="AE492" s="57"/>
      <c r="AF492" s="54" t="s">
        <v>80</v>
      </c>
      <c r="AG492" s="56" t="s">
        <v>1703</v>
      </c>
      <c r="AH492" s="47"/>
      <c r="AI492" s="58"/>
      <c r="AJ492" s="41"/>
      <c r="AK492" s="58">
        <v>42103.0</v>
      </c>
      <c r="AL492" s="56" t="s">
        <v>2391</v>
      </c>
    </row>
    <row r="493" ht="22.5" customHeight="1">
      <c r="A493" s="286" t="s">
        <v>3380</v>
      </c>
      <c r="B493" s="57" t="s">
        <v>888</v>
      </c>
      <c r="C493" s="32" t="s">
        <v>1281</v>
      </c>
      <c r="D493" s="41" t="s">
        <v>75</v>
      </c>
      <c r="E493" s="38" t="s">
        <v>1282</v>
      </c>
      <c r="F493" s="34" t="s">
        <v>140</v>
      </c>
      <c r="G493" s="34" t="s">
        <v>168</v>
      </c>
      <c r="H493" s="155">
        <v>42887.0</v>
      </c>
      <c r="I493" s="155">
        <v>42879.0</v>
      </c>
      <c r="J493" s="155">
        <v>42887.0</v>
      </c>
      <c r="K493" s="32" t="s">
        <v>86</v>
      </c>
      <c r="L493" s="34" t="s">
        <v>115</v>
      </c>
      <c r="M493" s="32" t="s">
        <v>88</v>
      </c>
      <c r="N493" s="32" t="s">
        <v>89</v>
      </c>
      <c r="O493" s="32" t="s">
        <v>1023</v>
      </c>
      <c r="P493" s="32" t="s">
        <v>3085</v>
      </c>
      <c r="Q493" s="57" t="s">
        <v>3086</v>
      </c>
      <c r="R493" s="155">
        <v>43063.0</v>
      </c>
      <c r="S493" s="32" t="s">
        <v>196</v>
      </c>
      <c r="T493" s="45" t="s">
        <v>1285</v>
      </c>
      <c r="U493" s="67" t="s">
        <v>3381</v>
      </c>
      <c r="V493" s="34" t="s">
        <v>80</v>
      </c>
      <c r="W493" s="32" t="s">
        <v>561</v>
      </c>
      <c r="X493" s="60" t="s">
        <v>1287</v>
      </c>
      <c r="Y493" s="45" t="s">
        <v>1288</v>
      </c>
      <c r="Z493" s="32" t="s">
        <v>112</v>
      </c>
      <c r="AA493" s="32"/>
      <c r="AB493" s="32" t="s">
        <v>113</v>
      </c>
      <c r="AC493" s="60"/>
      <c r="AD493" s="261"/>
      <c r="AE493" s="57"/>
      <c r="AF493" s="54" t="s">
        <v>74</v>
      </c>
      <c r="AG493" s="56" t="s">
        <v>900</v>
      </c>
      <c r="AH493" s="41"/>
      <c r="AI493" s="41"/>
      <c r="AJ493" s="41"/>
      <c r="AK493" s="290">
        <v>41770.0</v>
      </c>
      <c r="AL493" s="56" t="s">
        <v>1028</v>
      </c>
    </row>
    <row r="494" ht="22.5" customHeight="1">
      <c r="A494" s="286" t="s">
        <v>3382</v>
      </c>
      <c r="B494" s="57" t="s">
        <v>888</v>
      </c>
      <c r="C494" s="32" t="s">
        <v>1281</v>
      </c>
      <c r="D494" s="41" t="s">
        <v>75</v>
      </c>
      <c r="E494" s="38" t="s">
        <v>1282</v>
      </c>
      <c r="F494" s="34" t="s">
        <v>140</v>
      </c>
      <c r="G494" s="34" t="s">
        <v>168</v>
      </c>
      <c r="H494" s="155">
        <v>42897.0</v>
      </c>
      <c r="I494" s="155"/>
      <c r="J494" s="155">
        <v>42897.0</v>
      </c>
      <c r="K494" s="32" t="s">
        <v>86</v>
      </c>
      <c r="L494" s="34" t="s">
        <v>115</v>
      </c>
      <c r="M494" s="32" t="s">
        <v>88</v>
      </c>
      <c r="N494" s="32" t="s">
        <v>89</v>
      </c>
      <c r="O494" s="32" t="s">
        <v>954</v>
      </c>
      <c r="P494" s="32" t="s">
        <v>2000</v>
      </c>
      <c r="Q494" s="57" t="s">
        <v>3358</v>
      </c>
      <c r="R494" s="155">
        <v>43262.0</v>
      </c>
      <c r="S494" s="32" t="s">
        <v>196</v>
      </c>
      <c r="T494" s="45" t="s">
        <v>1285</v>
      </c>
      <c r="U494" s="67" t="s">
        <v>3383</v>
      </c>
      <c r="V494" s="34" t="s">
        <v>80</v>
      </c>
      <c r="W494" s="32" t="s">
        <v>561</v>
      </c>
      <c r="X494" s="60" t="s">
        <v>1287</v>
      </c>
      <c r="Y494" s="45" t="s">
        <v>1288</v>
      </c>
      <c r="Z494" s="32" t="s">
        <v>112</v>
      </c>
      <c r="AA494" s="32"/>
      <c r="AB494" s="32" t="s">
        <v>113</v>
      </c>
      <c r="AC494" s="60"/>
      <c r="AD494" s="261"/>
      <c r="AE494" s="57"/>
      <c r="AF494" s="54" t="s">
        <v>80</v>
      </c>
      <c r="AG494" s="56" t="s">
        <v>900</v>
      </c>
      <c r="AH494" s="41"/>
      <c r="AI494" s="41"/>
      <c r="AJ494" s="41"/>
      <c r="AK494" s="290">
        <v>41770.0</v>
      </c>
      <c r="AL494" s="56" t="s">
        <v>965</v>
      </c>
    </row>
    <row r="495" ht="22.5" customHeight="1">
      <c r="A495" s="286" t="s">
        <v>3384</v>
      </c>
      <c r="B495" s="57" t="s">
        <v>3385</v>
      </c>
      <c r="C495" s="57" t="s">
        <v>3386</v>
      </c>
      <c r="D495" s="54" t="s">
        <v>75</v>
      </c>
      <c r="E495" s="57" t="s">
        <v>3387</v>
      </c>
      <c r="F495" s="54" t="s">
        <v>140</v>
      </c>
      <c r="G495" s="54" t="s">
        <v>85</v>
      </c>
      <c r="H495" s="155">
        <v>42863.0</v>
      </c>
      <c r="I495" s="155">
        <v>42863.0</v>
      </c>
      <c r="J495" s="155">
        <v>42863.0</v>
      </c>
      <c r="K495" s="32" t="s">
        <v>86</v>
      </c>
      <c r="L495" s="54" t="s">
        <v>115</v>
      </c>
      <c r="M495" s="63" t="s">
        <v>218</v>
      </c>
      <c r="N495" s="32" t="s">
        <v>89</v>
      </c>
      <c r="O495" s="57" t="s">
        <v>142</v>
      </c>
      <c r="P495" s="32" t="s">
        <v>1050</v>
      </c>
      <c r="Q495" s="57" t="s">
        <v>2590</v>
      </c>
      <c r="R495" s="155">
        <v>43218.0</v>
      </c>
      <c r="S495" s="57" t="s">
        <v>142</v>
      </c>
      <c r="T495" s="45" t="s">
        <v>3388</v>
      </c>
      <c r="U495" s="67" t="s">
        <v>3389</v>
      </c>
      <c r="V495" s="54" t="s">
        <v>80</v>
      </c>
      <c r="W495" s="57" t="s">
        <v>3390</v>
      </c>
      <c r="X495" s="57" t="s">
        <v>3391</v>
      </c>
      <c r="Y495" s="67" t="s">
        <v>3392</v>
      </c>
      <c r="Z495" s="32" t="s">
        <v>112</v>
      </c>
      <c r="AA495" s="47"/>
      <c r="AB495" s="32" t="s">
        <v>113</v>
      </c>
      <c r="AC495" s="32"/>
      <c r="AD495" s="261">
        <v>42899.0</v>
      </c>
      <c r="AE495" s="47"/>
      <c r="AF495" s="54" t="s">
        <v>80</v>
      </c>
      <c r="AG495" s="56" t="s">
        <v>3393</v>
      </c>
      <c r="AH495" s="139"/>
      <c r="AI495" s="41"/>
      <c r="AJ495" s="77"/>
      <c r="AK495" s="83">
        <v>42279.0</v>
      </c>
      <c r="AL495" s="56" t="s">
        <v>262</v>
      </c>
    </row>
    <row r="496" ht="22.5" customHeight="1">
      <c r="A496" s="286" t="s">
        <v>3394</v>
      </c>
      <c r="B496" s="57" t="s">
        <v>1374</v>
      </c>
      <c r="C496" s="63" t="s">
        <v>2582</v>
      </c>
      <c r="D496" s="34" t="s">
        <v>584</v>
      </c>
      <c r="E496" s="32" t="s">
        <v>2583</v>
      </c>
      <c r="F496" s="34" t="s">
        <v>140</v>
      </c>
      <c r="G496" s="34" t="s">
        <v>168</v>
      </c>
      <c r="H496" s="155">
        <v>42898.0</v>
      </c>
      <c r="I496" s="155">
        <v>42853.0</v>
      </c>
      <c r="J496" s="155">
        <v>42898.0</v>
      </c>
      <c r="K496" s="32" t="s">
        <v>70</v>
      </c>
      <c r="L496" s="34" t="s">
        <v>115</v>
      </c>
      <c r="M496" s="63" t="s">
        <v>218</v>
      </c>
      <c r="N496" s="32" t="s">
        <v>89</v>
      </c>
      <c r="O496" s="57" t="s">
        <v>2271</v>
      </c>
      <c r="P496" s="32"/>
      <c r="Q496" s="57" t="s">
        <v>3395</v>
      </c>
      <c r="R496" s="155"/>
      <c r="S496" s="32" t="s">
        <v>1864</v>
      </c>
      <c r="T496" s="56" t="s">
        <v>2585</v>
      </c>
      <c r="U496" s="67" t="s">
        <v>3396</v>
      </c>
      <c r="V496" s="54" t="s">
        <v>74</v>
      </c>
      <c r="W496" s="32" t="s">
        <v>2587</v>
      </c>
      <c r="X496" s="269" t="s">
        <v>1381</v>
      </c>
      <c r="Y496" s="45" t="s">
        <v>1382</v>
      </c>
      <c r="Z496" s="32" t="s">
        <v>112</v>
      </c>
      <c r="AA496" s="47"/>
      <c r="AB496" s="32" t="s">
        <v>113</v>
      </c>
      <c r="AC496" s="32"/>
      <c r="AD496" s="261"/>
      <c r="AE496" s="47"/>
      <c r="AF496" s="34" t="s">
        <v>80</v>
      </c>
      <c r="AG496" s="56" t="s">
        <v>1384</v>
      </c>
      <c r="AH496" s="177"/>
      <c r="AI496" s="266"/>
      <c r="AJ496" s="266"/>
      <c r="AK496" s="268">
        <v>42502.0</v>
      </c>
      <c r="AL496" s="56" t="s">
        <v>2275</v>
      </c>
    </row>
    <row r="497" ht="22.5" customHeight="1">
      <c r="A497" s="286" t="s">
        <v>3397</v>
      </c>
      <c r="B497" s="57" t="s">
        <v>1374</v>
      </c>
      <c r="C497" s="198" t="s">
        <v>1375</v>
      </c>
      <c r="D497" s="39" t="s">
        <v>91</v>
      </c>
      <c r="E497" s="103" t="s">
        <v>1376</v>
      </c>
      <c r="F497" s="41" t="s">
        <v>93</v>
      </c>
      <c r="G497" s="34" t="s">
        <v>168</v>
      </c>
      <c r="H497" s="155">
        <v>42898.0</v>
      </c>
      <c r="I497" s="155">
        <v>42853.0</v>
      </c>
      <c r="J497" s="155">
        <v>42898.0</v>
      </c>
      <c r="K497" s="32" t="s">
        <v>70</v>
      </c>
      <c r="L497" s="41" t="s">
        <v>115</v>
      </c>
      <c r="M497" s="63" t="s">
        <v>218</v>
      </c>
      <c r="N497" s="32" t="s">
        <v>89</v>
      </c>
      <c r="O497" s="57" t="s">
        <v>2271</v>
      </c>
      <c r="P497" s="32"/>
      <c r="Q497" s="57" t="s">
        <v>3395</v>
      </c>
      <c r="R497" s="155"/>
      <c r="S497" s="32" t="s">
        <v>116</v>
      </c>
      <c r="T497" s="56" t="s">
        <v>1378</v>
      </c>
      <c r="U497" s="67" t="s">
        <v>3398</v>
      </c>
      <c r="V497" s="54" t="s">
        <v>74</v>
      </c>
      <c r="W497" s="172" t="s">
        <v>1380</v>
      </c>
      <c r="X497" s="198" t="s">
        <v>1381</v>
      </c>
      <c r="Y497" s="152" t="s">
        <v>1382</v>
      </c>
      <c r="Z497" s="32" t="s">
        <v>112</v>
      </c>
      <c r="AA497" s="47"/>
      <c r="AB497" s="32" t="s">
        <v>113</v>
      </c>
      <c r="AC497" s="60"/>
      <c r="AD497" s="261"/>
      <c r="AE497" s="47"/>
      <c r="AF497" s="34" t="s">
        <v>80</v>
      </c>
      <c r="AG497" s="56" t="s">
        <v>1384</v>
      </c>
      <c r="AH497" s="41"/>
      <c r="AI497" s="41"/>
      <c r="AJ497" s="41"/>
      <c r="AK497" s="58">
        <v>41869.0</v>
      </c>
      <c r="AL497" s="56" t="s">
        <v>2275</v>
      </c>
    </row>
    <row r="498" ht="22.5" customHeight="1">
      <c r="A498" s="286" t="s">
        <v>3399</v>
      </c>
      <c r="B498" s="57" t="s">
        <v>2526</v>
      </c>
      <c r="C498" s="149" t="s">
        <v>383</v>
      </c>
      <c r="D498" s="41" t="s">
        <v>75</v>
      </c>
      <c r="E498" s="38" t="s">
        <v>2527</v>
      </c>
      <c r="F498" s="41" t="s">
        <v>140</v>
      </c>
      <c r="G498" s="34" t="s">
        <v>168</v>
      </c>
      <c r="H498" s="155">
        <v>42904.0</v>
      </c>
      <c r="I498" s="155">
        <v>42904.0</v>
      </c>
      <c r="J498" s="155">
        <v>42904.0</v>
      </c>
      <c r="K498" s="32" t="s">
        <v>70</v>
      </c>
      <c r="L498" s="34" t="s">
        <v>115</v>
      </c>
      <c r="M498" s="63" t="s">
        <v>88</v>
      </c>
      <c r="N498" s="32" t="s">
        <v>89</v>
      </c>
      <c r="O498" s="57" t="s">
        <v>142</v>
      </c>
      <c r="P498" s="32" t="s">
        <v>1050</v>
      </c>
      <c r="Q498" s="57" t="s">
        <v>2590</v>
      </c>
      <c r="R498" s="155">
        <v>43889.0</v>
      </c>
      <c r="S498" s="38" t="s">
        <v>1610</v>
      </c>
      <c r="T498" s="56" t="s">
        <v>2529</v>
      </c>
      <c r="U498" s="67" t="s">
        <v>3400</v>
      </c>
      <c r="V498" s="34" t="s">
        <v>80</v>
      </c>
      <c r="W498" s="149" t="s">
        <v>2531</v>
      </c>
      <c r="X498" s="149" t="s">
        <v>2532</v>
      </c>
      <c r="Y498" s="152" t="s">
        <v>2533</v>
      </c>
      <c r="Z498" s="32" t="s">
        <v>112</v>
      </c>
      <c r="AA498" s="38"/>
      <c r="AB498" s="32" t="s">
        <v>134</v>
      </c>
      <c r="AC498" s="60"/>
      <c r="AD498" s="66"/>
      <c r="AE498" s="47"/>
      <c r="AF498" s="34" t="s">
        <v>80</v>
      </c>
      <c r="AG498" s="56" t="s">
        <v>2535</v>
      </c>
      <c r="AH498" s="41"/>
      <c r="AI498" s="41"/>
      <c r="AJ498" s="41"/>
      <c r="AK498" s="58">
        <v>42093.0</v>
      </c>
      <c r="AL498" s="56" t="s">
        <v>262</v>
      </c>
    </row>
    <row r="499" ht="22.5" customHeight="1">
      <c r="A499" s="286" t="s">
        <v>3401</v>
      </c>
      <c r="B499" s="149" t="s">
        <v>2561</v>
      </c>
      <c r="C499" s="57" t="s">
        <v>2562</v>
      </c>
      <c r="D499" s="41" t="s">
        <v>75</v>
      </c>
      <c r="E499" s="149" t="s">
        <v>2563</v>
      </c>
      <c r="F499" s="34" t="s">
        <v>93</v>
      </c>
      <c r="G499" s="34" t="s">
        <v>168</v>
      </c>
      <c r="H499" s="155">
        <v>42849.0</v>
      </c>
      <c r="I499" s="155">
        <v>42849.0</v>
      </c>
      <c r="J499" s="155"/>
      <c r="K499" s="32" t="s">
        <v>70</v>
      </c>
      <c r="L499" s="41" t="s">
        <v>115</v>
      </c>
      <c r="M499" s="63" t="s">
        <v>218</v>
      </c>
      <c r="N499" s="38" t="s">
        <v>89</v>
      </c>
      <c r="O499" s="57" t="s">
        <v>954</v>
      </c>
      <c r="P499" s="32" t="s">
        <v>1283</v>
      </c>
      <c r="Q499" s="57" t="s">
        <v>1284</v>
      </c>
      <c r="R499" s="155"/>
      <c r="S499" s="32" t="s">
        <v>116</v>
      </c>
      <c r="T499" s="56" t="s">
        <v>2564</v>
      </c>
      <c r="U499" s="67" t="s">
        <v>3402</v>
      </c>
      <c r="V499" s="34" t="s">
        <v>80</v>
      </c>
      <c r="W499" s="149" t="s">
        <v>2566</v>
      </c>
      <c r="X499" s="149" t="s">
        <v>2567</v>
      </c>
      <c r="Y499" s="152" t="s">
        <v>2568</v>
      </c>
      <c r="Z499" s="32" t="s">
        <v>112</v>
      </c>
      <c r="AA499" s="32"/>
      <c r="AB499" s="32" t="s">
        <v>113</v>
      </c>
      <c r="AC499" s="60"/>
      <c r="AD499" s="261"/>
      <c r="AE499" s="47"/>
      <c r="AF499" s="34" t="s">
        <v>80</v>
      </c>
      <c r="AG499" s="56" t="s">
        <v>2571</v>
      </c>
      <c r="AH499" s="47"/>
      <c r="AI499" s="58"/>
      <c r="AJ499" s="266"/>
      <c r="AK499" s="268">
        <v>42046.0</v>
      </c>
      <c r="AL499" s="56" t="s">
        <v>965</v>
      </c>
    </row>
    <row r="500" ht="22.5" customHeight="1">
      <c r="A500" s="286" t="s">
        <v>3403</v>
      </c>
      <c r="B500" s="57" t="s">
        <v>1321</v>
      </c>
      <c r="C500" s="32" t="s">
        <v>1322</v>
      </c>
      <c r="D500" s="34" t="s">
        <v>845</v>
      </c>
      <c r="E500" s="38" t="s">
        <v>1323</v>
      </c>
      <c r="F500" s="41" t="s">
        <v>140</v>
      </c>
      <c r="G500" s="34" t="s">
        <v>168</v>
      </c>
      <c r="H500" s="155">
        <v>42904.0</v>
      </c>
      <c r="I500" s="155">
        <v>42904.0</v>
      </c>
      <c r="J500" s="155"/>
      <c r="K500" s="32" t="s">
        <v>70</v>
      </c>
      <c r="L500" s="34" t="s">
        <v>115</v>
      </c>
      <c r="M500" s="42" t="s">
        <v>88</v>
      </c>
      <c r="N500" s="32" t="s">
        <v>89</v>
      </c>
      <c r="O500" s="32" t="s">
        <v>1195</v>
      </c>
      <c r="P500" s="32"/>
      <c r="Q500" s="57" t="s">
        <v>3404</v>
      </c>
      <c r="R500" s="155">
        <v>43982.0</v>
      </c>
      <c r="S500" s="32" t="s">
        <v>196</v>
      </c>
      <c r="T500" s="45" t="s">
        <v>1324</v>
      </c>
      <c r="U500" s="67" t="s">
        <v>3405</v>
      </c>
      <c r="V500" s="34" t="s">
        <v>80</v>
      </c>
      <c r="W500" s="32" t="s">
        <v>561</v>
      </c>
      <c r="X500" s="32" t="s">
        <v>1326</v>
      </c>
      <c r="Y500" s="109" t="s">
        <v>1327</v>
      </c>
      <c r="Z500" s="32" t="s">
        <v>112</v>
      </c>
      <c r="AA500" s="38"/>
      <c r="AB500" s="32" t="s">
        <v>113</v>
      </c>
      <c r="AC500" s="60"/>
      <c r="AD500" s="66"/>
      <c r="AE500" s="47"/>
      <c r="AF500" s="34" t="s">
        <v>80</v>
      </c>
      <c r="AG500" s="56" t="s">
        <v>1329</v>
      </c>
      <c r="AH500" s="41"/>
      <c r="AI500" s="41"/>
      <c r="AJ500" s="41"/>
      <c r="AK500" s="58">
        <v>41619.0</v>
      </c>
      <c r="AL500" s="56" t="s">
        <v>1215</v>
      </c>
    </row>
    <row r="501" ht="22.5" customHeight="1">
      <c r="A501" s="286" t="s">
        <v>3406</v>
      </c>
      <c r="B501" s="57" t="s">
        <v>888</v>
      </c>
      <c r="C501" s="32" t="s">
        <v>1281</v>
      </c>
      <c r="D501" s="41" t="s">
        <v>75</v>
      </c>
      <c r="E501" s="38" t="s">
        <v>1282</v>
      </c>
      <c r="F501" s="41" t="s">
        <v>140</v>
      </c>
      <c r="G501" s="34" t="s">
        <v>168</v>
      </c>
      <c r="H501" s="155">
        <v>42907.0</v>
      </c>
      <c r="I501" s="155"/>
      <c r="J501" s="155">
        <v>42907.0</v>
      </c>
      <c r="K501" s="32" t="s">
        <v>70</v>
      </c>
      <c r="L501" s="34" t="s">
        <v>115</v>
      </c>
      <c r="M501" s="32" t="s">
        <v>88</v>
      </c>
      <c r="N501" s="32" t="s">
        <v>89</v>
      </c>
      <c r="O501" s="32" t="s">
        <v>1023</v>
      </c>
      <c r="P501" s="32" t="s">
        <v>1024</v>
      </c>
      <c r="Q501" s="57" t="s">
        <v>2724</v>
      </c>
      <c r="R501" s="155"/>
      <c r="S501" s="32" t="s">
        <v>196</v>
      </c>
      <c r="T501" s="45" t="s">
        <v>1285</v>
      </c>
      <c r="U501" s="67" t="s">
        <v>3407</v>
      </c>
      <c r="V501" s="34" t="s">
        <v>80</v>
      </c>
      <c r="W501" s="32" t="s">
        <v>561</v>
      </c>
      <c r="X501" s="60" t="s">
        <v>1287</v>
      </c>
      <c r="Y501" s="45" t="s">
        <v>1288</v>
      </c>
      <c r="Z501" s="32" t="s">
        <v>112</v>
      </c>
      <c r="AA501" s="32"/>
      <c r="AB501" s="32" t="s">
        <v>113</v>
      </c>
      <c r="AC501" s="60"/>
      <c r="AD501" s="66"/>
      <c r="AE501" s="47"/>
      <c r="AF501" s="54" t="s">
        <v>80</v>
      </c>
      <c r="AG501" s="56" t="s">
        <v>900</v>
      </c>
      <c r="AH501" s="41"/>
      <c r="AI501" s="41"/>
      <c r="AJ501" s="41"/>
      <c r="AK501" s="290">
        <v>41770.0</v>
      </c>
      <c r="AL501" s="56" t="s">
        <v>1028</v>
      </c>
    </row>
    <row r="502" ht="22.5" customHeight="1">
      <c r="A502" s="286" t="s">
        <v>3408</v>
      </c>
      <c r="B502" s="57" t="s">
        <v>888</v>
      </c>
      <c r="C502" s="32" t="s">
        <v>889</v>
      </c>
      <c r="D502" s="34" t="s">
        <v>752</v>
      </c>
      <c r="E502" s="38" t="s">
        <v>892</v>
      </c>
      <c r="F502" s="34" t="s">
        <v>93</v>
      </c>
      <c r="G502" s="34" t="s">
        <v>168</v>
      </c>
      <c r="H502" s="155">
        <v>42907.0</v>
      </c>
      <c r="I502" s="155"/>
      <c r="J502" s="155">
        <v>42907.0</v>
      </c>
      <c r="K502" s="32" t="s">
        <v>70</v>
      </c>
      <c r="L502" s="41" t="s">
        <v>115</v>
      </c>
      <c r="M502" s="42" t="s">
        <v>88</v>
      </c>
      <c r="N502" s="38" t="s">
        <v>89</v>
      </c>
      <c r="O502" s="32" t="s">
        <v>1023</v>
      </c>
      <c r="P502" s="32" t="s">
        <v>1024</v>
      </c>
      <c r="Q502" s="57" t="s">
        <v>2724</v>
      </c>
      <c r="R502" s="155"/>
      <c r="S502" s="32" t="s">
        <v>116</v>
      </c>
      <c r="T502" s="56" t="s">
        <v>1950</v>
      </c>
      <c r="U502" s="67" t="s">
        <v>3409</v>
      </c>
      <c r="V502" s="34" t="s">
        <v>80</v>
      </c>
      <c r="W502" s="60" t="s">
        <v>1934</v>
      </c>
      <c r="X502" s="109" t="s">
        <v>1935</v>
      </c>
      <c r="Y502" s="109" t="s">
        <v>899</v>
      </c>
      <c r="Z502" s="32" t="s">
        <v>112</v>
      </c>
      <c r="AA502" s="68"/>
      <c r="AB502" s="149" t="s">
        <v>481</v>
      </c>
      <c r="AC502" s="60"/>
      <c r="AD502" s="66"/>
      <c r="AE502" s="47"/>
      <c r="AF502" s="34" t="s">
        <v>80</v>
      </c>
      <c r="AG502" s="56" t="s">
        <v>900</v>
      </c>
      <c r="AH502" s="47"/>
      <c r="AI502" s="58"/>
      <c r="AJ502" s="41"/>
      <c r="AK502" s="155">
        <v>41352.0</v>
      </c>
      <c r="AL502" s="56" t="s">
        <v>1028</v>
      </c>
    </row>
    <row r="503" ht="22.5" customHeight="1">
      <c r="A503" s="286" t="s">
        <v>3410</v>
      </c>
      <c r="B503" s="57" t="s">
        <v>888</v>
      </c>
      <c r="C503" s="32" t="s">
        <v>918</v>
      </c>
      <c r="D503" s="34" t="s">
        <v>91</v>
      </c>
      <c r="E503" s="103" t="s">
        <v>919</v>
      </c>
      <c r="F503" s="34" t="s">
        <v>93</v>
      </c>
      <c r="G503" s="34" t="s">
        <v>168</v>
      </c>
      <c r="H503" s="155">
        <v>42907.0</v>
      </c>
      <c r="I503" s="155"/>
      <c r="J503" s="155">
        <v>42907.0</v>
      </c>
      <c r="K503" s="32" t="s">
        <v>86</v>
      </c>
      <c r="L503" s="34" t="s">
        <v>115</v>
      </c>
      <c r="M503" s="103" t="s">
        <v>88</v>
      </c>
      <c r="N503" s="32" t="s">
        <v>89</v>
      </c>
      <c r="O503" s="32" t="s">
        <v>1023</v>
      </c>
      <c r="P503" s="32" t="s">
        <v>1024</v>
      </c>
      <c r="Q503" s="57" t="s">
        <v>2724</v>
      </c>
      <c r="R503" s="155"/>
      <c r="S503" s="32" t="s">
        <v>116</v>
      </c>
      <c r="T503" s="45" t="s">
        <v>926</v>
      </c>
      <c r="U503" s="67" t="s">
        <v>3411</v>
      </c>
      <c r="V503" s="34" t="s">
        <v>80</v>
      </c>
      <c r="W503" s="172" t="s">
        <v>897</v>
      </c>
      <c r="X503" s="111" t="s">
        <v>898</v>
      </c>
      <c r="Y503" s="45" t="s">
        <v>929</v>
      </c>
      <c r="Z503" s="32" t="s">
        <v>112</v>
      </c>
      <c r="AA503" s="32"/>
      <c r="AB503" s="149" t="s">
        <v>481</v>
      </c>
      <c r="AC503" s="68"/>
      <c r="AD503" s="66"/>
      <c r="AE503" s="47"/>
      <c r="AF503" s="34" t="s">
        <v>74</v>
      </c>
      <c r="AG503" s="56" t="s">
        <v>900</v>
      </c>
      <c r="AH503" s="41"/>
      <c r="AI503" s="41"/>
      <c r="AJ503" s="41"/>
      <c r="AK503" s="155">
        <v>41185.0</v>
      </c>
      <c r="AL503" s="56" t="s">
        <v>1028</v>
      </c>
    </row>
    <row r="504" ht="22.5" customHeight="1">
      <c r="A504" s="286" t="s">
        <v>3412</v>
      </c>
      <c r="B504" s="57" t="s">
        <v>3413</v>
      </c>
      <c r="C504" s="57" t="s">
        <v>3414</v>
      </c>
      <c r="D504" s="54" t="s">
        <v>75</v>
      </c>
      <c r="E504" s="57" t="s">
        <v>3415</v>
      </c>
      <c r="F504" s="54" t="s">
        <v>140</v>
      </c>
      <c r="G504" s="54" t="s">
        <v>85</v>
      </c>
      <c r="H504" s="155">
        <v>42759.0</v>
      </c>
      <c r="I504" s="47"/>
      <c r="J504" s="155">
        <v>42759.0</v>
      </c>
      <c r="K504" s="32" t="s">
        <v>70</v>
      </c>
      <c r="L504" s="54" t="s">
        <v>115</v>
      </c>
      <c r="M504" s="63" t="s">
        <v>383</v>
      </c>
      <c r="N504" s="32" t="s">
        <v>89</v>
      </c>
      <c r="O504" s="32" t="s">
        <v>1864</v>
      </c>
      <c r="P504" s="47"/>
      <c r="Q504" s="57" t="s">
        <v>3416</v>
      </c>
      <c r="R504" s="155">
        <v>43854.0</v>
      </c>
      <c r="S504" s="32" t="s">
        <v>1864</v>
      </c>
      <c r="T504" s="45" t="s">
        <v>3417</v>
      </c>
      <c r="U504" s="67" t="s">
        <v>3418</v>
      </c>
      <c r="V504" s="54" t="s">
        <v>80</v>
      </c>
      <c r="W504" s="57" t="s">
        <v>3419</v>
      </c>
      <c r="X504" s="57" t="s">
        <v>3420</v>
      </c>
      <c r="Y504" s="67" t="s">
        <v>3421</v>
      </c>
      <c r="Z504" s="32" t="s">
        <v>112</v>
      </c>
      <c r="AA504" s="47"/>
      <c r="AB504" s="57" t="s">
        <v>134</v>
      </c>
      <c r="AC504" s="68" t="s">
        <v>3422</v>
      </c>
      <c r="AD504" s="261">
        <v>42912.0</v>
      </c>
      <c r="AE504" s="57"/>
      <c r="AF504" s="54" t="s">
        <v>80</v>
      </c>
      <c r="AG504" s="56" t="s">
        <v>3423</v>
      </c>
      <c r="AH504" s="139" t="s">
        <v>947</v>
      </c>
      <c r="AI504" s="41"/>
      <c r="AJ504" s="77"/>
      <c r="AK504" s="83">
        <v>42536.0</v>
      </c>
      <c r="AL504" s="56" t="s">
        <v>2588</v>
      </c>
    </row>
    <row r="505" ht="22.5" customHeight="1">
      <c r="A505" s="286" t="s">
        <v>3424</v>
      </c>
      <c r="B505" s="57" t="s">
        <v>2401</v>
      </c>
      <c r="C505" s="149" t="s">
        <v>2402</v>
      </c>
      <c r="D505" s="41" t="s">
        <v>75</v>
      </c>
      <c r="E505" s="149" t="s">
        <v>2403</v>
      </c>
      <c r="F505" s="34" t="s">
        <v>140</v>
      </c>
      <c r="G505" s="34" t="s">
        <v>85</v>
      </c>
      <c r="H505" s="155">
        <v>42911.0</v>
      </c>
      <c r="I505" s="155">
        <v>42911.0</v>
      </c>
      <c r="J505" s="155">
        <v>42911.0</v>
      </c>
      <c r="K505" s="32" t="s">
        <v>70</v>
      </c>
      <c r="L505" s="41" t="s">
        <v>115</v>
      </c>
      <c r="M505" s="42" t="s">
        <v>88</v>
      </c>
      <c r="N505" s="38" t="s">
        <v>89</v>
      </c>
      <c r="O505" s="32" t="s">
        <v>142</v>
      </c>
      <c r="P505" s="38" t="s">
        <v>1050</v>
      </c>
      <c r="Q505" s="57" t="s">
        <v>2590</v>
      </c>
      <c r="R505" s="155"/>
      <c r="S505" s="32" t="s">
        <v>142</v>
      </c>
      <c r="T505" s="56" t="s">
        <v>2404</v>
      </c>
      <c r="U505" s="67" t="s">
        <v>3425</v>
      </c>
      <c r="V505" s="34" t="s">
        <v>80</v>
      </c>
      <c r="W505" s="149" t="s">
        <v>2406</v>
      </c>
      <c r="X505" s="198" t="s">
        <v>2407</v>
      </c>
      <c r="Y505" s="152" t="s">
        <v>2408</v>
      </c>
      <c r="Z505" s="32" t="s">
        <v>112</v>
      </c>
      <c r="AA505" s="32"/>
      <c r="AB505" s="60" t="s">
        <v>389</v>
      </c>
      <c r="AC505" s="255" t="s">
        <v>3426</v>
      </c>
      <c r="AD505" s="136">
        <v>42485.0</v>
      </c>
      <c r="AE505" s="57" t="s">
        <v>3427</v>
      </c>
      <c r="AF505" s="34" t="s">
        <v>80</v>
      </c>
      <c r="AG505" s="56" t="s">
        <v>2409</v>
      </c>
      <c r="AH505" s="139" t="s">
        <v>947</v>
      </c>
      <c r="AI505" s="266"/>
      <c r="AJ505" s="266"/>
      <c r="AK505" s="132">
        <v>42012.0</v>
      </c>
      <c r="AL505" s="56" t="s">
        <v>262</v>
      </c>
    </row>
    <row r="506" ht="22.5" customHeight="1">
      <c r="A506" s="286" t="s">
        <v>3428</v>
      </c>
      <c r="B506" s="57" t="s">
        <v>1321</v>
      </c>
      <c r="C506" s="57" t="s">
        <v>1322</v>
      </c>
      <c r="D506" s="34" t="s">
        <v>845</v>
      </c>
      <c r="E506" s="38" t="s">
        <v>1323</v>
      </c>
      <c r="F506" s="34" t="s">
        <v>140</v>
      </c>
      <c r="G506" s="34" t="s">
        <v>168</v>
      </c>
      <c r="H506" s="155">
        <v>42911.0</v>
      </c>
      <c r="I506" s="47"/>
      <c r="J506" s="155">
        <v>42911.0</v>
      </c>
      <c r="K506" s="32" t="s">
        <v>86</v>
      </c>
      <c r="L506" s="41" t="s">
        <v>115</v>
      </c>
      <c r="M506" s="42" t="s">
        <v>88</v>
      </c>
      <c r="N506" s="38" t="s">
        <v>89</v>
      </c>
      <c r="O506" s="32" t="s">
        <v>142</v>
      </c>
      <c r="P506" s="38" t="s">
        <v>1050</v>
      </c>
      <c r="Q506" s="57" t="s">
        <v>2590</v>
      </c>
      <c r="R506" s="155">
        <v>43131.0</v>
      </c>
      <c r="S506" s="32" t="s">
        <v>196</v>
      </c>
      <c r="T506" s="45" t="s">
        <v>1324</v>
      </c>
      <c r="U506" s="67" t="s">
        <v>3429</v>
      </c>
      <c r="V506" s="34" t="s">
        <v>80</v>
      </c>
      <c r="W506" s="32" t="s">
        <v>561</v>
      </c>
      <c r="X506" s="32" t="s">
        <v>1326</v>
      </c>
      <c r="Y506" s="109" t="s">
        <v>1327</v>
      </c>
      <c r="Z506" s="32" t="s">
        <v>112</v>
      </c>
      <c r="AA506" s="32"/>
      <c r="AB506" s="32" t="s">
        <v>113</v>
      </c>
      <c r="AC506" s="60"/>
      <c r="AD506" s="261"/>
      <c r="AE506" s="57"/>
      <c r="AF506" s="34" t="s">
        <v>80</v>
      </c>
      <c r="AG506" s="56" t="s">
        <v>1329</v>
      </c>
      <c r="AH506" s="41"/>
      <c r="AI506" s="41"/>
      <c r="AJ506" s="41"/>
      <c r="AK506" s="58">
        <v>41619.0</v>
      </c>
      <c r="AL506" s="56" t="s">
        <v>262</v>
      </c>
    </row>
    <row r="507" ht="22.5" customHeight="1">
      <c r="A507" s="286" t="s">
        <v>3430</v>
      </c>
      <c r="B507" s="57" t="s">
        <v>3431</v>
      </c>
      <c r="C507" s="57" t="s">
        <v>3432</v>
      </c>
      <c r="D507" s="54" t="s">
        <v>75</v>
      </c>
      <c r="E507" s="57" t="s">
        <v>3433</v>
      </c>
      <c r="F507" s="54" t="s">
        <v>140</v>
      </c>
      <c r="G507" s="54" t="s">
        <v>85</v>
      </c>
      <c r="H507" s="155">
        <v>42851.0</v>
      </c>
      <c r="I507" s="155">
        <v>42851.0</v>
      </c>
      <c r="J507" s="47"/>
      <c r="K507" s="32" t="s">
        <v>70</v>
      </c>
      <c r="L507" s="41" t="s">
        <v>115</v>
      </c>
      <c r="M507" s="63" t="s">
        <v>313</v>
      </c>
      <c r="N507" s="32" t="s">
        <v>89</v>
      </c>
      <c r="O507" s="38" t="s">
        <v>220</v>
      </c>
      <c r="P507" s="47"/>
      <c r="Q507" s="57" t="s">
        <v>3434</v>
      </c>
      <c r="R507" s="47"/>
      <c r="S507" s="32" t="s">
        <v>220</v>
      </c>
      <c r="T507" s="45" t="s">
        <v>3435</v>
      </c>
      <c r="U507" s="67" t="s">
        <v>3436</v>
      </c>
      <c r="V507" s="34" t="s">
        <v>80</v>
      </c>
      <c r="W507" s="57" t="s">
        <v>3437</v>
      </c>
      <c r="X507" s="57" t="s">
        <v>3438</v>
      </c>
      <c r="Y507" s="67" t="s">
        <v>3439</v>
      </c>
      <c r="Z507" s="32" t="s">
        <v>112</v>
      </c>
      <c r="AA507" s="47"/>
      <c r="AB507" s="60" t="s">
        <v>389</v>
      </c>
      <c r="AC507" s="255" t="s">
        <v>3440</v>
      </c>
      <c r="AD507" s="261">
        <v>42921.0</v>
      </c>
      <c r="AE507" s="47"/>
      <c r="AF507" s="54" t="s">
        <v>80</v>
      </c>
      <c r="AG507" s="56" t="s">
        <v>3441</v>
      </c>
      <c r="AH507" s="139" t="s">
        <v>947</v>
      </c>
      <c r="AI507" s="58"/>
      <c r="AJ507" s="77"/>
      <c r="AK507" s="83">
        <v>42340.0</v>
      </c>
      <c r="AL507" s="56" t="s">
        <v>232</v>
      </c>
    </row>
    <row r="508" ht="22.5" customHeight="1">
      <c r="A508" s="286" t="s">
        <v>3442</v>
      </c>
      <c r="B508" s="57" t="s">
        <v>1321</v>
      </c>
      <c r="C508" s="57" t="s">
        <v>1322</v>
      </c>
      <c r="D508" s="34" t="s">
        <v>845</v>
      </c>
      <c r="E508" s="38" t="s">
        <v>1323</v>
      </c>
      <c r="F508" s="54" t="s">
        <v>140</v>
      </c>
      <c r="G508" s="34" t="s">
        <v>168</v>
      </c>
      <c r="H508" s="155">
        <v>42919.0</v>
      </c>
      <c r="I508" s="155"/>
      <c r="J508" s="155">
        <v>42919.0</v>
      </c>
      <c r="K508" s="32" t="s">
        <v>86</v>
      </c>
      <c r="L508" s="34" t="s">
        <v>115</v>
      </c>
      <c r="M508" s="42" t="s">
        <v>88</v>
      </c>
      <c r="N508" s="32" t="s">
        <v>89</v>
      </c>
      <c r="O508" s="32" t="s">
        <v>850</v>
      </c>
      <c r="P508" s="47"/>
      <c r="Q508" s="57" t="s">
        <v>3443</v>
      </c>
      <c r="R508" s="155">
        <v>43168.0</v>
      </c>
      <c r="S508" s="32" t="s">
        <v>196</v>
      </c>
      <c r="T508" s="45" t="s">
        <v>1324</v>
      </c>
      <c r="U508" s="67" t="s">
        <v>3444</v>
      </c>
      <c r="V508" s="54" t="s">
        <v>80</v>
      </c>
      <c r="W508" s="32" t="s">
        <v>561</v>
      </c>
      <c r="X508" s="32" t="s">
        <v>1326</v>
      </c>
      <c r="Y508" s="109" t="s">
        <v>1327</v>
      </c>
      <c r="Z508" s="32" t="s">
        <v>112</v>
      </c>
      <c r="AA508" s="47"/>
      <c r="AB508" s="32" t="s">
        <v>113</v>
      </c>
      <c r="AC508" s="60"/>
      <c r="AD508" s="261"/>
      <c r="AE508" s="47"/>
      <c r="AF508" s="54" t="s">
        <v>74</v>
      </c>
      <c r="AG508" s="56" t="s">
        <v>1329</v>
      </c>
      <c r="AH508" s="272"/>
      <c r="AI508" s="58"/>
      <c r="AJ508" s="77"/>
      <c r="AK508" s="58">
        <v>41619.0</v>
      </c>
      <c r="AL508" s="56" t="s">
        <v>870</v>
      </c>
    </row>
    <row r="509" ht="22.5" customHeight="1">
      <c r="A509" s="286" t="s">
        <v>3445</v>
      </c>
      <c r="B509" s="57" t="s">
        <v>2044</v>
      </c>
      <c r="C509" s="57" t="s">
        <v>2045</v>
      </c>
      <c r="D509" s="54" t="s">
        <v>91</v>
      </c>
      <c r="E509" s="57" t="s">
        <v>2046</v>
      </c>
      <c r="F509" s="34" t="s">
        <v>93</v>
      </c>
      <c r="G509" s="34" t="s">
        <v>168</v>
      </c>
      <c r="H509" s="155">
        <v>42921.0</v>
      </c>
      <c r="I509" s="155"/>
      <c r="J509" s="155">
        <v>42921.0</v>
      </c>
      <c r="K509" s="32" t="s">
        <v>70</v>
      </c>
      <c r="L509" s="34" t="s">
        <v>115</v>
      </c>
      <c r="M509" s="63" t="s">
        <v>313</v>
      </c>
      <c r="N509" s="32" t="s">
        <v>89</v>
      </c>
      <c r="O509" s="32" t="s">
        <v>850</v>
      </c>
      <c r="P509" s="57" t="s">
        <v>3034</v>
      </c>
      <c r="Q509" s="57" t="s">
        <v>3446</v>
      </c>
      <c r="R509" s="155"/>
      <c r="S509" s="32" t="s">
        <v>116</v>
      </c>
      <c r="T509" s="45" t="s">
        <v>2796</v>
      </c>
      <c r="U509" s="67" t="s">
        <v>3447</v>
      </c>
      <c r="V509" s="34" t="s">
        <v>80</v>
      </c>
      <c r="W509" s="57" t="s">
        <v>2798</v>
      </c>
      <c r="X509" s="57" t="s">
        <v>2052</v>
      </c>
      <c r="Y509" s="67" t="s">
        <v>2053</v>
      </c>
      <c r="Z509" s="32" t="s">
        <v>112</v>
      </c>
      <c r="AA509" s="47"/>
      <c r="AB509" s="123" t="s">
        <v>113</v>
      </c>
      <c r="AC509" s="60"/>
      <c r="AD509" s="261"/>
      <c r="AE509" s="47"/>
      <c r="AF509" s="54" t="s">
        <v>80</v>
      </c>
      <c r="AG509" s="56" t="s">
        <v>2054</v>
      </c>
      <c r="AH509" s="47"/>
      <c r="AI509" s="58"/>
      <c r="AJ509" s="41"/>
      <c r="AK509" s="83">
        <v>42047.0</v>
      </c>
      <c r="AL509" s="56" t="s">
        <v>870</v>
      </c>
    </row>
    <row r="510" ht="22.5" customHeight="1">
      <c r="A510" s="286" t="s">
        <v>3448</v>
      </c>
      <c r="B510" s="57" t="s">
        <v>1693</v>
      </c>
      <c r="C510" s="32" t="s">
        <v>1694</v>
      </c>
      <c r="D510" s="41" t="s">
        <v>75</v>
      </c>
      <c r="E510" s="32" t="s">
        <v>1695</v>
      </c>
      <c r="F510" s="34" t="s">
        <v>140</v>
      </c>
      <c r="G510" s="34" t="s">
        <v>168</v>
      </c>
      <c r="H510" s="155">
        <v>42900.0</v>
      </c>
      <c r="I510" s="155">
        <v>42900.0</v>
      </c>
      <c r="J510" s="155"/>
      <c r="K510" s="32" t="s">
        <v>70</v>
      </c>
      <c r="L510" s="41" t="s">
        <v>115</v>
      </c>
      <c r="M510" s="63" t="s">
        <v>218</v>
      </c>
      <c r="N510" s="38" t="s">
        <v>89</v>
      </c>
      <c r="O510" s="32" t="s">
        <v>954</v>
      </c>
      <c r="P510" s="57" t="s">
        <v>955</v>
      </c>
      <c r="Q510" s="57" t="s">
        <v>3205</v>
      </c>
      <c r="R510" s="155"/>
      <c r="S510" s="32" t="s">
        <v>1023</v>
      </c>
      <c r="T510" s="203" t="s">
        <v>1696</v>
      </c>
      <c r="U510" s="67" t="s">
        <v>3449</v>
      </c>
      <c r="V510" s="34" t="s">
        <v>80</v>
      </c>
      <c r="W510" s="60" t="s">
        <v>1699</v>
      </c>
      <c r="X510" s="109" t="s">
        <v>1700</v>
      </c>
      <c r="Y510" s="109" t="s">
        <v>1701</v>
      </c>
      <c r="Z510" s="32" t="s">
        <v>112</v>
      </c>
      <c r="AA510" s="32"/>
      <c r="AB510" s="60" t="s">
        <v>389</v>
      </c>
      <c r="AC510" s="60"/>
      <c r="AD510" s="261"/>
      <c r="AE510" s="47"/>
      <c r="AF510" s="54" t="s">
        <v>80</v>
      </c>
      <c r="AG510" s="56" t="s">
        <v>1703</v>
      </c>
      <c r="AH510" s="47"/>
      <c r="AI510" s="58"/>
      <c r="AJ510" s="41"/>
      <c r="AK510" s="58">
        <v>42103.0</v>
      </c>
      <c r="AL510" s="56" t="s">
        <v>965</v>
      </c>
    </row>
    <row r="511" ht="22.5" customHeight="1">
      <c r="A511" s="286" t="s">
        <v>3450</v>
      </c>
      <c r="B511" s="57" t="s">
        <v>2044</v>
      </c>
      <c r="C511" s="57" t="s">
        <v>2045</v>
      </c>
      <c r="D511" s="54" t="s">
        <v>91</v>
      </c>
      <c r="E511" s="57" t="s">
        <v>2046</v>
      </c>
      <c r="F511" s="34" t="s">
        <v>93</v>
      </c>
      <c r="G511" s="34" t="s">
        <v>168</v>
      </c>
      <c r="H511" s="155">
        <v>42930.0</v>
      </c>
      <c r="I511" s="155">
        <v>42930.0</v>
      </c>
      <c r="J511" s="155"/>
      <c r="K511" s="32" t="s">
        <v>70</v>
      </c>
      <c r="L511" s="34" t="s">
        <v>115</v>
      </c>
      <c r="M511" s="63" t="s">
        <v>313</v>
      </c>
      <c r="N511" s="32" t="s">
        <v>89</v>
      </c>
      <c r="O511" s="38" t="s">
        <v>220</v>
      </c>
      <c r="P511" s="57"/>
      <c r="Q511" s="57" t="s">
        <v>3348</v>
      </c>
      <c r="R511" s="155"/>
      <c r="S511" s="32" t="s">
        <v>116</v>
      </c>
      <c r="T511" s="45" t="s">
        <v>2796</v>
      </c>
      <c r="U511" s="67" t="s">
        <v>3451</v>
      </c>
      <c r="V511" s="34" t="s">
        <v>80</v>
      </c>
      <c r="W511" s="57" t="s">
        <v>2798</v>
      </c>
      <c r="X511" s="57" t="s">
        <v>2052</v>
      </c>
      <c r="Y511" s="67" t="s">
        <v>2053</v>
      </c>
      <c r="Z511" s="32" t="s">
        <v>112</v>
      </c>
      <c r="AA511" s="47"/>
      <c r="AB511" s="123" t="s">
        <v>113</v>
      </c>
      <c r="AC511" s="60"/>
      <c r="AD511" s="261"/>
      <c r="AE511" s="57" t="s">
        <v>3452</v>
      </c>
      <c r="AF511" s="54" t="s">
        <v>80</v>
      </c>
      <c r="AG511" s="56" t="s">
        <v>2054</v>
      </c>
      <c r="AH511" s="47"/>
      <c r="AI511" s="58"/>
      <c r="AJ511" s="41"/>
      <c r="AK511" s="83">
        <v>42047.0</v>
      </c>
      <c r="AL511" s="56" t="s">
        <v>232</v>
      </c>
    </row>
    <row r="512" ht="22.5" customHeight="1">
      <c r="A512" s="286" t="s">
        <v>3453</v>
      </c>
      <c r="B512" s="57" t="s">
        <v>3454</v>
      </c>
      <c r="C512" s="32" t="s">
        <v>2109</v>
      </c>
      <c r="D512" s="41" t="s">
        <v>91</v>
      </c>
      <c r="E512" s="103" t="s">
        <v>2110</v>
      </c>
      <c r="F512" s="34" t="s">
        <v>93</v>
      </c>
      <c r="G512" s="34" t="s">
        <v>168</v>
      </c>
      <c r="H512" s="155">
        <v>42930.0</v>
      </c>
      <c r="I512" s="155">
        <v>42930.0</v>
      </c>
      <c r="J512" s="155"/>
      <c r="K512" s="32" t="s">
        <v>70</v>
      </c>
      <c r="L512" s="34" t="s">
        <v>115</v>
      </c>
      <c r="M512" s="63" t="s">
        <v>218</v>
      </c>
      <c r="N512" s="32" t="s">
        <v>89</v>
      </c>
      <c r="O512" s="38" t="s">
        <v>220</v>
      </c>
      <c r="P512" s="32"/>
      <c r="Q512" s="57" t="s">
        <v>3348</v>
      </c>
      <c r="R512" s="155"/>
      <c r="S512" s="32" t="s">
        <v>116</v>
      </c>
      <c r="T512" s="45" t="s">
        <v>2112</v>
      </c>
      <c r="U512" s="67" t="s">
        <v>3455</v>
      </c>
      <c r="V512" s="34" t="s">
        <v>80</v>
      </c>
      <c r="W512" s="60" t="s">
        <v>2114</v>
      </c>
      <c r="X512" s="60" t="s">
        <v>2115</v>
      </c>
      <c r="Y512" s="109" t="s">
        <v>2116</v>
      </c>
      <c r="Z512" s="32" t="s">
        <v>112</v>
      </c>
      <c r="AA512" s="32"/>
      <c r="AB512" s="123" t="s">
        <v>113</v>
      </c>
      <c r="AC512" s="60"/>
      <c r="AD512" s="261"/>
      <c r="AE512" s="47"/>
      <c r="AF512" s="34" t="s">
        <v>80</v>
      </c>
      <c r="AG512" s="56" t="s">
        <v>2120</v>
      </c>
      <c r="AH512" s="47"/>
      <c r="AI512" s="58"/>
      <c r="AJ512" s="41"/>
      <c r="AK512" s="58">
        <v>41689.0</v>
      </c>
      <c r="AL512" s="56" t="s">
        <v>232</v>
      </c>
    </row>
    <row r="513" ht="22.5" customHeight="1">
      <c r="A513" s="286" t="s">
        <v>3456</v>
      </c>
      <c r="B513" s="57" t="s">
        <v>1293</v>
      </c>
      <c r="C513" s="32" t="s">
        <v>1294</v>
      </c>
      <c r="D513" s="41" t="s">
        <v>91</v>
      </c>
      <c r="E513" s="38" t="s">
        <v>1295</v>
      </c>
      <c r="F513" s="34" t="s">
        <v>140</v>
      </c>
      <c r="G513" s="34" t="s">
        <v>168</v>
      </c>
      <c r="H513" s="155">
        <v>42933.0</v>
      </c>
      <c r="I513" s="155">
        <v>42933.0</v>
      </c>
      <c r="J513" s="155">
        <v>42933.0</v>
      </c>
      <c r="K513" s="32" t="s">
        <v>70</v>
      </c>
      <c r="L513" s="41" t="s">
        <v>115</v>
      </c>
      <c r="M513" s="63" t="s">
        <v>313</v>
      </c>
      <c r="N513" s="38" t="s">
        <v>89</v>
      </c>
      <c r="O513" s="32" t="s">
        <v>142</v>
      </c>
      <c r="P513" s="38" t="s">
        <v>1050</v>
      </c>
      <c r="Q513" s="57" t="s">
        <v>2590</v>
      </c>
      <c r="R513" s="155">
        <v>44037.0</v>
      </c>
      <c r="S513" s="38" t="s">
        <v>1296</v>
      </c>
      <c r="T513" s="203" t="s">
        <v>1299</v>
      </c>
      <c r="U513" s="67" t="s">
        <v>3457</v>
      </c>
      <c r="V513" s="34" t="s">
        <v>80</v>
      </c>
      <c r="W513" s="32" t="s">
        <v>1301</v>
      </c>
      <c r="X513" s="60" t="s">
        <v>1302</v>
      </c>
      <c r="Y513" s="45" t="s">
        <v>1303</v>
      </c>
      <c r="Z513" s="32" t="s">
        <v>112</v>
      </c>
      <c r="AA513" s="32"/>
      <c r="AB513" s="60" t="s">
        <v>270</v>
      </c>
      <c r="AC513" s="60"/>
      <c r="AD513" s="261"/>
      <c r="AE513" s="47"/>
      <c r="AF513" s="34" t="s">
        <v>80</v>
      </c>
      <c r="AG513" s="56" t="s">
        <v>1305</v>
      </c>
      <c r="AH513" s="41"/>
      <c r="AI513" s="41"/>
      <c r="AJ513" s="41"/>
      <c r="AK513" s="58">
        <v>41611.0</v>
      </c>
      <c r="AL513" s="56" t="s">
        <v>262</v>
      </c>
    </row>
    <row r="514" ht="22.5" customHeight="1">
      <c r="A514" s="286" t="s">
        <v>3458</v>
      </c>
      <c r="B514" s="57" t="s">
        <v>1293</v>
      </c>
      <c r="C514" s="32" t="s">
        <v>1308</v>
      </c>
      <c r="D514" s="34" t="s">
        <v>845</v>
      </c>
      <c r="E514" s="38" t="s">
        <v>1309</v>
      </c>
      <c r="F514" s="34" t="s">
        <v>140</v>
      </c>
      <c r="G514" s="34" t="s">
        <v>168</v>
      </c>
      <c r="H514" s="155">
        <v>42933.0</v>
      </c>
      <c r="I514" s="155">
        <v>42933.0</v>
      </c>
      <c r="J514" s="155">
        <v>42933.0</v>
      </c>
      <c r="K514" s="32" t="s">
        <v>70</v>
      </c>
      <c r="L514" s="41" t="s">
        <v>115</v>
      </c>
      <c r="M514" s="63" t="s">
        <v>218</v>
      </c>
      <c r="N514" s="38" t="s">
        <v>89</v>
      </c>
      <c r="O514" s="32" t="s">
        <v>142</v>
      </c>
      <c r="P514" s="38" t="s">
        <v>1050</v>
      </c>
      <c r="Q514" s="57" t="s">
        <v>2590</v>
      </c>
      <c r="R514" s="155">
        <v>44037.0</v>
      </c>
      <c r="S514" s="38" t="s">
        <v>1296</v>
      </c>
      <c r="T514" s="203" t="s">
        <v>1310</v>
      </c>
      <c r="U514" s="67" t="s">
        <v>3459</v>
      </c>
      <c r="V514" s="34" t="s">
        <v>80</v>
      </c>
      <c r="W514" s="32" t="s">
        <v>1301</v>
      </c>
      <c r="X514" s="60" t="s">
        <v>1302</v>
      </c>
      <c r="Y514" s="45" t="s">
        <v>1303</v>
      </c>
      <c r="Z514" s="32" t="s">
        <v>112</v>
      </c>
      <c r="AA514" s="32"/>
      <c r="AB514" s="60" t="s">
        <v>270</v>
      </c>
      <c r="AC514" s="60"/>
      <c r="AD514" s="261"/>
      <c r="AE514" s="47"/>
      <c r="AF514" s="34" t="s">
        <v>80</v>
      </c>
      <c r="AG514" s="56" t="s">
        <v>1305</v>
      </c>
      <c r="AH514" s="41"/>
      <c r="AI514" s="41"/>
      <c r="AJ514" s="41"/>
      <c r="AK514" s="58">
        <v>41611.0</v>
      </c>
      <c r="AL514" s="56" t="s">
        <v>262</v>
      </c>
    </row>
    <row r="515" ht="22.5" customHeight="1">
      <c r="A515" s="286" t="s">
        <v>3460</v>
      </c>
      <c r="B515" s="57" t="s">
        <v>1251</v>
      </c>
      <c r="C515" s="32" t="s">
        <v>1252</v>
      </c>
      <c r="D515" s="41" t="s">
        <v>91</v>
      </c>
      <c r="E515" s="38" t="s">
        <v>1253</v>
      </c>
      <c r="F515" s="34" t="s">
        <v>93</v>
      </c>
      <c r="G515" s="34" t="s">
        <v>168</v>
      </c>
      <c r="H515" s="155">
        <v>42914.0</v>
      </c>
      <c r="I515" s="155"/>
      <c r="J515" s="155">
        <v>42914.0</v>
      </c>
      <c r="K515" s="32" t="s">
        <v>70</v>
      </c>
      <c r="L515" s="34" t="s">
        <v>115</v>
      </c>
      <c r="M515" s="63" t="s">
        <v>218</v>
      </c>
      <c r="N515" s="32" t="s">
        <v>89</v>
      </c>
      <c r="O515" s="32" t="s">
        <v>142</v>
      </c>
      <c r="P515" s="32" t="s">
        <v>3016</v>
      </c>
      <c r="Q515" s="57" t="s">
        <v>3017</v>
      </c>
      <c r="R515" s="58">
        <v>43279.0</v>
      </c>
      <c r="S515" s="32" t="s">
        <v>116</v>
      </c>
      <c r="T515" s="45" t="s">
        <v>1256</v>
      </c>
      <c r="U515" s="67" t="s">
        <v>3461</v>
      </c>
      <c r="V515" s="34" t="s">
        <v>80</v>
      </c>
      <c r="W515" s="60" t="s">
        <v>1261</v>
      </c>
      <c r="X515" s="32" t="s">
        <v>1262</v>
      </c>
      <c r="Y515" s="109" t="s">
        <v>1263</v>
      </c>
      <c r="Z515" s="32" t="s">
        <v>112</v>
      </c>
      <c r="AA515" s="47"/>
      <c r="AB515" s="32" t="s">
        <v>113</v>
      </c>
      <c r="AC515" s="60"/>
      <c r="AD515" s="261"/>
      <c r="AE515" s="47"/>
      <c r="AF515" s="180" t="s">
        <v>80</v>
      </c>
      <c r="AG515" s="56" t="s">
        <v>1269</v>
      </c>
      <c r="AH515" s="47"/>
      <c r="AI515" s="58"/>
      <c r="AJ515" s="41"/>
      <c r="AK515" s="58">
        <v>41162.0</v>
      </c>
      <c r="AL515" s="56" t="s">
        <v>262</v>
      </c>
    </row>
    <row r="516" ht="22.5" customHeight="1">
      <c r="A516" s="286" t="s">
        <v>3462</v>
      </c>
      <c r="B516" s="57" t="s">
        <v>1321</v>
      </c>
      <c r="C516" s="32" t="s">
        <v>1322</v>
      </c>
      <c r="D516" s="34" t="s">
        <v>845</v>
      </c>
      <c r="E516" s="38" t="s">
        <v>1323</v>
      </c>
      <c r="F516" s="54" t="s">
        <v>140</v>
      </c>
      <c r="G516" s="34" t="s">
        <v>168</v>
      </c>
      <c r="H516" s="155">
        <v>42773.0</v>
      </c>
      <c r="I516" s="155">
        <v>42773.0</v>
      </c>
      <c r="J516" s="155">
        <v>42773.0</v>
      </c>
      <c r="K516" s="32" t="s">
        <v>70</v>
      </c>
      <c r="L516" s="34" t="s">
        <v>115</v>
      </c>
      <c r="M516" s="42" t="s">
        <v>88</v>
      </c>
      <c r="N516" s="32" t="s">
        <v>89</v>
      </c>
      <c r="O516" s="32" t="s">
        <v>1908</v>
      </c>
      <c r="P516" s="32"/>
      <c r="Q516" s="57" t="s">
        <v>3463</v>
      </c>
      <c r="R516" s="58">
        <v>43868.0</v>
      </c>
      <c r="S516" s="32" t="s">
        <v>196</v>
      </c>
      <c r="T516" s="45" t="s">
        <v>1324</v>
      </c>
      <c r="U516" s="67" t="s">
        <v>3464</v>
      </c>
      <c r="V516" s="54" t="s">
        <v>80</v>
      </c>
      <c r="W516" s="32" t="s">
        <v>561</v>
      </c>
      <c r="X516" s="32" t="s">
        <v>1326</v>
      </c>
      <c r="Y516" s="109" t="s">
        <v>1327</v>
      </c>
      <c r="Z516" s="32" t="s">
        <v>112</v>
      </c>
      <c r="AA516" s="47"/>
      <c r="AB516" s="32" t="s">
        <v>113</v>
      </c>
      <c r="AC516" s="60"/>
      <c r="AD516" s="261"/>
      <c r="AE516" s="47"/>
      <c r="AF516" s="54" t="s">
        <v>80</v>
      </c>
      <c r="AG516" s="56" t="s">
        <v>1329</v>
      </c>
      <c r="AH516" s="272"/>
      <c r="AI516" s="58"/>
      <c r="AJ516" s="77"/>
      <c r="AK516" s="58">
        <v>41619.0</v>
      </c>
      <c r="AL516" s="56" t="s">
        <v>2432</v>
      </c>
    </row>
    <row r="517" ht="22.5" customHeight="1">
      <c r="A517" s="286" t="s">
        <v>3465</v>
      </c>
      <c r="B517" s="57" t="s">
        <v>888</v>
      </c>
      <c r="C517" s="32" t="s">
        <v>1956</v>
      </c>
      <c r="D517" s="41" t="s">
        <v>75</v>
      </c>
      <c r="E517" s="38" t="s">
        <v>1957</v>
      </c>
      <c r="F517" s="34" t="s">
        <v>93</v>
      </c>
      <c r="G517" s="34" t="s">
        <v>168</v>
      </c>
      <c r="H517" s="155">
        <v>42853.0</v>
      </c>
      <c r="I517" s="155">
        <v>42853.0</v>
      </c>
      <c r="J517" s="155">
        <v>42853.0</v>
      </c>
      <c r="K517" s="32" t="s">
        <v>70</v>
      </c>
      <c r="L517" s="34" t="s">
        <v>115</v>
      </c>
      <c r="M517" s="32" t="s">
        <v>218</v>
      </c>
      <c r="N517" s="32" t="s">
        <v>434</v>
      </c>
      <c r="O517" s="32" t="s">
        <v>1908</v>
      </c>
      <c r="P517" s="32"/>
      <c r="Q517" s="57" t="s">
        <v>3466</v>
      </c>
      <c r="R517" s="58">
        <v>43949.0</v>
      </c>
      <c r="S517" s="32" t="s">
        <v>116</v>
      </c>
      <c r="T517" s="45" t="s">
        <v>1959</v>
      </c>
      <c r="U517" s="67" t="s">
        <v>3467</v>
      </c>
      <c r="V517" s="34" t="s">
        <v>80</v>
      </c>
      <c r="W517" s="60" t="s">
        <v>1961</v>
      </c>
      <c r="X517" s="198" t="s">
        <v>1962</v>
      </c>
      <c r="Y517" s="109" t="s">
        <v>1963</v>
      </c>
      <c r="Z517" s="32" t="s">
        <v>112</v>
      </c>
      <c r="AA517" s="68"/>
      <c r="AB517" s="32" t="s">
        <v>113</v>
      </c>
      <c r="AC517" s="68"/>
      <c r="AD517" s="192"/>
      <c r="AE517" s="47"/>
      <c r="AF517" s="34" t="s">
        <v>80</v>
      </c>
      <c r="AG517" s="56" t="s">
        <v>900</v>
      </c>
      <c r="AH517" s="287"/>
      <c r="AI517" s="288"/>
      <c r="AJ517" s="41"/>
      <c r="AK517" s="155">
        <v>42138.0</v>
      </c>
      <c r="AL517" s="56" t="s">
        <v>2432</v>
      </c>
    </row>
    <row r="518" ht="22.5" customHeight="1">
      <c r="A518" s="286" t="s">
        <v>3468</v>
      </c>
      <c r="B518" s="57" t="s">
        <v>2550</v>
      </c>
      <c r="C518" s="32" t="s">
        <v>2551</v>
      </c>
      <c r="D518" s="34" t="s">
        <v>584</v>
      </c>
      <c r="E518" s="149" t="s">
        <v>2552</v>
      </c>
      <c r="F518" s="34" t="s">
        <v>140</v>
      </c>
      <c r="G518" s="34" t="s">
        <v>168</v>
      </c>
      <c r="H518" s="155">
        <v>42900.0</v>
      </c>
      <c r="I518" s="155">
        <v>42900.0</v>
      </c>
      <c r="J518" s="155"/>
      <c r="K518" s="32" t="s">
        <v>70</v>
      </c>
      <c r="L518" s="34" t="s">
        <v>115</v>
      </c>
      <c r="M518" s="42" t="s">
        <v>88</v>
      </c>
      <c r="N518" s="32" t="s">
        <v>89</v>
      </c>
      <c r="O518" s="32" t="s">
        <v>743</v>
      </c>
      <c r="P518" s="32"/>
      <c r="Q518" s="57" t="s">
        <v>3469</v>
      </c>
      <c r="R518" s="58">
        <v>43995.0</v>
      </c>
      <c r="S518" s="32" t="s">
        <v>1023</v>
      </c>
      <c r="T518" s="56" t="s">
        <v>2553</v>
      </c>
      <c r="U518" s="67" t="s">
        <v>3470</v>
      </c>
      <c r="V518" s="34" t="s">
        <v>80</v>
      </c>
      <c r="W518" s="149" t="s">
        <v>2555</v>
      </c>
      <c r="X518" s="149" t="s">
        <v>2556</v>
      </c>
      <c r="Y518" s="152" t="s">
        <v>2557</v>
      </c>
      <c r="Z518" s="32" t="s">
        <v>112</v>
      </c>
      <c r="AA518" s="68"/>
      <c r="AB518" s="60" t="s">
        <v>389</v>
      </c>
      <c r="AC518" s="68"/>
      <c r="AD518" s="261"/>
      <c r="AE518" s="47"/>
      <c r="AF518" s="54" t="s">
        <v>80</v>
      </c>
      <c r="AG518" s="56" t="s">
        <v>2559</v>
      </c>
      <c r="AH518" s="287"/>
      <c r="AI518" s="288"/>
      <c r="AJ518" s="41"/>
      <c r="AK518" s="268">
        <v>41770.0</v>
      </c>
      <c r="AL518" s="56" t="s">
        <v>1953</v>
      </c>
    </row>
    <row r="519" ht="22.5" customHeight="1">
      <c r="A519" s="286" t="s">
        <v>3471</v>
      </c>
      <c r="B519" s="57" t="s">
        <v>843</v>
      </c>
      <c r="C519" s="32" t="s">
        <v>844</v>
      </c>
      <c r="D519" s="34" t="s">
        <v>845</v>
      </c>
      <c r="E519" s="38" t="s">
        <v>846</v>
      </c>
      <c r="F519" s="34" t="s">
        <v>140</v>
      </c>
      <c r="G519" s="34" t="s">
        <v>168</v>
      </c>
      <c r="H519" s="155">
        <v>42937.0</v>
      </c>
      <c r="I519" s="155">
        <v>42937.0</v>
      </c>
      <c r="J519" s="155">
        <v>42937.0</v>
      </c>
      <c r="K519" s="32" t="s">
        <v>70</v>
      </c>
      <c r="L519" s="41" t="s">
        <v>115</v>
      </c>
      <c r="M519" s="42" t="s">
        <v>88</v>
      </c>
      <c r="N519" s="38" t="s">
        <v>89</v>
      </c>
      <c r="O519" s="32" t="s">
        <v>142</v>
      </c>
      <c r="P519" s="38" t="s">
        <v>1050</v>
      </c>
      <c r="Q519" s="57" t="s">
        <v>2590</v>
      </c>
      <c r="R519" s="58">
        <v>43932.0</v>
      </c>
      <c r="S519" s="32" t="s">
        <v>220</v>
      </c>
      <c r="T519" s="45" t="s">
        <v>855</v>
      </c>
      <c r="U519" s="67" t="s">
        <v>3472</v>
      </c>
      <c r="V519" s="34" t="s">
        <v>80</v>
      </c>
      <c r="W519" s="32" t="s">
        <v>561</v>
      </c>
      <c r="X519" s="32" t="s">
        <v>561</v>
      </c>
      <c r="Y519" s="45" t="s">
        <v>859</v>
      </c>
      <c r="Z519" s="32" t="s">
        <v>112</v>
      </c>
      <c r="AA519" s="32"/>
      <c r="AB519" s="60" t="s">
        <v>860</v>
      </c>
      <c r="AC519" s="60"/>
      <c r="AD519" s="261"/>
      <c r="AE519" s="47"/>
      <c r="AF519" s="34" t="s">
        <v>80</v>
      </c>
      <c r="AG519" s="56" t="s">
        <v>865</v>
      </c>
      <c r="AH519" s="41"/>
      <c r="AI519" s="41"/>
      <c r="AJ519" s="58">
        <v>41779.0</v>
      </c>
      <c r="AK519" s="58">
        <v>41612.0</v>
      </c>
      <c r="AL519" s="56" t="s">
        <v>262</v>
      </c>
    </row>
    <row r="520" ht="22.5" customHeight="1">
      <c r="A520" s="286" t="s">
        <v>3473</v>
      </c>
      <c r="B520" s="57" t="s">
        <v>3300</v>
      </c>
      <c r="C520" s="149" t="s">
        <v>3301</v>
      </c>
      <c r="D520" s="41" t="s">
        <v>75</v>
      </c>
      <c r="E520" s="103" t="s">
        <v>3302</v>
      </c>
      <c r="F520" s="41" t="s">
        <v>140</v>
      </c>
      <c r="G520" s="34" t="s">
        <v>168</v>
      </c>
      <c r="H520" s="155">
        <v>42940.0</v>
      </c>
      <c r="I520" s="155">
        <v>42940.0</v>
      </c>
      <c r="J520" s="155"/>
      <c r="K520" s="32" t="s">
        <v>70</v>
      </c>
      <c r="L520" s="34" t="s">
        <v>115</v>
      </c>
      <c r="M520" s="63" t="s">
        <v>218</v>
      </c>
      <c r="N520" s="32" t="s">
        <v>89</v>
      </c>
      <c r="O520" s="32" t="s">
        <v>2187</v>
      </c>
      <c r="P520" s="38"/>
      <c r="Q520" s="57" t="s">
        <v>2685</v>
      </c>
      <c r="R520" s="58"/>
      <c r="S520" s="38" t="s">
        <v>969</v>
      </c>
      <c r="T520" s="56" t="s">
        <v>3303</v>
      </c>
      <c r="U520" s="67" t="s">
        <v>3474</v>
      </c>
      <c r="V520" s="34" t="s">
        <v>74</v>
      </c>
      <c r="W520" s="149" t="s">
        <v>3305</v>
      </c>
      <c r="X520" s="32" t="s">
        <v>3306</v>
      </c>
      <c r="Y520" s="152" t="s">
        <v>3307</v>
      </c>
      <c r="Z520" s="32" t="s">
        <v>112</v>
      </c>
      <c r="AA520" s="38"/>
      <c r="AB520" s="60" t="s">
        <v>389</v>
      </c>
      <c r="AC520" s="60"/>
      <c r="AD520" s="66"/>
      <c r="AE520" s="47"/>
      <c r="AF520" s="34" t="s">
        <v>80</v>
      </c>
      <c r="AG520" s="56" t="s">
        <v>3308</v>
      </c>
      <c r="AH520" s="41"/>
      <c r="AI520" s="41"/>
      <c r="AJ520" s="41"/>
      <c r="AK520" s="58">
        <v>42355.0</v>
      </c>
      <c r="AL520" s="56" t="s">
        <v>2687</v>
      </c>
    </row>
    <row r="521" ht="22.5" customHeight="1">
      <c r="A521" s="286" t="s">
        <v>3475</v>
      </c>
      <c r="B521" s="57" t="s">
        <v>2550</v>
      </c>
      <c r="C521" s="32" t="s">
        <v>2551</v>
      </c>
      <c r="D521" s="34" t="s">
        <v>584</v>
      </c>
      <c r="E521" s="149" t="s">
        <v>2552</v>
      </c>
      <c r="F521" s="34" t="s">
        <v>140</v>
      </c>
      <c r="G521" s="34" t="s">
        <v>168</v>
      </c>
      <c r="H521" s="155">
        <v>42940.0</v>
      </c>
      <c r="I521" s="155"/>
      <c r="J521" s="155">
        <v>42940.0</v>
      </c>
      <c r="K521" s="32" t="s">
        <v>70</v>
      </c>
      <c r="L521" s="34" t="s">
        <v>115</v>
      </c>
      <c r="M521" s="42" t="s">
        <v>88</v>
      </c>
      <c r="N521" s="32" t="s">
        <v>89</v>
      </c>
      <c r="O521" s="32" t="s">
        <v>1023</v>
      </c>
      <c r="P521" s="32" t="s">
        <v>1024</v>
      </c>
      <c r="Q521" s="57" t="s">
        <v>2724</v>
      </c>
      <c r="R521" s="58"/>
      <c r="S521" s="32" t="s">
        <v>1023</v>
      </c>
      <c r="T521" s="56" t="s">
        <v>2553</v>
      </c>
      <c r="U521" s="67" t="s">
        <v>3476</v>
      </c>
      <c r="V521" s="34" t="s">
        <v>80</v>
      </c>
      <c r="W521" s="149" t="s">
        <v>2555</v>
      </c>
      <c r="X521" s="149" t="s">
        <v>2556</v>
      </c>
      <c r="Y521" s="152" t="s">
        <v>2557</v>
      </c>
      <c r="Z521" s="32" t="s">
        <v>112</v>
      </c>
      <c r="AA521" s="68"/>
      <c r="AB521" s="60" t="s">
        <v>389</v>
      </c>
      <c r="AC521" s="68"/>
      <c r="AD521" s="261"/>
      <c r="AE521" s="47"/>
      <c r="AF521" s="54" t="s">
        <v>80</v>
      </c>
      <c r="AG521" s="56" t="s">
        <v>2559</v>
      </c>
      <c r="AH521" s="287"/>
      <c r="AI521" s="288"/>
      <c r="AJ521" s="41"/>
      <c r="AK521" s="268">
        <v>41770.0</v>
      </c>
      <c r="AL521" s="56" t="s">
        <v>1028</v>
      </c>
    </row>
    <row r="522" ht="22.5" customHeight="1">
      <c r="A522" s="286" t="s">
        <v>3477</v>
      </c>
      <c r="B522" s="57" t="s">
        <v>190</v>
      </c>
      <c r="C522" s="149" t="s">
        <v>191</v>
      </c>
      <c r="D522" s="34" t="s">
        <v>752</v>
      </c>
      <c r="E522" s="32" t="s">
        <v>193</v>
      </c>
      <c r="F522" s="54" t="s">
        <v>93</v>
      </c>
      <c r="G522" s="34" t="s">
        <v>168</v>
      </c>
      <c r="H522" s="155">
        <v>42940.0</v>
      </c>
      <c r="I522" s="155"/>
      <c r="J522" s="155">
        <v>42940.0</v>
      </c>
      <c r="K522" s="32" t="s">
        <v>70</v>
      </c>
      <c r="L522" s="34" t="s">
        <v>115</v>
      </c>
      <c r="M522" s="63" t="s">
        <v>88</v>
      </c>
      <c r="N522" s="32" t="s">
        <v>89</v>
      </c>
      <c r="O522" s="32" t="s">
        <v>1023</v>
      </c>
      <c r="P522" s="32" t="s">
        <v>1024</v>
      </c>
      <c r="Q522" s="57" t="s">
        <v>2724</v>
      </c>
      <c r="R522" s="58"/>
      <c r="S522" s="57" t="s">
        <v>116</v>
      </c>
      <c r="T522" s="56" t="s">
        <v>198</v>
      </c>
      <c r="U522" s="67" t="s">
        <v>3478</v>
      </c>
      <c r="V522" s="34" t="s">
        <v>80</v>
      </c>
      <c r="W522" s="32" t="s">
        <v>201</v>
      </c>
      <c r="X522" s="32" t="s">
        <v>202</v>
      </c>
      <c r="Y522" s="45" t="s">
        <v>203</v>
      </c>
      <c r="Z522" s="32" t="s">
        <v>112</v>
      </c>
      <c r="AA522" s="47"/>
      <c r="AB522" s="32" t="s">
        <v>113</v>
      </c>
      <c r="AC522" s="60"/>
      <c r="AD522" s="192"/>
      <c r="AE522" s="47"/>
      <c r="AF522" s="34" t="s">
        <v>80</v>
      </c>
      <c r="AG522" s="56" t="s">
        <v>206</v>
      </c>
      <c r="AH522" s="47"/>
      <c r="AI522" s="58"/>
      <c r="AJ522" s="41"/>
      <c r="AK522" s="58">
        <v>41215.0</v>
      </c>
      <c r="AL522" s="56" t="s">
        <v>1028</v>
      </c>
    </row>
    <row r="523" ht="22.5" customHeight="1">
      <c r="A523" s="286" t="s">
        <v>3479</v>
      </c>
      <c r="B523" s="57" t="s">
        <v>1585</v>
      </c>
      <c r="C523" s="149" t="s">
        <v>1586</v>
      </c>
      <c r="D523" s="34" t="s">
        <v>584</v>
      </c>
      <c r="E523" s="38" t="s">
        <v>1588</v>
      </c>
      <c r="F523" s="34" t="s">
        <v>140</v>
      </c>
      <c r="G523" s="34" t="s">
        <v>168</v>
      </c>
      <c r="H523" s="155">
        <v>42864.0</v>
      </c>
      <c r="I523" s="155">
        <v>42864.0</v>
      </c>
      <c r="J523" s="155"/>
      <c r="K523" s="32" t="s">
        <v>70</v>
      </c>
      <c r="L523" s="41" t="s">
        <v>115</v>
      </c>
      <c r="M523" s="63" t="s">
        <v>313</v>
      </c>
      <c r="N523" s="38" t="s">
        <v>89</v>
      </c>
      <c r="O523" s="32" t="s">
        <v>850</v>
      </c>
      <c r="P523" s="32"/>
      <c r="Q523" s="57" t="s">
        <v>3480</v>
      </c>
      <c r="R523" s="58">
        <v>43960.0</v>
      </c>
      <c r="S523" s="32" t="s">
        <v>327</v>
      </c>
      <c r="T523" s="203" t="s">
        <v>1591</v>
      </c>
      <c r="U523" s="67" t="s">
        <v>3481</v>
      </c>
      <c r="V523" s="34" t="s">
        <v>80</v>
      </c>
      <c r="W523" s="32" t="s">
        <v>561</v>
      </c>
      <c r="X523" s="60" t="s">
        <v>1595</v>
      </c>
      <c r="Y523" s="45" t="s">
        <v>1596</v>
      </c>
      <c r="Z523" s="32" t="s">
        <v>112</v>
      </c>
      <c r="AA523" s="32"/>
      <c r="AB523" s="32" t="s">
        <v>113</v>
      </c>
      <c r="AC523" s="60"/>
      <c r="AD523" s="192"/>
      <c r="AE523" s="47"/>
      <c r="AF523" s="272" t="s">
        <v>80</v>
      </c>
      <c r="AG523" s="56" t="s">
        <v>1598</v>
      </c>
      <c r="AH523" s="47"/>
      <c r="AI523" s="58"/>
      <c r="AJ523" s="266"/>
      <c r="AK523" s="58">
        <v>41770.0</v>
      </c>
      <c r="AL523" s="56" t="s">
        <v>870</v>
      </c>
    </row>
    <row r="524" ht="22.5" customHeight="1">
      <c r="A524" s="286" t="s">
        <v>3482</v>
      </c>
      <c r="B524" s="57" t="s">
        <v>490</v>
      </c>
      <c r="C524" s="149" t="s">
        <v>494</v>
      </c>
      <c r="D524" s="39" t="s">
        <v>91</v>
      </c>
      <c r="E524" s="38" t="s">
        <v>496</v>
      </c>
      <c r="F524" s="41" t="s">
        <v>93</v>
      </c>
      <c r="G524" s="34" t="s">
        <v>168</v>
      </c>
      <c r="H524" s="155">
        <v>42921.0</v>
      </c>
      <c r="I524" s="155">
        <v>42921.0</v>
      </c>
      <c r="J524" s="155"/>
      <c r="K524" s="32" t="s">
        <v>70</v>
      </c>
      <c r="L524" s="34" t="s">
        <v>115</v>
      </c>
      <c r="M524" s="63" t="s">
        <v>218</v>
      </c>
      <c r="N524" s="32" t="s">
        <v>89</v>
      </c>
      <c r="O524" s="32" t="s">
        <v>743</v>
      </c>
      <c r="P524" s="32"/>
      <c r="Q524" s="57" t="s">
        <v>3469</v>
      </c>
      <c r="R524" s="58">
        <v>44016.0</v>
      </c>
      <c r="S524" s="32" t="s">
        <v>116</v>
      </c>
      <c r="T524" s="45" t="s">
        <v>505</v>
      </c>
      <c r="U524" s="67" t="s">
        <v>3483</v>
      </c>
      <c r="V524" s="34" t="s">
        <v>80</v>
      </c>
      <c r="W524" s="60" t="s">
        <v>508</v>
      </c>
      <c r="X524" s="32" t="s">
        <v>511</v>
      </c>
      <c r="Y524" s="45" t="s">
        <v>512</v>
      </c>
      <c r="Z524" s="32" t="s">
        <v>112</v>
      </c>
      <c r="AA524" s="38"/>
      <c r="AB524" s="60" t="s">
        <v>481</v>
      </c>
      <c r="AC524" s="60"/>
      <c r="AD524" s="192"/>
      <c r="AE524" s="47"/>
      <c r="AF524" s="34" t="s">
        <v>80</v>
      </c>
      <c r="AG524" s="56" t="s">
        <v>515</v>
      </c>
      <c r="AH524" s="41"/>
      <c r="AI524" s="41"/>
      <c r="AJ524" s="41"/>
      <c r="AK524" s="132">
        <v>41074.0</v>
      </c>
      <c r="AL524" s="56" t="s">
        <v>1953</v>
      </c>
    </row>
    <row r="525" ht="22.5" customHeight="1">
      <c r="A525" s="286" t="s">
        <v>3484</v>
      </c>
      <c r="B525" s="57" t="s">
        <v>1856</v>
      </c>
      <c r="C525" s="32" t="s">
        <v>1857</v>
      </c>
      <c r="D525" s="41" t="s">
        <v>91</v>
      </c>
      <c r="E525" s="103" t="s">
        <v>1858</v>
      </c>
      <c r="F525" s="34" t="s">
        <v>93</v>
      </c>
      <c r="G525" s="34" t="s">
        <v>168</v>
      </c>
      <c r="H525" s="155">
        <v>42874.0</v>
      </c>
      <c r="I525" s="155">
        <v>42874.0</v>
      </c>
      <c r="J525" s="155"/>
      <c r="K525" s="32" t="s">
        <v>70</v>
      </c>
      <c r="L525" s="41" t="s">
        <v>115</v>
      </c>
      <c r="M525" s="60" t="s">
        <v>313</v>
      </c>
      <c r="N525" s="38" t="s">
        <v>89</v>
      </c>
      <c r="O525" s="32" t="s">
        <v>743</v>
      </c>
      <c r="P525" s="32"/>
      <c r="Q525" s="57" t="s">
        <v>3133</v>
      </c>
      <c r="R525" s="58">
        <v>43969.0</v>
      </c>
      <c r="S525" s="32" t="s">
        <v>116</v>
      </c>
      <c r="T525" s="203" t="s">
        <v>1862</v>
      </c>
      <c r="U525" s="67" t="s">
        <v>3485</v>
      </c>
      <c r="V525" s="34" t="s">
        <v>80</v>
      </c>
      <c r="W525" s="60" t="s">
        <v>1866</v>
      </c>
      <c r="X525" s="60" t="s">
        <v>1868</v>
      </c>
      <c r="Y525" s="109" t="s">
        <v>1869</v>
      </c>
      <c r="Z525" s="32" t="s">
        <v>112</v>
      </c>
      <c r="AA525" s="32"/>
      <c r="AB525" s="60" t="s">
        <v>113</v>
      </c>
      <c r="AC525" s="60"/>
      <c r="AD525" s="192"/>
      <c r="AE525" s="47"/>
      <c r="AF525" s="34" t="s">
        <v>80</v>
      </c>
      <c r="AG525" s="56" t="s">
        <v>1872</v>
      </c>
      <c r="AH525" s="41"/>
      <c r="AI525" s="41"/>
      <c r="AJ525" s="41"/>
      <c r="AK525" s="58">
        <v>41703.0</v>
      </c>
      <c r="AL525" s="56" t="s">
        <v>1953</v>
      </c>
    </row>
    <row r="526" ht="22.5" customHeight="1">
      <c r="A526" s="286" t="s">
        <v>3486</v>
      </c>
      <c r="B526" s="57" t="s">
        <v>69</v>
      </c>
      <c r="C526" s="32" t="s">
        <v>90</v>
      </c>
      <c r="D526" s="39" t="s">
        <v>91</v>
      </c>
      <c r="E526" s="38" t="s">
        <v>92</v>
      </c>
      <c r="F526" s="34" t="s">
        <v>93</v>
      </c>
      <c r="G526" s="54" t="s">
        <v>168</v>
      </c>
      <c r="H526" s="155">
        <v>42803.0</v>
      </c>
      <c r="I526" s="155">
        <v>42803.0</v>
      </c>
      <c r="J526" s="155"/>
      <c r="K526" s="32" t="s">
        <v>70</v>
      </c>
      <c r="L526" s="54" t="s">
        <v>115</v>
      </c>
      <c r="M526" s="121" t="s">
        <v>88</v>
      </c>
      <c r="N526" s="32" t="s">
        <v>89</v>
      </c>
      <c r="O526" s="32" t="s">
        <v>743</v>
      </c>
      <c r="P526" s="32"/>
      <c r="Q526" s="57" t="s">
        <v>3133</v>
      </c>
      <c r="R526" s="58"/>
      <c r="S526" s="32" t="s">
        <v>116</v>
      </c>
      <c r="T526" s="56" t="s">
        <v>118</v>
      </c>
      <c r="U526" s="67" t="s">
        <v>3487</v>
      </c>
      <c r="V526" s="54" t="s">
        <v>80</v>
      </c>
      <c r="W526" s="60" t="s">
        <v>122</v>
      </c>
      <c r="X526" s="60" t="s">
        <v>130</v>
      </c>
      <c r="Y526" s="45" t="s">
        <v>131</v>
      </c>
      <c r="Z526" s="32" t="s">
        <v>112</v>
      </c>
      <c r="AA526" s="47"/>
      <c r="AB526" s="60" t="s">
        <v>113</v>
      </c>
      <c r="AC526" s="60"/>
      <c r="AD526" s="192"/>
      <c r="AE526" s="47"/>
      <c r="AF526" s="54" t="s">
        <v>80</v>
      </c>
      <c r="AG526" s="56" t="s">
        <v>159</v>
      </c>
      <c r="AH526" s="47"/>
      <c r="AI526" s="58"/>
      <c r="AJ526" s="77"/>
      <c r="AK526" s="58">
        <v>41100.0</v>
      </c>
      <c r="AL526" s="56" t="s">
        <v>1953</v>
      </c>
    </row>
    <row r="527" ht="22.5" customHeight="1">
      <c r="A527" s="286" t="s">
        <v>3488</v>
      </c>
      <c r="B527" s="149" t="s">
        <v>2561</v>
      </c>
      <c r="C527" s="32" t="s">
        <v>2562</v>
      </c>
      <c r="D527" s="41" t="s">
        <v>75</v>
      </c>
      <c r="E527" s="149" t="s">
        <v>2563</v>
      </c>
      <c r="F527" s="34" t="s">
        <v>93</v>
      </c>
      <c r="G527" s="34" t="s">
        <v>168</v>
      </c>
      <c r="H527" s="155">
        <v>42940.0</v>
      </c>
      <c r="I527" s="155">
        <v>42940.0</v>
      </c>
      <c r="J527" s="155"/>
      <c r="K527" s="32" t="s">
        <v>70</v>
      </c>
      <c r="L527" s="41" t="s">
        <v>115</v>
      </c>
      <c r="M527" s="63" t="s">
        <v>218</v>
      </c>
      <c r="N527" s="38" t="s">
        <v>89</v>
      </c>
      <c r="O527" s="32" t="s">
        <v>1195</v>
      </c>
      <c r="P527" s="32"/>
      <c r="Q527" s="57" t="s">
        <v>3489</v>
      </c>
      <c r="R527" s="58">
        <v>43870.0</v>
      </c>
      <c r="S527" s="32" t="s">
        <v>116</v>
      </c>
      <c r="T527" s="56" t="s">
        <v>2564</v>
      </c>
      <c r="U527" s="67" t="s">
        <v>3490</v>
      </c>
      <c r="V527" s="34" t="s">
        <v>80</v>
      </c>
      <c r="W527" s="149" t="s">
        <v>2566</v>
      </c>
      <c r="X527" s="149" t="s">
        <v>2567</v>
      </c>
      <c r="Y527" s="152" t="s">
        <v>2568</v>
      </c>
      <c r="Z527" s="32" t="s">
        <v>112</v>
      </c>
      <c r="AA527" s="32"/>
      <c r="AB527" s="32" t="s">
        <v>113</v>
      </c>
      <c r="AC527" s="60"/>
      <c r="AD527" s="261"/>
      <c r="AE527" s="47"/>
      <c r="AF527" s="34" t="s">
        <v>80</v>
      </c>
      <c r="AG527" s="56" t="s">
        <v>2571</v>
      </c>
      <c r="AH527" s="47"/>
      <c r="AI527" s="58"/>
      <c r="AJ527" s="266"/>
      <c r="AK527" s="268">
        <v>42046.0</v>
      </c>
      <c r="AL527" s="56" t="s">
        <v>1215</v>
      </c>
    </row>
    <row r="528" ht="22.5" customHeight="1">
      <c r="A528" s="286" t="s">
        <v>3491</v>
      </c>
      <c r="B528" s="57" t="s">
        <v>1321</v>
      </c>
      <c r="C528" s="32" t="s">
        <v>1322</v>
      </c>
      <c r="D528" s="34" t="s">
        <v>845</v>
      </c>
      <c r="E528" s="38" t="s">
        <v>1323</v>
      </c>
      <c r="F528" s="54" t="s">
        <v>140</v>
      </c>
      <c r="G528" s="34" t="s">
        <v>168</v>
      </c>
      <c r="H528" s="155">
        <v>42940.0</v>
      </c>
      <c r="I528" s="155">
        <v>42940.0</v>
      </c>
      <c r="J528" s="155"/>
      <c r="K528" s="32" t="s">
        <v>70</v>
      </c>
      <c r="L528" s="34" t="s">
        <v>115</v>
      </c>
      <c r="M528" s="42" t="s">
        <v>88</v>
      </c>
      <c r="N528" s="32" t="s">
        <v>89</v>
      </c>
      <c r="O528" s="32" t="s">
        <v>1195</v>
      </c>
      <c r="P528" s="32"/>
      <c r="Q528" s="57" t="s">
        <v>3489</v>
      </c>
      <c r="R528" s="58">
        <v>43921.0</v>
      </c>
      <c r="S528" s="32" t="s">
        <v>196</v>
      </c>
      <c r="T528" s="45" t="s">
        <v>1324</v>
      </c>
      <c r="U528" s="67" t="s">
        <v>3492</v>
      </c>
      <c r="V528" s="54" t="s">
        <v>80</v>
      </c>
      <c r="W528" s="32" t="s">
        <v>561</v>
      </c>
      <c r="X528" s="32" t="s">
        <v>1326</v>
      </c>
      <c r="Y528" s="109" t="s">
        <v>1327</v>
      </c>
      <c r="Z528" s="32" t="s">
        <v>112</v>
      </c>
      <c r="AA528" s="47"/>
      <c r="AB528" s="32" t="s">
        <v>113</v>
      </c>
      <c r="AC528" s="60"/>
      <c r="AD528" s="192"/>
      <c r="AE528" s="47"/>
      <c r="AF528" s="54" t="s">
        <v>80</v>
      </c>
      <c r="AG528" s="56" t="s">
        <v>1329</v>
      </c>
      <c r="AH528" s="272"/>
      <c r="AI528" s="58"/>
      <c r="AJ528" s="77"/>
      <c r="AK528" s="58">
        <v>41619.0</v>
      </c>
      <c r="AL528" s="56" t="s">
        <v>1215</v>
      </c>
    </row>
    <row r="529" ht="22.5" customHeight="1">
      <c r="A529" s="286" t="s">
        <v>3493</v>
      </c>
      <c r="B529" s="57" t="s">
        <v>69</v>
      </c>
      <c r="C529" s="32" t="s">
        <v>90</v>
      </c>
      <c r="D529" s="39" t="s">
        <v>91</v>
      </c>
      <c r="E529" s="38" t="s">
        <v>92</v>
      </c>
      <c r="F529" s="34" t="s">
        <v>93</v>
      </c>
      <c r="G529" s="54" t="s">
        <v>168</v>
      </c>
      <c r="H529" s="155">
        <v>42940.0</v>
      </c>
      <c r="I529" s="155">
        <v>42940.0</v>
      </c>
      <c r="J529" s="155"/>
      <c r="K529" s="32" t="s">
        <v>70</v>
      </c>
      <c r="L529" s="54" t="s">
        <v>115</v>
      </c>
      <c r="M529" s="121" t="s">
        <v>88</v>
      </c>
      <c r="N529" s="32" t="s">
        <v>89</v>
      </c>
      <c r="O529" s="32" t="s">
        <v>1195</v>
      </c>
      <c r="P529" s="32"/>
      <c r="Q529" s="57" t="s">
        <v>3489</v>
      </c>
      <c r="R529" s="58">
        <v>43981.0</v>
      </c>
      <c r="S529" s="32" t="s">
        <v>116</v>
      </c>
      <c r="T529" s="56" t="s">
        <v>118</v>
      </c>
      <c r="U529" s="67" t="s">
        <v>3494</v>
      </c>
      <c r="V529" s="54" t="s">
        <v>80</v>
      </c>
      <c r="W529" s="60" t="s">
        <v>122</v>
      </c>
      <c r="X529" s="60" t="s">
        <v>130</v>
      </c>
      <c r="Y529" s="45" t="s">
        <v>131</v>
      </c>
      <c r="Z529" s="32" t="s">
        <v>112</v>
      </c>
      <c r="AA529" s="47"/>
      <c r="AB529" s="60" t="s">
        <v>113</v>
      </c>
      <c r="AC529" s="60"/>
      <c r="AD529" s="192"/>
      <c r="AE529" s="47"/>
      <c r="AF529" s="54" t="s">
        <v>80</v>
      </c>
      <c r="AG529" s="56" t="s">
        <v>159</v>
      </c>
      <c r="AH529" s="47"/>
      <c r="AI529" s="58"/>
      <c r="AJ529" s="77"/>
      <c r="AK529" s="58">
        <v>41100.0</v>
      </c>
      <c r="AL529" s="56" t="s">
        <v>1215</v>
      </c>
    </row>
    <row r="530" ht="22.5" customHeight="1">
      <c r="A530" s="286" t="s">
        <v>3495</v>
      </c>
      <c r="B530" s="57" t="s">
        <v>1374</v>
      </c>
      <c r="C530" s="32" t="s">
        <v>1375</v>
      </c>
      <c r="D530" s="39" t="s">
        <v>91</v>
      </c>
      <c r="E530" s="103" t="s">
        <v>1376</v>
      </c>
      <c r="F530" s="41" t="s">
        <v>93</v>
      </c>
      <c r="G530" s="34" t="s">
        <v>168</v>
      </c>
      <c r="H530" s="155">
        <v>42906.0</v>
      </c>
      <c r="I530" s="155">
        <v>42906.0</v>
      </c>
      <c r="J530" s="155"/>
      <c r="K530" s="32" t="s">
        <v>70</v>
      </c>
      <c r="L530" s="41" t="s">
        <v>115</v>
      </c>
      <c r="M530" s="63" t="s">
        <v>218</v>
      </c>
      <c r="N530" s="32" t="s">
        <v>89</v>
      </c>
      <c r="O530" s="32" t="s">
        <v>1195</v>
      </c>
      <c r="P530" s="32"/>
      <c r="Q530" s="32" t="s">
        <v>1377</v>
      </c>
      <c r="R530" s="58">
        <v>43983.0</v>
      </c>
      <c r="S530" s="32" t="s">
        <v>116</v>
      </c>
      <c r="T530" s="56" t="s">
        <v>1378</v>
      </c>
      <c r="U530" s="67" t="s">
        <v>3496</v>
      </c>
      <c r="V530" s="34" t="s">
        <v>80</v>
      </c>
      <c r="W530" s="172" t="s">
        <v>1380</v>
      </c>
      <c r="X530" s="198" t="s">
        <v>1381</v>
      </c>
      <c r="Y530" s="152" t="s">
        <v>1382</v>
      </c>
      <c r="Z530" s="32" t="s">
        <v>112</v>
      </c>
      <c r="AA530" s="38"/>
      <c r="AB530" s="32" t="s">
        <v>113</v>
      </c>
      <c r="AC530" s="60"/>
      <c r="AD530" s="261"/>
      <c r="AE530" s="57" t="s">
        <v>3497</v>
      </c>
      <c r="AF530" s="34" t="s">
        <v>80</v>
      </c>
      <c r="AG530" s="56" t="s">
        <v>1384</v>
      </c>
      <c r="AH530" s="41"/>
      <c r="AI530" s="41"/>
      <c r="AJ530" s="41"/>
      <c r="AK530" s="58">
        <v>41869.0</v>
      </c>
      <c r="AL530" s="56" t="s">
        <v>1215</v>
      </c>
    </row>
    <row r="531" ht="22.5" customHeight="1">
      <c r="A531" s="286" t="s">
        <v>3498</v>
      </c>
      <c r="B531" s="57" t="s">
        <v>2664</v>
      </c>
      <c r="C531" s="63" t="s">
        <v>2665</v>
      </c>
      <c r="D531" s="270" t="s">
        <v>75</v>
      </c>
      <c r="E531" s="149" t="s">
        <v>2666</v>
      </c>
      <c r="F531" s="34" t="s">
        <v>140</v>
      </c>
      <c r="G531" s="34" t="s">
        <v>168</v>
      </c>
      <c r="H531" s="155">
        <v>42934.0</v>
      </c>
      <c r="I531" s="155">
        <v>42934.0</v>
      </c>
      <c r="J531" s="155"/>
      <c r="K531" s="63" t="s">
        <v>86</v>
      </c>
      <c r="L531" s="34" t="s">
        <v>115</v>
      </c>
      <c r="M531" s="32" t="s">
        <v>313</v>
      </c>
      <c r="N531" s="63" t="s">
        <v>89</v>
      </c>
      <c r="O531" s="32" t="s">
        <v>743</v>
      </c>
      <c r="P531" s="32"/>
      <c r="Q531" s="32" t="s">
        <v>3469</v>
      </c>
      <c r="R531" s="58">
        <v>42994.0</v>
      </c>
      <c r="S531" s="63" t="s">
        <v>954</v>
      </c>
      <c r="T531" s="56" t="s">
        <v>2667</v>
      </c>
      <c r="U531" s="67" t="s">
        <v>3499</v>
      </c>
      <c r="V531" s="34" t="s">
        <v>80</v>
      </c>
      <c r="W531" s="63" t="s">
        <v>2668</v>
      </c>
      <c r="X531" s="63" t="s">
        <v>2669</v>
      </c>
      <c r="Y531" s="56" t="s">
        <v>2670</v>
      </c>
      <c r="Z531" s="32" t="s">
        <v>112</v>
      </c>
      <c r="AA531" s="42"/>
      <c r="AB531" s="149" t="s">
        <v>481</v>
      </c>
      <c r="AC531" s="60"/>
      <c r="AD531" s="261"/>
      <c r="AE531" s="47"/>
      <c r="AF531" s="34" t="s">
        <v>74</v>
      </c>
      <c r="AG531" s="56" t="s">
        <v>2671</v>
      </c>
      <c r="AH531" s="266"/>
      <c r="AI531" s="266"/>
      <c r="AJ531" s="268">
        <v>42480.0</v>
      </c>
      <c r="AK531" s="58"/>
      <c r="AL531" s="56" t="s">
        <v>1953</v>
      </c>
    </row>
    <row r="532" ht="22.5" customHeight="1">
      <c r="A532" s="286" t="s">
        <v>3500</v>
      </c>
      <c r="B532" s="57" t="s">
        <v>3162</v>
      </c>
      <c r="C532" s="198" t="s">
        <v>3163</v>
      </c>
      <c r="D532" s="34" t="s">
        <v>584</v>
      </c>
      <c r="E532" s="32" t="s">
        <v>3164</v>
      </c>
      <c r="F532" s="34" t="s">
        <v>93</v>
      </c>
      <c r="G532" s="34" t="s">
        <v>168</v>
      </c>
      <c r="H532" s="155">
        <v>42947.0</v>
      </c>
      <c r="I532" s="155"/>
      <c r="J532" s="155">
        <v>42947.0</v>
      </c>
      <c r="K532" s="32" t="s">
        <v>70</v>
      </c>
      <c r="L532" s="34" t="s">
        <v>115</v>
      </c>
      <c r="M532" s="32" t="s">
        <v>218</v>
      </c>
      <c r="N532" s="32" t="s">
        <v>89</v>
      </c>
      <c r="O532" s="32" t="s">
        <v>1023</v>
      </c>
      <c r="P532" s="32" t="s">
        <v>1024</v>
      </c>
      <c r="Q532" s="32" t="s">
        <v>3501</v>
      </c>
      <c r="R532" s="58"/>
      <c r="S532" s="32" t="s">
        <v>116</v>
      </c>
      <c r="T532" s="56" t="s">
        <v>3165</v>
      </c>
      <c r="U532" s="67" t="s">
        <v>3502</v>
      </c>
      <c r="V532" s="34" t="s">
        <v>80</v>
      </c>
      <c r="W532" s="32" t="s">
        <v>561</v>
      </c>
      <c r="X532" s="32" t="s">
        <v>3167</v>
      </c>
      <c r="Y532" s="45" t="s">
        <v>3168</v>
      </c>
      <c r="Z532" s="32" t="s">
        <v>112</v>
      </c>
      <c r="AA532" s="38"/>
      <c r="AB532" s="32" t="s">
        <v>113</v>
      </c>
      <c r="AC532" s="60"/>
      <c r="AD532" s="261"/>
      <c r="AE532" s="47"/>
      <c r="AF532" s="180" t="s">
        <v>80</v>
      </c>
      <c r="AG532" s="56" t="s">
        <v>3170</v>
      </c>
      <c r="AH532" s="287"/>
      <c r="AI532" s="288"/>
      <c r="AJ532" s="83">
        <v>42510.0</v>
      </c>
      <c r="AK532" s="83">
        <v>42591.0</v>
      </c>
      <c r="AL532" s="56" t="s">
        <v>1028</v>
      </c>
    </row>
    <row r="533" ht="22.5" customHeight="1">
      <c r="A533" s="286" t="s">
        <v>3503</v>
      </c>
      <c r="B533" s="57" t="s">
        <v>888</v>
      </c>
      <c r="C533" s="32" t="s">
        <v>889</v>
      </c>
      <c r="D533" s="34" t="s">
        <v>752</v>
      </c>
      <c r="E533" s="38" t="s">
        <v>892</v>
      </c>
      <c r="F533" s="34" t="s">
        <v>93</v>
      </c>
      <c r="G533" s="34" t="s">
        <v>168</v>
      </c>
      <c r="H533" s="155">
        <v>42955.0</v>
      </c>
      <c r="I533" s="155">
        <v>42954.0</v>
      </c>
      <c r="J533" s="155">
        <v>42955.0</v>
      </c>
      <c r="K533" s="32" t="s">
        <v>70</v>
      </c>
      <c r="L533" s="41" t="s">
        <v>115</v>
      </c>
      <c r="M533" s="42" t="s">
        <v>88</v>
      </c>
      <c r="N533" s="38" t="s">
        <v>89</v>
      </c>
      <c r="O533" s="32" t="s">
        <v>142</v>
      </c>
      <c r="P533" s="32" t="s">
        <v>3504</v>
      </c>
      <c r="Q533" s="32" t="s">
        <v>3505</v>
      </c>
      <c r="R533" s="58">
        <v>44044.0</v>
      </c>
      <c r="S533" s="32" t="s">
        <v>116</v>
      </c>
      <c r="T533" s="56" t="s">
        <v>1950</v>
      </c>
      <c r="U533" s="67" t="s">
        <v>3506</v>
      </c>
      <c r="V533" s="34" t="s">
        <v>80</v>
      </c>
      <c r="W533" s="60" t="s">
        <v>1934</v>
      </c>
      <c r="X533" s="109" t="s">
        <v>1935</v>
      </c>
      <c r="Y533" s="109" t="s">
        <v>899</v>
      </c>
      <c r="Z533" s="32" t="s">
        <v>112</v>
      </c>
      <c r="AA533" s="68"/>
      <c r="AB533" s="149" t="s">
        <v>481</v>
      </c>
      <c r="AC533" s="60"/>
      <c r="AD533" s="66"/>
      <c r="AE533" s="47"/>
      <c r="AF533" s="34" t="s">
        <v>80</v>
      </c>
      <c r="AG533" s="56" t="s">
        <v>900</v>
      </c>
      <c r="AH533" s="47"/>
      <c r="AI533" s="58"/>
      <c r="AJ533" s="41"/>
      <c r="AK533" s="155">
        <v>41352.0</v>
      </c>
      <c r="AL533" s="56" t="s">
        <v>262</v>
      </c>
    </row>
    <row r="534" ht="22.5" customHeight="1">
      <c r="A534" s="286" t="s">
        <v>3507</v>
      </c>
      <c r="B534" s="57" t="s">
        <v>190</v>
      </c>
      <c r="C534" s="32" t="s">
        <v>191</v>
      </c>
      <c r="D534" s="34" t="s">
        <v>752</v>
      </c>
      <c r="E534" s="32" t="s">
        <v>193</v>
      </c>
      <c r="F534" s="54" t="s">
        <v>93</v>
      </c>
      <c r="G534" s="34" t="s">
        <v>168</v>
      </c>
      <c r="H534" s="155">
        <v>42955.0</v>
      </c>
      <c r="I534" s="155"/>
      <c r="J534" s="155">
        <v>42955.0</v>
      </c>
      <c r="K534" s="32" t="s">
        <v>70</v>
      </c>
      <c r="L534" s="34" t="s">
        <v>115</v>
      </c>
      <c r="M534" s="63" t="s">
        <v>88</v>
      </c>
      <c r="N534" s="32" t="s">
        <v>89</v>
      </c>
      <c r="O534" s="32" t="s">
        <v>1023</v>
      </c>
      <c r="P534" s="32" t="s">
        <v>1024</v>
      </c>
      <c r="Q534" s="32" t="s">
        <v>3508</v>
      </c>
      <c r="R534" s="58"/>
      <c r="S534" s="57" t="s">
        <v>116</v>
      </c>
      <c r="T534" s="56" t="s">
        <v>198</v>
      </c>
      <c r="U534" s="67" t="s">
        <v>3509</v>
      </c>
      <c r="V534" s="34" t="s">
        <v>80</v>
      </c>
      <c r="W534" s="32" t="s">
        <v>201</v>
      </c>
      <c r="X534" s="32" t="s">
        <v>202</v>
      </c>
      <c r="Y534" s="45" t="s">
        <v>203</v>
      </c>
      <c r="Z534" s="32" t="s">
        <v>112</v>
      </c>
      <c r="AA534" s="47"/>
      <c r="AB534" s="32" t="s">
        <v>113</v>
      </c>
      <c r="AC534" s="60"/>
      <c r="AD534" s="192"/>
      <c r="AE534" s="47"/>
      <c r="AF534" s="34" t="s">
        <v>80</v>
      </c>
      <c r="AG534" s="56" t="s">
        <v>206</v>
      </c>
      <c r="AH534" s="47"/>
      <c r="AI534" s="58"/>
      <c r="AJ534" s="41"/>
      <c r="AK534" s="58">
        <v>41215.0</v>
      </c>
      <c r="AL534" s="56" t="s">
        <v>1028</v>
      </c>
    </row>
    <row r="535" ht="22.5" customHeight="1">
      <c r="A535" s="286" t="s">
        <v>3510</v>
      </c>
      <c r="B535" s="57" t="s">
        <v>3511</v>
      </c>
      <c r="C535" s="57" t="s">
        <v>3512</v>
      </c>
      <c r="D535" s="54" t="s">
        <v>75</v>
      </c>
      <c r="E535" s="57" t="s">
        <v>3513</v>
      </c>
      <c r="F535" s="54" t="s">
        <v>140</v>
      </c>
      <c r="G535" s="54" t="s">
        <v>85</v>
      </c>
      <c r="H535" s="155">
        <v>42930.0</v>
      </c>
      <c r="I535" s="155">
        <v>42914.0</v>
      </c>
      <c r="J535" s="155">
        <v>42930.0</v>
      </c>
      <c r="K535" s="32" t="s">
        <v>70</v>
      </c>
      <c r="L535" s="34" t="s">
        <v>115</v>
      </c>
      <c r="M535" s="63" t="s">
        <v>218</v>
      </c>
      <c r="N535" s="32" t="s">
        <v>89</v>
      </c>
      <c r="O535" s="32" t="s">
        <v>1570</v>
      </c>
      <c r="P535" s="47"/>
      <c r="Q535" s="57" t="s">
        <v>2752</v>
      </c>
      <c r="R535" s="47"/>
      <c r="S535" s="32" t="s">
        <v>1570</v>
      </c>
      <c r="T535" s="45" t="s">
        <v>3514</v>
      </c>
      <c r="U535" s="67" t="s">
        <v>3515</v>
      </c>
      <c r="V535" s="54" t="s">
        <v>74</v>
      </c>
      <c r="W535" s="57" t="s">
        <v>3516</v>
      </c>
      <c r="X535" s="57" t="s">
        <v>3517</v>
      </c>
      <c r="Y535" s="67" t="s">
        <v>3518</v>
      </c>
      <c r="Z535" s="32" t="s">
        <v>112</v>
      </c>
      <c r="AA535" s="47"/>
      <c r="AB535" s="57" t="s">
        <v>290</v>
      </c>
      <c r="AC535" s="68" t="s">
        <v>3519</v>
      </c>
      <c r="AD535" s="192">
        <v>42957.0</v>
      </c>
      <c r="AE535" s="57"/>
      <c r="AF535" s="54" t="s">
        <v>80</v>
      </c>
      <c r="AG535" s="56" t="s">
        <v>3520</v>
      </c>
      <c r="AH535" s="63" t="s">
        <v>3521</v>
      </c>
      <c r="AI535" s="41"/>
      <c r="AJ535" s="77"/>
      <c r="AK535" s="83">
        <v>42660.0</v>
      </c>
      <c r="AL535" s="109" t="s">
        <v>2055</v>
      </c>
    </row>
    <row r="536" ht="22.5" customHeight="1">
      <c r="A536" s="286" t="s">
        <v>3522</v>
      </c>
      <c r="B536" s="57" t="s">
        <v>901</v>
      </c>
      <c r="C536" s="57" t="s">
        <v>3523</v>
      </c>
      <c r="D536" s="54" t="s">
        <v>91</v>
      </c>
      <c r="E536" s="57" t="s">
        <v>2002</v>
      </c>
      <c r="F536" s="54" t="s">
        <v>93</v>
      </c>
      <c r="G536" s="54" t="s">
        <v>85</v>
      </c>
      <c r="H536" s="155">
        <v>42647.0</v>
      </c>
      <c r="I536" s="155">
        <v>42635.0</v>
      </c>
      <c r="J536" s="155">
        <v>42647.0</v>
      </c>
      <c r="K536" s="32" t="s">
        <v>86</v>
      </c>
      <c r="L536" s="54" t="s">
        <v>115</v>
      </c>
      <c r="M536" s="63" t="s">
        <v>218</v>
      </c>
      <c r="N536" s="32" t="s">
        <v>434</v>
      </c>
      <c r="O536" s="32" t="s">
        <v>116</v>
      </c>
      <c r="P536" s="47"/>
      <c r="Q536" s="47"/>
      <c r="R536" s="47"/>
      <c r="S536" s="32" t="s">
        <v>116</v>
      </c>
      <c r="T536" s="45" t="s">
        <v>3524</v>
      </c>
      <c r="U536" s="67" t="s">
        <v>3525</v>
      </c>
      <c r="V536" s="54" t="s">
        <v>74</v>
      </c>
      <c r="W536" s="60" t="s">
        <v>904</v>
      </c>
      <c r="X536" s="57" t="s">
        <v>905</v>
      </c>
      <c r="Y536" s="67" t="s">
        <v>906</v>
      </c>
      <c r="Z536" s="32" t="s">
        <v>112</v>
      </c>
      <c r="AA536" s="47"/>
      <c r="AB536" s="123" t="s">
        <v>113</v>
      </c>
      <c r="AC536" s="32" t="s">
        <v>3526</v>
      </c>
      <c r="AD536" s="261">
        <v>42647.0</v>
      </c>
      <c r="AE536" s="47"/>
      <c r="AF536" s="54" t="s">
        <v>80</v>
      </c>
      <c r="AG536" s="56" t="s">
        <v>911</v>
      </c>
      <c r="AH536" s="47"/>
      <c r="AI536" s="58"/>
      <c r="AJ536" s="77"/>
      <c r="AK536" s="83">
        <v>42272.0</v>
      </c>
      <c r="AL536" s="63"/>
    </row>
    <row r="537" ht="22.5" customHeight="1">
      <c r="A537" s="286" t="s">
        <v>3527</v>
      </c>
      <c r="B537" s="63" t="s">
        <v>1723</v>
      </c>
      <c r="C537" s="32" t="s">
        <v>1724</v>
      </c>
      <c r="D537" s="41" t="s">
        <v>75</v>
      </c>
      <c r="E537" s="38" t="s">
        <v>1725</v>
      </c>
      <c r="F537" s="34" t="s">
        <v>140</v>
      </c>
      <c r="G537" s="54" t="s">
        <v>168</v>
      </c>
      <c r="H537" s="155">
        <v>42825.0</v>
      </c>
      <c r="I537" s="155">
        <v>42825.0</v>
      </c>
      <c r="J537" s="155">
        <v>42825.0</v>
      </c>
      <c r="K537" s="32" t="s">
        <v>70</v>
      </c>
      <c r="L537" s="41" t="s">
        <v>115</v>
      </c>
      <c r="M537" s="42" t="s">
        <v>88</v>
      </c>
      <c r="N537" s="38" t="s">
        <v>89</v>
      </c>
      <c r="O537" s="32" t="s">
        <v>402</v>
      </c>
      <c r="P537" s="47"/>
      <c r="Q537" s="57" t="s">
        <v>3528</v>
      </c>
      <c r="R537" s="155">
        <v>43555.0</v>
      </c>
      <c r="S537" s="32" t="s">
        <v>196</v>
      </c>
      <c r="T537" s="45" t="s">
        <v>1727</v>
      </c>
      <c r="U537" s="67" t="s">
        <v>3529</v>
      </c>
      <c r="V537" s="34" t="s">
        <v>80</v>
      </c>
      <c r="W537" s="60" t="s">
        <v>1730</v>
      </c>
      <c r="X537" s="60" t="s">
        <v>1732</v>
      </c>
      <c r="Y537" s="109" t="s">
        <v>1733</v>
      </c>
      <c r="Z537" s="32" t="s">
        <v>112</v>
      </c>
      <c r="AA537" s="32"/>
      <c r="AB537" s="60" t="s">
        <v>481</v>
      </c>
      <c r="AC537" s="60"/>
      <c r="AD537" s="261"/>
      <c r="AE537" s="47"/>
      <c r="AF537" s="34" t="s">
        <v>80</v>
      </c>
      <c r="AG537" s="56" t="s">
        <v>1735</v>
      </c>
      <c r="AH537" s="47"/>
      <c r="AI537" s="58"/>
      <c r="AJ537" s="41"/>
      <c r="AK537" s="58">
        <v>41800.0</v>
      </c>
      <c r="AL537" s="56" t="s">
        <v>1033</v>
      </c>
    </row>
    <row r="538" ht="22.5" customHeight="1">
      <c r="A538" s="286" t="s">
        <v>3530</v>
      </c>
      <c r="B538" s="57" t="s">
        <v>901</v>
      </c>
      <c r="C538" s="57" t="s">
        <v>3531</v>
      </c>
      <c r="D538" s="54" t="s">
        <v>75</v>
      </c>
      <c r="E538" s="57" t="s">
        <v>3532</v>
      </c>
      <c r="F538" s="54" t="s">
        <v>140</v>
      </c>
      <c r="G538" s="54" t="s">
        <v>85</v>
      </c>
      <c r="H538" s="155">
        <v>42899.0</v>
      </c>
      <c r="I538" s="155">
        <v>42899.0</v>
      </c>
      <c r="J538" s="155">
        <v>42899.0</v>
      </c>
      <c r="K538" s="32" t="s">
        <v>70</v>
      </c>
      <c r="L538" s="34" t="s">
        <v>115</v>
      </c>
      <c r="M538" s="63" t="s">
        <v>218</v>
      </c>
      <c r="N538" s="32" t="s">
        <v>89</v>
      </c>
      <c r="O538" s="32" t="s">
        <v>969</v>
      </c>
      <c r="P538" s="57" t="s">
        <v>1055</v>
      </c>
      <c r="Q538" s="57" t="s">
        <v>1056</v>
      </c>
      <c r="R538" s="155">
        <v>43995.0</v>
      </c>
      <c r="S538" s="32" t="s">
        <v>969</v>
      </c>
      <c r="T538" s="45" t="s">
        <v>3533</v>
      </c>
      <c r="U538" s="67" t="s">
        <v>3534</v>
      </c>
      <c r="V538" s="54" t="s">
        <v>80</v>
      </c>
      <c r="W538" s="60" t="s">
        <v>904</v>
      </c>
      <c r="X538" s="57" t="s">
        <v>905</v>
      </c>
      <c r="Y538" s="67" t="s">
        <v>906</v>
      </c>
      <c r="Z538" s="32" t="s">
        <v>112</v>
      </c>
      <c r="AA538" s="47"/>
      <c r="AB538" s="123" t="s">
        <v>113</v>
      </c>
      <c r="AC538" s="32" t="s">
        <v>3535</v>
      </c>
      <c r="AD538" s="261">
        <v>42968.0</v>
      </c>
      <c r="AE538" s="47"/>
      <c r="AF538" s="54" t="s">
        <v>80</v>
      </c>
      <c r="AG538" s="56" t="s">
        <v>911</v>
      </c>
      <c r="AH538" s="139" t="s">
        <v>2002</v>
      </c>
      <c r="AI538" s="58"/>
      <c r="AJ538" s="83">
        <v>42612.0</v>
      </c>
      <c r="AK538" s="83">
        <v>42783.0</v>
      </c>
      <c r="AL538" s="56" t="s">
        <v>1043</v>
      </c>
    </row>
    <row r="539" ht="22.5" customHeight="1">
      <c r="A539" s="286" t="s">
        <v>3536</v>
      </c>
      <c r="B539" s="57" t="s">
        <v>3537</v>
      </c>
      <c r="C539" s="57" t="s">
        <v>3537</v>
      </c>
      <c r="D539" s="54" t="s">
        <v>75</v>
      </c>
      <c r="E539" s="57" t="s">
        <v>3538</v>
      </c>
      <c r="F539" s="54" t="s">
        <v>140</v>
      </c>
      <c r="G539" s="54" t="s">
        <v>85</v>
      </c>
      <c r="H539" s="155">
        <v>42874.0</v>
      </c>
      <c r="I539" s="155">
        <v>42873.0</v>
      </c>
      <c r="J539" s="155">
        <v>42874.0</v>
      </c>
      <c r="K539" s="32" t="s">
        <v>70</v>
      </c>
      <c r="L539" s="34" t="s">
        <v>115</v>
      </c>
      <c r="M539" s="63" t="s">
        <v>88</v>
      </c>
      <c r="N539" s="32" t="s">
        <v>89</v>
      </c>
      <c r="O539" s="32" t="s">
        <v>850</v>
      </c>
      <c r="P539" s="57" t="s">
        <v>1496</v>
      </c>
      <c r="Q539" s="57" t="s">
        <v>3539</v>
      </c>
      <c r="R539" s="155">
        <v>43970.0</v>
      </c>
      <c r="S539" s="32" t="s">
        <v>850</v>
      </c>
      <c r="T539" s="45" t="s">
        <v>3540</v>
      </c>
      <c r="U539" s="67" t="s">
        <v>3541</v>
      </c>
      <c r="V539" s="54" t="s">
        <v>80</v>
      </c>
      <c r="W539" s="57" t="s">
        <v>3542</v>
      </c>
      <c r="X539" s="57" t="s">
        <v>3543</v>
      </c>
      <c r="Y539" s="67" t="s">
        <v>3544</v>
      </c>
      <c r="Z539" s="32" t="s">
        <v>112</v>
      </c>
      <c r="AA539" s="47"/>
      <c r="AB539" s="60" t="s">
        <v>66</v>
      </c>
      <c r="AC539" s="32" t="s">
        <v>3545</v>
      </c>
      <c r="AD539" s="261">
        <v>42971.0</v>
      </c>
      <c r="AE539" s="47"/>
      <c r="AF539" s="54" t="s">
        <v>80</v>
      </c>
      <c r="AG539" s="56" t="s">
        <v>3546</v>
      </c>
      <c r="AH539" s="139" t="s">
        <v>892</v>
      </c>
      <c r="AI539" s="58"/>
      <c r="AJ539" s="83"/>
      <c r="AK539" s="83">
        <v>42127.0</v>
      </c>
      <c r="AL539" s="56" t="s">
        <v>870</v>
      </c>
    </row>
    <row r="540" ht="22.5" customHeight="1">
      <c r="A540" s="286" t="s">
        <v>3547</v>
      </c>
      <c r="B540" s="57" t="s">
        <v>987</v>
      </c>
      <c r="C540" s="57" t="s">
        <v>988</v>
      </c>
      <c r="D540" s="54" t="s">
        <v>75</v>
      </c>
      <c r="E540" s="57" t="s">
        <v>990</v>
      </c>
      <c r="F540" s="54" t="s">
        <v>93</v>
      </c>
      <c r="G540" s="54" t="s">
        <v>168</v>
      </c>
      <c r="H540" s="155">
        <v>42970.0</v>
      </c>
      <c r="I540" s="155">
        <v>42969.0</v>
      </c>
      <c r="J540" s="155">
        <v>42970.0</v>
      </c>
      <c r="K540" s="32" t="s">
        <v>86</v>
      </c>
      <c r="L540" s="34" t="s">
        <v>115</v>
      </c>
      <c r="M540" s="63" t="s">
        <v>218</v>
      </c>
      <c r="N540" s="32" t="s">
        <v>89</v>
      </c>
      <c r="O540" s="32" t="s">
        <v>969</v>
      </c>
      <c r="P540" s="57" t="s">
        <v>2286</v>
      </c>
      <c r="Q540" s="57" t="s">
        <v>2875</v>
      </c>
      <c r="R540" s="155">
        <v>43154.0</v>
      </c>
      <c r="S540" s="32" t="s">
        <v>116</v>
      </c>
      <c r="T540" s="45" t="s">
        <v>997</v>
      </c>
      <c r="U540" s="67" t="s">
        <v>3548</v>
      </c>
      <c r="V540" s="54" t="s">
        <v>80</v>
      </c>
      <c r="W540" s="57" t="s">
        <v>1001</v>
      </c>
      <c r="X540" s="57" t="s">
        <v>1002</v>
      </c>
      <c r="Y540" s="67" t="s">
        <v>1003</v>
      </c>
      <c r="Z540" s="32" t="s">
        <v>112</v>
      </c>
      <c r="AA540" s="47"/>
      <c r="AB540" s="60" t="s">
        <v>113</v>
      </c>
      <c r="AC540" s="32"/>
      <c r="AD540" s="261"/>
      <c r="AE540" s="47"/>
      <c r="AF540" s="54" t="s">
        <v>80</v>
      </c>
      <c r="AG540" s="56" t="s">
        <v>1005</v>
      </c>
      <c r="AH540" s="57"/>
      <c r="AI540" s="58"/>
      <c r="AJ540" s="83"/>
      <c r="AK540" s="83">
        <v>41736.0</v>
      </c>
      <c r="AL540" s="56" t="s">
        <v>1043</v>
      </c>
    </row>
    <row r="541" ht="22.5" customHeight="1">
      <c r="A541" s="286" t="s">
        <v>3549</v>
      </c>
      <c r="B541" s="57" t="s">
        <v>190</v>
      </c>
      <c r="C541" s="57" t="s">
        <v>3044</v>
      </c>
      <c r="D541" s="34" t="s">
        <v>752</v>
      </c>
      <c r="E541" s="57" t="s">
        <v>193</v>
      </c>
      <c r="F541" s="54" t="s">
        <v>93</v>
      </c>
      <c r="G541" s="54" t="s">
        <v>168</v>
      </c>
      <c r="H541" s="155">
        <v>42965.0</v>
      </c>
      <c r="I541" s="155">
        <v>42965.0</v>
      </c>
      <c r="J541" s="155">
        <v>42965.0</v>
      </c>
      <c r="K541" s="32" t="s">
        <v>70</v>
      </c>
      <c r="L541" s="34" t="s">
        <v>115</v>
      </c>
      <c r="M541" s="63" t="s">
        <v>88</v>
      </c>
      <c r="N541" s="32" t="s">
        <v>89</v>
      </c>
      <c r="O541" s="32" t="s">
        <v>994</v>
      </c>
      <c r="P541" s="57" t="s">
        <v>2870</v>
      </c>
      <c r="Q541" s="57" t="s">
        <v>1611</v>
      </c>
      <c r="R541" s="155">
        <v>44061.0</v>
      </c>
      <c r="S541" s="57" t="s">
        <v>116</v>
      </c>
      <c r="T541" s="45" t="s">
        <v>198</v>
      </c>
      <c r="U541" s="67" t="s">
        <v>3550</v>
      </c>
      <c r="V541" s="54" t="s">
        <v>80</v>
      </c>
      <c r="W541" s="57" t="s">
        <v>201</v>
      </c>
      <c r="X541" s="57" t="s">
        <v>202</v>
      </c>
      <c r="Y541" s="67" t="s">
        <v>203</v>
      </c>
      <c r="Z541" s="32" t="s">
        <v>112</v>
      </c>
      <c r="AA541" s="47"/>
      <c r="AB541" s="60" t="s">
        <v>113</v>
      </c>
      <c r="AC541" s="32"/>
      <c r="AD541" s="261"/>
      <c r="AE541" s="47"/>
      <c r="AF541" s="54" t="s">
        <v>80</v>
      </c>
      <c r="AG541" s="56" t="s">
        <v>206</v>
      </c>
      <c r="AH541" s="57"/>
      <c r="AI541" s="58"/>
      <c r="AJ541" s="83"/>
      <c r="AK541" s="83">
        <v>41215.0</v>
      </c>
      <c r="AL541" s="56" t="s">
        <v>1006</v>
      </c>
    </row>
    <row r="542" ht="22.5" customHeight="1">
      <c r="A542" s="286" t="s">
        <v>3551</v>
      </c>
      <c r="B542" s="57" t="s">
        <v>951</v>
      </c>
      <c r="C542" s="57" t="s">
        <v>3552</v>
      </c>
      <c r="D542" s="54" t="s">
        <v>75</v>
      </c>
      <c r="E542" s="57" t="s">
        <v>953</v>
      </c>
      <c r="F542" s="54" t="s">
        <v>140</v>
      </c>
      <c r="G542" s="54" t="s">
        <v>168</v>
      </c>
      <c r="H542" s="155">
        <v>42972.0</v>
      </c>
      <c r="I542" s="155">
        <v>42956.0</v>
      </c>
      <c r="J542" s="155">
        <v>42972.0</v>
      </c>
      <c r="K542" s="32" t="s">
        <v>70</v>
      </c>
      <c r="L542" s="34" t="s">
        <v>115</v>
      </c>
      <c r="M542" s="63" t="s">
        <v>88</v>
      </c>
      <c r="N542" s="32" t="s">
        <v>89</v>
      </c>
      <c r="O542" s="32" t="s">
        <v>196</v>
      </c>
      <c r="P542" s="57" t="s">
        <v>1837</v>
      </c>
      <c r="Q542" s="57" t="s">
        <v>2434</v>
      </c>
      <c r="R542" s="155"/>
      <c r="S542" s="32" t="s">
        <v>196</v>
      </c>
      <c r="T542" s="45" t="s">
        <v>957</v>
      </c>
      <c r="U542" s="67" t="s">
        <v>3553</v>
      </c>
      <c r="V542" s="54" t="s">
        <v>80</v>
      </c>
      <c r="W542" s="57" t="s">
        <v>959</v>
      </c>
      <c r="X542" s="57" t="s">
        <v>960</v>
      </c>
      <c r="Y542" s="67" t="s">
        <v>961</v>
      </c>
      <c r="Z542" s="32" t="s">
        <v>112</v>
      </c>
      <c r="AA542" s="47"/>
      <c r="AB542" s="60" t="s">
        <v>481</v>
      </c>
      <c r="AC542" s="32"/>
      <c r="AD542" s="261"/>
      <c r="AE542" s="47"/>
      <c r="AF542" s="54" t="s">
        <v>80</v>
      </c>
      <c r="AG542" s="56" t="s">
        <v>964</v>
      </c>
      <c r="AH542" s="57"/>
      <c r="AI542" s="58"/>
      <c r="AJ542" s="83"/>
      <c r="AK542" s="83">
        <v>42117.0</v>
      </c>
      <c r="AL542" s="56" t="s">
        <v>208</v>
      </c>
    </row>
    <row r="543" ht="22.5" customHeight="1">
      <c r="A543" s="286" t="s">
        <v>3554</v>
      </c>
      <c r="B543" s="57" t="s">
        <v>888</v>
      </c>
      <c r="C543" s="57" t="s">
        <v>3555</v>
      </c>
      <c r="D543" s="54" t="s">
        <v>75</v>
      </c>
      <c r="E543" s="57" t="s">
        <v>1282</v>
      </c>
      <c r="F543" s="54" t="s">
        <v>140</v>
      </c>
      <c r="G543" s="54" t="s">
        <v>168</v>
      </c>
      <c r="H543" s="155">
        <v>42972.0</v>
      </c>
      <c r="I543" s="155">
        <v>42956.0</v>
      </c>
      <c r="J543" s="155">
        <v>42972.0</v>
      </c>
      <c r="K543" s="32" t="s">
        <v>70</v>
      </c>
      <c r="L543" s="34" t="s">
        <v>115</v>
      </c>
      <c r="M543" s="63" t="s">
        <v>88</v>
      </c>
      <c r="N543" s="32" t="s">
        <v>89</v>
      </c>
      <c r="O543" s="32" t="s">
        <v>196</v>
      </c>
      <c r="P543" s="57" t="s">
        <v>1837</v>
      </c>
      <c r="Q543" s="57" t="s">
        <v>2434</v>
      </c>
      <c r="R543" s="155"/>
      <c r="S543" s="32" t="s">
        <v>196</v>
      </c>
      <c r="T543" s="45" t="s">
        <v>1285</v>
      </c>
      <c r="U543" s="67" t="s">
        <v>3556</v>
      </c>
      <c r="V543" s="54" t="s">
        <v>80</v>
      </c>
      <c r="W543" s="57" t="s">
        <v>561</v>
      </c>
      <c r="X543" s="57" t="s">
        <v>1287</v>
      </c>
      <c r="Y543" s="67" t="s">
        <v>1288</v>
      </c>
      <c r="Z543" s="32" t="s">
        <v>112</v>
      </c>
      <c r="AA543" s="47"/>
      <c r="AB543" s="60" t="s">
        <v>113</v>
      </c>
      <c r="AC543" s="32"/>
      <c r="AD543" s="261"/>
      <c r="AE543" s="47"/>
      <c r="AF543" s="54" t="s">
        <v>80</v>
      </c>
      <c r="AG543" s="56" t="s">
        <v>900</v>
      </c>
      <c r="AH543" s="57"/>
      <c r="AI543" s="58"/>
      <c r="AJ543" s="83"/>
      <c r="AK543" s="83">
        <v>41770.0</v>
      </c>
      <c r="AL543" s="56" t="s">
        <v>208</v>
      </c>
    </row>
    <row r="544" ht="22.5" customHeight="1">
      <c r="A544" s="286" t="s">
        <v>3557</v>
      </c>
      <c r="B544" s="57" t="s">
        <v>987</v>
      </c>
      <c r="C544" s="57" t="s">
        <v>988</v>
      </c>
      <c r="D544" s="54" t="s">
        <v>75</v>
      </c>
      <c r="E544" s="57" t="s">
        <v>990</v>
      </c>
      <c r="F544" s="54" t="s">
        <v>93</v>
      </c>
      <c r="G544" s="54" t="s">
        <v>168</v>
      </c>
      <c r="H544" s="155">
        <v>42975.0</v>
      </c>
      <c r="I544" s="155">
        <v>42975.0</v>
      </c>
      <c r="J544" s="155"/>
      <c r="K544" s="32" t="s">
        <v>70</v>
      </c>
      <c r="L544" s="34" t="s">
        <v>115</v>
      </c>
      <c r="M544" s="63" t="s">
        <v>218</v>
      </c>
      <c r="N544" s="32" t="s">
        <v>89</v>
      </c>
      <c r="O544" s="32" t="s">
        <v>994</v>
      </c>
      <c r="P544" s="57" t="s">
        <v>2280</v>
      </c>
      <c r="Q544" s="57" t="s">
        <v>3558</v>
      </c>
      <c r="R544" s="155"/>
      <c r="S544" s="32" t="s">
        <v>116</v>
      </c>
      <c r="T544" s="45" t="s">
        <v>997</v>
      </c>
      <c r="U544" s="67" t="s">
        <v>3559</v>
      </c>
      <c r="V544" s="54" t="s">
        <v>80</v>
      </c>
      <c r="W544" s="57" t="s">
        <v>1001</v>
      </c>
      <c r="X544" s="57" t="s">
        <v>1002</v>
      </c>
      <c r="Y544" s="67" t="s">
        <v>1003</v>
      </c>
      <c r="Z544" s="32" t="s">
        <v>112</v>
      </c>
      <c r="AA544" s="47"/>
      <c r="AB544" s="60" t="s">
        <v>113</v>
      </c>
      <c r="AC544" s="32"/>
      <c r="AD544" s="261"/>
      <c r="AE544" s="47"/>
      <c r="AF544" s="54" t="s">
        <v>80</v>
      </c>
      <c r="AG544" s="56" t="s">
        <v>1005</v>
      </c>
      <c r="AH544" s="57"/>
      <c r="AI544" s="58"/>
      <c r="AJ544" s="83"/>
      <c r="AK544" s="83">
        <v>41736.0</v>
      </c>
      <c r="AL544" s="56" t="s">
        <v>1006</v>
      </c>
    </row>
    <row r="545" ht="22.5" customHeight="1">
      <c r="A545" s="286" t="s">
        <v>3560</v>
      </c>
      <c r="B545" s="57" t="s">
        <v>1331</v>
      </c>
      <c r="C545" s="57" t="s">
        <v>3561</v>
      </c>
      <c r="D545" s="34" t="s">
        <v>1010</v>
      </c>
      <c r="E545" s="57" t="s">
        <v>1333</v>
      </c>
      <c r="F545" s="54" t="s">
        <v>140</v>
      </c>
      <c r="G545" s="54" t="s">
        <v>85</v>
      </c>
      <c r="H545" s="155">
        <v>42948.0</v>
      </c>
      <c r="I545" s="155"/>
      <c r="J545" s="155">
        <v>42948.0</v>
      </c>
      <c r="K545" s="32" t="s">
        <v>70</v>
      </c>
      <c r="L545" s="34" t="s">
        <v>115</v>
      </c>
      <c r="M545" s="63" t="s">
        <v>218</v>
      </c>
      <c r="N545" s="32" t="s">
        <v>89</v>
      </c>
      <c r="O545" s="32" t="s">
        <v>1023</v>
      </c>
      <c r="P545" s="57"/>
      <c r="Q545" s="57" t="s">
        <v>3562</v>
      </c>
      <c r="R545" s="155">
        <v>44044.0</v>
      </c>
      <c r="S545" s="32" t="s">
        <v>1023</v>
      </c>
      <c r="T545" s="45" t="s">
        <v>1335</v>
      </c>
      <c r="U545" s="67" t="s">
        <v>3563</v>
      </c>
      <c r="V545" s="54" t="s">
        <v>80</v>
      </c>
      <c r="W545" s="57" t="s">
        <v>561</v>
      </c>
      <c r="X545" s="57" t="s">
        <v>561</v>
      </c>
      <c r="Y545" s="67" t="s">
        <v>1337</v>
      </c>
      <c r="Z545" s="32" t="s">
        <v>112</v>
      </c>
      <c r="AA545" s="47"/>
      <c r="AB545" s="60" t="s">
        <v>575</v>
      </c>
      <c r="AC545" s="32" t="s">
        <v>1338</v>
      </c>
      <c r="AD545" s="261">
        <v>41765.0</v>
      </c>
      <c r="AE545" s="47"/>
      <c r="AF545" s="54" t="s">
        <v>80</v>
      </c>
      <c r="AG545" s="56" t="s">
        <v>1339</v>
      </c>
      <c r="AH545" s="63" t="s">
        <v>1340</v>
      </c>
      <c r="AI545" s="58"/>
      <c r="AJ545" s="83"/>
      <c r="AK545" s="83">
        <v>41589.0</v>
      </c>
      <c r="AL545" s="56" t="s">
        <v>1028</v>
      </c>
    </row>
    <row r="546" ht="22.5" customHeight="1">
      <c r="A546" s="286" t="s">
        <v>3564</v>
      </c>
      <c r="B546" s="57" t="s">
        <v>1251</v>
      </c>
      <c r="C546" s="57" t="s">
        <v>1832</v>
      </c>
      <c r="D546" s="41" t="s">
        <v>75</v>
      </c>
      <c r="E546" s="103" t="s">
        <v>1833</v>
      </c>
      <c r="F546" s="34" t="s">
        <v>93</v>
      </c>
      <c r="G546" s="34" t="s">
        <v>168</v>
      </c>
      <c r="H546" s="155">
        <v>42977.0</v>
      </c>
      <c r="I546" s="155">
        <v>42977.0</v>
      </c>
      <c r="J546" s="155"/>
      <c r="K546" s="32" t="s">
        <v>70</v>
      </c>
      <c r="L546" s="41" t="s">
        <v>115</v>
      </c>
      <c r="M546" s="103" t="s">
        <v>88</v>
      </c>
      <c r="N546" s="38" t="s">
        <v>89</v>
      </c>
      <c r="O546" s="32" t="s">
        <v>954</v>
      </c>
      <c r="P546" s="32" t="s">
        <v>2004</v>
      </c>
      <c r="Q546" s="57" t="s">
        <v>3565</v>
      </c>
      <c r="R546" s="58">
        <v>43342.0</v>
      </c>
      <c r="S546" s="32" t="s">
        <v>116</v>
      </c>
      <c r="T546" s="45" t="s">
        <v>1835</v>
      </c>
      <c r="U546" s="67" t="s">
        <v>3566</v>
      </c>
      <c r="V546" s="34" t="s">
        <v>80</v>
      </c>
      <c r="W546" s="60" t="s">
        <v>1838</v>
      </c>
      <c r="X546" s="60" t="s">
        <v>1839</v>
      </c>
      <c r="Y546" s="109" t="s">
        <v>1841</v>
      </c>
      <c r="Z546" s="32" t="s">
        <v>112</v>
      </c>
      <c r="AA546" s="68"/>
      <c r="AB546" s="123" t="s">
        <v>113</v>
      </c>
      <c r="AC546" s="60"/>
      <c r="AD546" s="66"/>
      <c r="AE546" s="47"/>
      <c r="AF546" s="34" t="s">
        <v>80</v>
      </c>
      <c r="AG546" s="56" t="s">
        <v>1845</v>
      </c>
      <c r="AH546" s="53"/>
      <c r="AI546" s="77"/>
      <c r="AJ546" s="41"/>
      <c r="AK546" s="58">
        <v>41340.0</v>
      </c>
      <c r="AL546" s="56" t="s">
        <v>965</v>
      </c>
    </row>
    <row r="547" ht="22.5" customHeight="1">
      <c r="A547" s="286" t="s">
        <v>3567</v>
      </c>
      <c r="B547" s="57" t="s">
        <v>888</v>
      </c>
      <c r="C547" s="57" t="s">
        <v>3555</v>
      </c>
      <c r="D547" s="41" t="s">
        <v>75</v>
      </c>
      <c r="E547" s="38" t="s">
        <v>1282</v>
      </c>
      <c r="F547" s="34" t="s">
        <v>140</v>
      </c>
      <c r="G547" s="34" t="s">
        <v>168</v>
      </c>
      <c r="H547" s="155">
        <v>42977.0</v>
      </c>
      <c r="I547" s="155">
        <v>42977.0</v>
      </c>
      <c r="J547" s="155"/>
      <c r="K547" s="32" t="s">
        <v>70</v>
      </c>
      <c r="L547" s="34" t="s">
        <v>115</v>
      </c>
      <c r="M547" s="32" t="s">
        <v>88</v>
      </c>
      <c r="N547" s="32" t="s">
        <v>89</v>
      </c>
      <c r="O547" s="32" t="s">
        <v>954</v>
      </c>
      <c r="P547" s="32" t="s">
        <v>2004</v>
      </c>
      <c r="Q547" s="57" t="s">
        <v>3565</v>
      </c>
      <c r="R547" s="155">
        <v>43342.0</v>
      </c>
      <c r="S547" s="32" t="s">
        <v>196</v>
      </c>
      <c r="T547" s="45" t="s">
        <v>1285</v>
      </c>
      <c r="U547" s="67" t="s">
        <v>3568</v>
      </c>
      <c r="V547" s="34" t="s">
        <v>80</v>
      </c>
      <c r="W547" s="32" t="s">
        <v>561</v>
      </c>
      <c r="X547" s="60" t="s">
        <v>1287</v>
      </c>
      <c r="Y547" s="45" t="s">
        <v>1288</v>
      </c>
      <c r="Z547" s="32" t="s">
        <v>112</v>
      </c>
      <c r="AA547" s="32"/>
      <c r="AB547" s="32" t="s">
        <v>113</v>
      </c>
      <c r="AC547" s="60"/>
      <c r="AD547" s="66"/>
      <c r="AE547" s="47"/>
      <c r="AF547" s="180" t="s">
        <v>80</v>
      </c>
      <c r="AG547" s="56" t="s">
        <v>900</v>
      </c>
      <c r="AH547" s="47"/>
      <c r="AI547" s="58"/>
      <c r="AJ547" s="41"/>
      <c r="AK547" s="155">
        <v>41770.0</v>
      </c>
      <c r="AL547" s="56" t="s">
        <v>965</v>
      </c>
    </row>
    <row r="548" ht="22.5" customHeight="1">
      <c r="A548" s="286" t="s">
        <v>3569</v>
      </c>
      <c r="B548" s="57" t="s">
        <v>2550</v>
      </c>
      <c r="C548" s="57" t="s">
        <v>2551</v>
      </c>
      <c r="D548" s="34" t="s">
        <v>584</v>
      </c>
      <c r="E548" s="149" t="s">
        <v>2552</v>
      </c>
      <c r="F548" s="34" t="s">
        <v>140</v>
      </c>
      <c r="G548" s="34" t="s">
        <v>168</v>
      </c>
      <c r="H548" s="155">
        <v>42818.0</v>
      </c>
      <c r="I548" s="155">
        <v>42818.0</v>
      </c>
      <c r="J548" s="155">
        <v>42818.0</v>
      </c>
      <c r="K548" s="32" t="s">
        <v>86</v>
      </c>
      <c r="L548" s="34" t="s">
        <v>115</v>
      </c>
      <c r="M548" s="42" t="s">
        <v>88</v>
      </c>
      <c r="N548" s="32" t="s">
        <v>89</v>
      </c>
      <c r="O548" s="32" t="s">
        <v>2125</v>
      </c>
      <c r="P548" s="32"/>
      <c r="Q548" s="57" t="s">
        <v>3570</v>
      </c>
      <c r="R548" s="155">
        <v>43183.0</v>
      </c>
      <c r="S548" s="32" t="s">
        <v>1023</v>
      </c>
      <c r="T548" s="56" t="s">
        <v>2553</v>
      </c>
      <c r="U548" s="67" t="s">
        <v>3571</v>
      </c>
      <c r="V548" s="34" t="s">
        <v>74</v>
      </c>
      <c r="W548" s="149" t="s">
        <v>2555</v>
      </c>
      <c r="X548" s="149" t="s">
        <v>2556</v>
      </c>
      <c r="Y548" s="152" t="s">
        <v>2557</v>
      </c>
      <c r="Z548" s="32" t="s">
        <v>112</v>
      </c>
      <c r="AA548" s="68"/>
      <c r="AB548" s="60" t="s">
        <v>389</v>
      </c>
      <c r="AC548" s="68"/>
      <c r="AD548" s="261"/>
      <c r="AE548" s="47"/>
      <c r="AF548" s="54" t="s">
        <v>74</v>
      </c>
      <c r="AG548" s="56" t="s">
        <v>2559</v>
      </c>
      <c r="AH548" s="287"/>
      <c r="AI548" s="288"/>
      <c r="AJ548" s="41"/>
      <c r="AK548" s="268">
        <v>41770.0</v>
      </c>
      <c r="AL548" s="56" t="s">
        <v>2373</v>
      </c>
    </row>
    <row r="549" ht="22.5" customHeight="1">
      <c r="A549" s="286" t="s">
        <v>3572</v>
      </c>
      <c r="B549" s="57" t="s">
        <v>1251</v>
      </c>
      <c r="C549" s="57" t="s">
        <v>1832</v>
      </c>
      <c r="D549" s="41" t="s">
        <v>75</v>
      </c>
      <c r="E549" s="103" t="s">
        <v>1833</v>
      </c>
      <c r="F549" s="34" t="s">
        <v>93</v>
      </c>
      <c r="G549" s="34" t="s">
        <v>168</v>
      </c>
      <c r="H549" s="155">
        <v>42930.0</v>
      </c>
      <c r="I549" s="155">
        <v>42930.0</v>
      </c>
      <c r="J549" s="155">
        <v>42930.0</v>
      </c>
      <c r="K549" s="32" t="s">
        <v>70</v>
      </c>
      <c r="L549" s="41" t="s">
        <v>115</v>
      </c>
      <c r="M549" s="103" t="s">
        <v>88</v>
      </c>
      <c r="N549" s="38" t="s">
        <v>89</v>
      </c>
      <c r="O549" s="32" t="s">
        <v>954</v>
      </c>
      <c r="P549" s="32"/>
      <c r="Q549" s="57" t="s">
        <v>1654</v>
      </c>
      <c r="R549" s="155"/>
      <c r="S549" s="32" t="s">
        <v>116</v>
      </c>
      <c r="T549" s="45" t="s">
        <v>1835</v>
      </c>
      <c r="U549" s="67" t="s">
        <v>3573</v>
      </c>
      <c r="V549" s="34" t="s">
        <v>80</v>
      </c>
      <c r="W549" s="60" t="s">
        <v>1838</v>
      </c>
      <c r="X549" s="60" t="s">
        <v>1839</v>
      </c>
      <c r="Y549" s="109" t="s">
        <v>1841</v>
      </c>
      <c r="Z549" s="32" t="s">
        <v>112</v>
      </c>
      <c r="AA549" s="68"/>
      <c r="AB549" s="123" t="s">
        <v>113</v>
      </c>
      <c r="AC549" s="60"/>
      <c r="AD549" s="66"/>
      <c r="AE549" s="47"/>
      <c r="AF549" s="34" t="s">
        <v>80</v>
      </c>
      <c r="AG549" s="56" t="s">
        <v>1845</v>
      </c>
      <c r="AH549" s="53"/>
      <c r="AI549" s="77"/>
      <c r="AJ549" s="41"/>
      <c r="AK549" s="58">
        <v>41340.0</v>
      </c>
      <c r="AL549" s="56" t="s">
        <v>965</v>
      </c>
    </row>
    <row r="550" ht="22.5" customHeight="1">
      <c r="A550" s="286" t="s">
        <v>3574</v>
      </c>
      <c r="B550" s="57" t="s">
        <v>888</v>
      </c>
      <c r="C550" s="57" t="s">
        <v>3555</v>
      </c>
      <c r="D550" s="41" t="s">
        <v>75</v>
      </c>
      <c r="E550" s="38" t="s">
        <v>1282</v>
      </c>
      <c r="F550" s="34" t="s">
        <v>140</v>
      </c>
      <c r="G550" s="34" t="s">
        <v>168</v>
      </c>
      <c r="H550" s="155">
        <v>42930.0</v>
      </c>
      <c r="I550" s="155">
        <v>42930.0</v>
      </c>
      <c r="J550" s="155">
        <v>42930.0</v>
      </c>
      <c r="K550" s="32" t="s">
        <v>70</v>
      </c>
      <c r="L550" s="34" t="s">
        <v>115</v>
      </c>
      <c r="M550" s="32" t="s">
        <v>88</v>
      </c>
      <c r="N550" s="32" t="s">
        <v>89</v>
      </c>
      <c r="O550" s="32" t="s">
        <v>954</v>
      </c>
      <c r="P550" s="32"/>
      <c r="Q550" s="57" t="s">
        <v>1654</v>
      </c>
      <c r="R550" s="155"/>
      <c r="S550" s="32" t="s">
        <v>196</v>
      </c>
      <c r="T550" s="45" t="s">
        <v>1285</v>
      </c>
      <c r="U550" s="67" t="s">
        <v>3575</v>
      </c>
      <c r="V550" s="34" t="s">
        <v>80</v>
      </c>
      <c r="W550" s="32" t="s">
        <v>561</v>
      </c>
      <c r="X550" s="60" t="s">
        <v>1287</v>
      </c>
      <c r="Y550" s="45" t="s">
        <v>1288</v>
      </c>
      <c r="Z550" s="32" t="s">
        <v>112</v>
      </c>
      <c r="AA550" s="32"/>
      <c r="AB550" s="32" t="s">
        <v>113</v>
      </c>
      <c r="AC550" s="60"/>
      <c r="AD550" s="66"/>
      <c r="AE550" s="47"/>
      <c r="AF550" s="180" t="s">
        <v>80</v>
      </c>
      <c r="AG550" s="56" t="s">
        <v>900</v>
      </c>
      <c r="AH550" s="47"/>
      <c r="AI550" s="58"/>
      <c r="AJ550" s="41"/>
      <c r="AK550" s="155">
        <v>41770.0</v>
      </c>
      <c r="AL550" s="56" t="s">
        <v>965</v>
      </c>
    </row>
    <row r="551" ht="22.5" customHeight="1">
      <c r="A551" s="286" t="s">
        <v>3576</v>
      </c>
      <c r="B551" s="57" t="s">
        <v>843</v>
      </c>
      <c r="C551" s="57" t="s">
        <v>844</v>
      </c>
      <c r="D551" s="34" t="s">
        <v>845</v>
      </c>
      <c r="E551" s="38" t="s">
        <v>846</v>
      </c>
      <c r="F551" s="34" t="s">
        <v>140</v>
      </c>
      <c r="G551" s="34" t="s">
        <v>168</v>
      </c>
      <c r="H551" s="155">
        <v>42898.0</v>
      </c>
      <c r="I551" s="155"/>
      <c r="J551" s="155">
        <v>42898.0</v>
      </c>
      <c r="K551" s="32" t="s">
        <v>70</v>
      </c>
      <c r="L551" s="41" t="s">
        <v>115</v>
      </c>
      <c r="M551" s="42" t="s">
        <v>88</v>
      </c>
      <c r="N551" s="38" t="s">
        <v>89</v>
      </c>
      <c r="O551" s="32" t="s">
        <v>954</v>
      </c>
      <c r="P551" s="32"/>
      <c r="Q551" s="57" t="s">
        <v>1654</v>
      </c>
      <c r="R551" s="155"/>
      <c r="S551" s="32" t="s">
        <v>220</v>
      </c>
      <c r="T551" s="45" t="s">
        <v>855</v>
      </c>
      <c r="U551" s="67" t="s">
        <v>3577</v>
      </c>
      <c r="V551" s="34" t="s">
        <v>80</v>
      </c>
      <c r="W551" s="32" t="s">
        <v>561</v>
      </c>
      <c r="X551" s="32" t="s">
        <v>561</v>
      </c>
      <c r="Y551" s="45" t="s">
        <v>859</v>
      </c>
      <c r="Z551" s="32" t="s">
        <v>112</v>
      </c>
      <c r="AA551" s="32"/>
      <c r="AB551" s="60" t="s">
        <v>860</v>
      </c>
      <c r="AC551" s="60"/>
      <c r="AD551" s="261"/>
      <c r="AE551" s="47"/>
      <c r="AF551" s="34" t="s">
        <v>80</v>
      </c>
      <c r="AG551" s="56" t="s">
        <v>865</v>
      </c>
      <c r="AH551" s="41"/>
      <c r="AI551" s="41"/>
      <c r="AJ551" s="58">
        <v>41779.0</v>
      </c>
      <c r="AK551" s="58">
        <v>41612.0</v>
      </c>
      <c r="AL551" s="56" t="s">
        <v>965</v>
      </c>
    </row>
    <row r="552" ht="22.5" customHeight="1">
      <c r="A552" s="286" t="s">
        <v>3578</v>
      </c>
      <c r="B552" s="57" t="s">
        <v>3579</v>
      </c>
      <c r="C552" s="57" t="s">
        <v>3580</v>
      </c>
      <c r="D552" s="54" t="s">
        <v>75</v>
      </c>
      <c r="E552" s="57" t="s">
        <v>3581</v>
      </c>
      <c r="F552" s="54" t="s">
        <v>140</v>
      </c>
      <c r="G552" s="54" t="s">
        <v>85</v>
      </c>
      <c r="H552" s="155">
        <v>42958.0</v>
      </c>
      <c r="I552" s="155">
        <v>42958.0</v>
      </c>
      <c r="J552" s="47"/>
      <c r="K552" s="32" t="s">
        <v>70</v>
      </c>
      <c r="L552" s="54" t="s">
        <v>115</v>
      </c>
      <c r="M552" s="63" t="s">
        <v>218</v>
      </c>
      <c r="N552" s="32" t="s">
        <v>89</v>
      </c>
      <c r="O552" s="32" t="s">
        <v>1023</v>
      </c>
      <c r="P552" s="57" t="s">
        <v>1024</v>
      </c>
      <c r="Q552" s="57" t="s">
        <v>3582</v>
      </c>
      <c r="R552" s="47"/>
      <c r="S552" s="32" t="s">
        <v>1023</v>
      </c>
      <c r="T552" s="45" t="s">
        <v>3583</v>
      </c>
      <c r="U552" s="67" t="s">
        <v>3584</v>
      </c>
      <c r="V552" s="54" t="s">
        <v>80</v>
      </c>
      <c r="W552" s="57" t="s">
        <v>3585</v>
      </c>
      <c r="X552" s="57" t="s">
        <v>3586</v>
      </c>
      <c r="Y552" s="67" t="s">
        <v>3587</v>
      </c>
      <c r="Z552" s="32" t="s">
        <v>112</v>
      </c>
      <c r="AA552" s="47"/>
      <c r="AB552" s="32" t="s">
        <v>113</v>
      </c>
      <c r="AC552" s="32" t="s">
        <v>3588</v>
      </c>
      <c r="AD552" s="261">
        <v>42986.0</v>
      </c>
      <c r="AE552" s="47"/>
      <c r="AF552" s="54" t="s">
        <v>80</v>
      </c>
      <c r="AG552" s="56" t="s">
        <v>3589</v>
      </c>
      <c r="AH552" s="139" t="s">
        <v>2746</v>
      </c>
      <c r="AI552" s="293"/>
      <c r="AJ552" s="77"/>
      <c r="AK552" s="83">
        <v>42642.0</v>
      </c>
      <c r="AL552" s="56" t="s">
        <v>1028</v>
      </c>
    </row>
    <row r="553" ht="22.5" customHeight="1">
      <c r="A553" s="286" t="s">
        <v>3590</v>
      </c>
      <c r="B553" s="57" t="s">
        <v>190</v>
      </c>
      <c r="C553" s="32" t="s">
        <v>191</v>
      </c>
      <c r="D553" s="34" t="s">
        <v>752</v>
      </c>
      <c r="E553" s="57" t="s">
        <v>193</v>
      </c>
      <c r="F553" s="54" t="s">
        <v>93</v>
      </c>
      <c r="G553" s="54" t="s">
        <v>168</v>
      </c>
      <c r="H553" s="155">
        <v>42793.0</v>
      </c>
      <c r="I553" s="155"/>
      <c r="J553" s="155">
        <v>42793.0</v>
      </c>
      <c r="K553" s="32" t="s">
        <v>86</v>
      </c>
      <c r="L553" s="34" t="s">
        <v>115</v>
      </c>
      <c r="M553" s="63" t="s">
        <v>88</v>
      </c>
      <c r="N553" s="32" t="s">
        <v>89</v>
      </c>
      <c r="O553" s="32" t="s">
        <v>327</v>
      </c>
      <c r="P553" s="57" t="s">
        <v>1801</v>
      </c>
      <c r="Q553" s="57" t="s">
        <v>3591</v>
      </c>
      <c r="R553" s="155">
        <v>43158.0</v>
      </c>
      <c r="S553" s="57" t="s">
        <v>116</v>
      </c>
      <c r="T553" s="45" t="s">
        <v>198</v>
      </c>
      <c r="U553" s="67" t="s">
        <v>3592</v>
      </c>
      <c r="V553" s="54" t="s">
        <v>80</v>
      </c>
      <c r="W553" s="57" t="s">
        <v>201</v>
      </c>
      <c r="X553" s="57" t="s">
        <v>202</v>
      </c>
      <c r="Y553" s="67" t="s">
        <v>203</v>
      </c>
      <c r="Z553" s="32" t="s">
        <v>112</v>
      </c>
      <c r="AA553" s="47"/>
      <c r="AB553" s="60" t="s">
        <v>113</v>
      </c>
      <c r="AC553" s="32"/>
      <c r="AD553" s="261"/>
      <c r="AE553" s="47"/>
      <c r="AF553" s="54" t="s">
        <v>80</v>
      </c>
      <c r="AG553" s="56" t="s">
        <v>206</v>
      </c>
      <c r="AH553" s="57"/>
      <c r="AI553" s="58"/>
      <c r="AJ553" s="83"/>
      <c r="AK553" s="83">
        <v>41215.0</v>
      </c>
      <c r="AL553" s="56" t="s">
        <v>375</v>
      </c>
    </row>
    <row r="554" ht="22.5" customHeight="1">
      <c r="A554" s="286" t="s">
        <v>3593</v>
      </c>
      <c r="B554" s="57" t="s">
        <v>1321</v>
      </c>
      <c r="C554" s="32" t="s">
        <v>1322</v>
      </c>
      <c r="D554" s="34" t="s">
        <v>845</v>
      </c>
      <c r="E554" s="38" t="s">
        <v>1323</v>
      </c>
      <c r="F554" s="54" t="s">
        <v>140</v>
      </c>
      <c r="G554" s="34" t="s">
        <v>168</v>
      </c>
      <c r="H554" s="155">
        <v>42704.0</v>
      </c>
      <c r="I554" s="155"/>
      <c r="J554" s="155">
        <v>42704.0</v>
      </c>
      <c r="K554" s="32" t="s">
        <v>86</v>
      </c>
      <c r="L554" s="34" t="s">
        <v>115</v>
      </c>
      <c r="M554" s="42" t="s">
        <v>88</v>
      </c>
      <c r="N554" s="32" t="s">
        <v>89</v>
      </c>
      <c r="O554" s="32" t="s">
        <v>327</v>
      </c>
      <c r="P554" s="57" t="s">
        <v>1801</v>
      </c>
      <c r="Q554" s="57" t="s">
        <v>3591</v>
      </c>
      <c r="R554" s="155">
        <v>43069.0</v>
      </c>
      <c r="S554" s="32" t="s">
        <v>196</v>
      </c>
      <c r="T554" s="45" t="s">
        <v>1324</v>
      </c>
      <c r="U554" s="67" t="s">
        <v>3594</v>
      </c>
      <c r="V554" s="54" t="s">
        <v>80</v>
      </c>
      <c r="W554" s="32" t="s">
        <v>561</v>
      </c>
      <c r="X554" s="32" t="s">
        <v>1326</v>
      </c>
      <c r="Y554" s="109" t="s">
        <v>1327</v>
      </c>
      <c r="Z554" s="32" t="s">
        <v>112</v>
      </c>
      <c r="AA554" s="47"/>
      <c r="AB554" s="32" t="s">
        <v>113</v>
      </c>
      <c r="AC554" s="60"/>
      <c r="AD554" s="192"/>
      <c r="AE554" s="47"/>
      <c r="AF554" s="54" t="s">
        <v>80</v>
      </c>
      <c r="AG554" s="56" t="s">
        <v>1329</v>
      </c>
      <c r="AH554" s="272"/>
      <c r="AI554" s="58"/>
      <c r="AJ554" s="77"/>
      <c r="AK554" s="58">
        <v>41619.0</v>
      </c>
      <c r="AL554" s="56" t="s">
        <v>375</v>
      </c>
    </row>
    <row r="555" ht="22.5" customHeight="1">
      <c r="A555" s="286" t="s">
        <v>3595</v>
      </c>
      <c r="B555" s="57" t="s">
        <v>355</v>
      </c>
      <c r="C555" s="32" t="s">
        <v>1345</v>
      </c>
      <c r="D555" s="34" t="s">
        <v>75</v>
      </c>
      <c r="E555" s="38" t="s">
        <v>1346</v>
      </c>
      <c r="F555" s="34" t="s">
        <v>140</v>
      </c>
      <c r="G555" s="34" t="s">
        <v>168</v>
      </c>
      <c r="H555" s="155">
        <v>42762.0</v>
      </c>
      <c r="I555" s="155">
        <v>42762.0</v>
      </c>
      <c r="J555" s="155">
        <v>42762.0</v>
      </c>
      <c r="K555" s="32" t="s">
        <v>86</v>
      </c>
      <c r="L555" s="41" t="s">
        <v>115</v>
      </c>
      <c r="M555" s="42" t="s">
        <v>313</v>
      </c>
      <c r="N555" s="38" t="s">
        <v>89</v>
      </c>
      <c r="O555" s="32" t="s">
        <v>994</v>
      </c>
      <c r="P555" s="57" t="s">
        <v>3596</v>
      </c>
      <c r="Q555" s="57" t="s">
        <v>3597</v>
      </c>
      <c r="R555" s="155">
        <v>43127.0</v>
      </c>
      <c r="S555" s="32" t="s">
        <v>402</v>
      </c>
      <c r="T555" s="56" t="s">
        <v>1349</v>
      </c>
      <c r="U555" s="67" t="s">
        <v>3598</v>
      </c>
      <c r="V555" s="34" t="s">
        <v>80</v>
      </c>
      <c r="W555" s="32" t="s">
        <v>1351</v>
      </c>
      <c r="X555" s="149" t="s">
        <v>1352</v>
      </c>
      <c r="Y555" s="152" t="s">
        <v>1353</v>
      </c>
      <c r="Z555" s="32" t="s">
        <v>112</v>
      </c>
      <c r="AA555" s="68"/>
      <c r="AB555" s="32" t="s">
        <v>113</v>
      </c>
      <c r="AC555" s="68"/>
      <c r="AD555" s="192"/>
      <c r="AE555" s="47"/>
      <c r="AF555" s="34" t="s">
        <v>80</v>
      </c>
      <c r="AG555" s="56" t="s">
        <v>1355</v>
      </c>
      <c r="AH555" s="41"/>
      <c r="AI555" s="41"/>
      <c r="AJ555" s="41"/>
      <c r="AK555" s="58">
        <v>41770.0</v>
      </c>
      <c r="AL555" s="56" t="s">
        <v>1006</v>
      </c>
    </row>
    <row r="556" ht="22.5" customHeight="1">
      <c r="A556" s="286" t="s">
        <v>3599</v>
      </c>
      <c r="B556" s="57" t="s">
        <v>888</v>
      </c>
      <c r="C556" s="149" t="s">
        <v>1281</v>
      </c>
      <c r="D556" s="41" t="s">
        <v>75</v>
      </c>
      <c r="E556" s="38" t="s">
        <v>1282</v>
      </c>
      <c r="F556" s="34" t="s">
        <v>140</v>
      </c>
      <c r="G556" s="34" t="s">
        <v>168</v>
      </c>
      <c r="H556" s="155">
        <v>42992.0</v>
      </c>
      <c r="I556" s="155">
        <v>42991.0</v>
      </c>
      <c r="J556" s="155">
        <v>42992.0</v>
      </c>
      <c r="K556" s="32" t="s">
        <v>70</v>
      </c>
      <c r="L556" s="34" t="s">
        <v>115</v>
      </c>
      <c r="M556" s="32" t="s">
        <v>88</v>
      </c>
      <c r="N556" s="32" t="s">
        <v>89</v>
      </c>
      <c r="O556" s="32" t="s">
        <v>954</v>
      </c>
      <c r="P556" s="57" t="s">
        <v>3371</v>
      </c>
      <c r="Q556" s="57" t="s">
        <v>3600</v>
      </c>
      <c r="R556" s="155">
        <v>43355.0</v>
      </c>
      <c r="S556" s="32" t="s">
        <v>196</v>
      </c>
      <c r="T556" s="45" t="s">
        <v>1285</v>
      </c>
      <c r="U556" s="67" t="s">
        <v>3601</v>
      </c>
      <c r="V556" s="34" t="s">
        <v>80</v>
      </c>
      <c r="W556" s="32" t="s">
        <v>561</v>
      </c>
      <c r="X556" s="60" t="s">
        <v>1287</v>
      </c>
      <c r="Y556" s="45" t="s">
        <v>1288</v>
      </c>
      <c r="Z556" s="32" t="s">
        <v>112</v>
      </c>
      <c r="AA556" s="32"/>
      <c r="AB556" s="32" t="s">
        <v>113</v>
      </c>
      <c r="AC556" s="60"/>
      <c r="AD556" s="192"/>
      <c r="AE556" s="47"/>
      <c r="AF556" s="142" t="s">
        <v>80</v>
      </c>
      <c r="AG556" s="56" t="s">
        <v>900</v>
      </c>
      <c r="AH556" s="41"/>
      <c r="AI556" s="41"/>
      <c r="AJ556" s="41"/>
      <c r="AK556" s="290">
        <v>41770.0</v>
      </c>
      <c r="AL556" s="56" t="s">
        <v>965</v>
      </c>
    </row>
    <row r="557" ht="22.5" customHeight="1">
      <c r="A557" s="286" t="s">
        <v>3602</v>
      </c>
      <c r="B557" s="57" t="s">
        <v>1251</v>
      </c>
      <c r="C557" s="149" t="s">
        <v>1832</v>
      </c>
      <c r="D557" s="41" t="s">
        <v>75</v>
      </c>
      <c r="E557" s="103" t="s">
        <v>1833</v>
      </c>
      <c r="F557" s="34" t="s">
        <v>93</v>
      </c>
      <c r="G557" s="34" t="s">
        <v>168</v>
      </c>
      <c r="H557" s="155">
        <v>42992.0</v>
      </c>
      <c r="I557" s="155">
        <v>42991.0</v>
      </c>
      <c r="J557" s="155">
        <v>42992.0</v>
      </c>
      <c r="K557" s="32" t="s">
        <v>70</v>
      </c>
      <c r="L557" s="34" t="s">
        <v>115</v>
      </c>
      <c r="M557" s="32" t="s">
        <v>88</v>
      </c>
      <c r="N557" s="32" t="s">
        <v>89</v>
      </c>
      <c r="O557" s="32" t="s">
        <v>954</v>
      </c>
      <c r="P557" s="57" t="s">
        <v>3371</v>
      </c>
      <c r="Q557" s="57" t="s">
        <v>3600</v>
      </c>
      <c r="R557" s="155">
        <v>43355.0</v>
      </c>
      <c r="S557" s="32" t="s">
        <v>116</v>
      </c>
      <c r="T557" s="45" t="s">
        <v>1835</v>
      </c>
      <c r="U557" s="67" t="s">
        <v>3603</v>
      </c>
      <c r="V557" s="34" t="s">
        <v>80</v>
      </c>
      <c r="W557" s="60" t="s">
        <v>1838</v>
      </c>
      <c r="X557" s="60" t="s">
        <v>1839</v>
      </c>
      <c r="Y557" s="109" t="s">
        <v>1841</v>
      </c>
      <c r="Z557" s="32" t="s">
        <v>112</v>
      </c>
      <c r="AA557" s="68"/>
      <c r="AB557" s="123" t="s">
        <v>113</v>
      </c>
      <c r="AC557" s="60"/>
      <c r="AD557" s="192"/>
      <c r="AE557" s="47"/>
      <c r="AF557" s="34" t="s">
        <v>80</v>
      </c>
      <c r="AG557" s="56" t="s">
        <v>1845</v>
      </c>
      <c r="AH557" s="53"/>
      <c r="AI557" s="77"/>
      <c r="AJ557" s="41"/>
      <c r="AK557" s="58">
        <v>41340.0</v>
      </c>
      <c r="AL557" s="56" t="s">
        <v>965</v>
      </c>
    </row>
    <row r="558" ht="22.5" customHeight="1">
      <c r="A558" s="286" t="s">
        <v>3604</v>
      </c>
      <c r="B558" s="32" t="s">
        <v>1321</v>
      </c>
      <c r="C558" s="32" t="s">
        <v>1322</v>
      </c>
      <c r="D558" s="34" t="s">
        <v>845</v>
      </c>
      <c r="E558" s="38" t="s">
        <v>1323</v>
      </c>
      <c r="F558" s="34" t="s">
        <v>140</v>
      </c>
      <c r="G558" s="34" t="s">
        <v>168</v>
      </c>
      <c r="H558" s="155">
        <v>42977.0</v>
      </c>
      <c r="I558" s="155">
        <v>42977.0</v>
      </c>
      <c r="J558" s="155"/>
      <c r="K558" s="32" t="s">
        <v>70</v>
      </c>
      <c r="L558" s="34" t="s">
        <v>115</v>
      </c>
      <c r="M558" s="32" t="s">
        <v>88</v>
      </c>
      <c r="N558" s="32" t="s">
        <v>89</v>
      </c>
      <c r="O558" s="32" t="s">
        <v>969</v>
      </c>
      <c r="P558" s="32" t="s">
        <v>2286</v>
      </c>
      <c r="Q558" s="32" t="s">
        <v>2875</v>
      </c>
      <c r="R558" s="155">
        <v>43342.0</v>
      </c>
      <c r="S558" s="32" t="s">
        <v>196</v>
      </c>
      <c r="T558" s="45" t="s">
        <v>1324</v>
      </c>
      <c r="U558" s="67" t="s">
        <v>3605</v>
      </c>
      <c r="V558" s="34" t="s">
        <v>80</v>
      </c>
      <c r="W558" s="32" t="s">
        <v>561</v>
      </c>
      <c r="X558" s="32" t="s">
        <v>1326</v>
      </c>
      <c r="Y558" s="109" t="s">
        <v>1327</v>
      </c>
      <c r="Z558" s="32" t="s">
        <v>112</v>
      </c>
      <c r="AA558" s="32"/>
      <c r="AB558" s="32" t="s">
        <v>113</v>
      </c>
      <c r="AC558" s="60"/>
      <c r="AD558" s="192"/>
      <c r="AE558" s="47"/>
      <c r="AF558" s="34" t="s">
        <v>80</v>
      </c>
      <c r="AG558" s="56" t="s">
        <v>1329</v>
      </c>
      <c r="AH558" s="47"/>
      <c r="AI558" s="58"/>
      <c r="AJ558" s="41"/>
      <c r="AK558" s="58">
        <v>41619.0</v>
      </c>
      <c r="AL558" s="56" t="s">
        <v>1043</v>
      </c>
    </row>
    <row r="559" ht="22.5" customHeight="1">
      <c r="A559" s="286" t="s">
        <v>3606</v>
      </c>
      <c r="B559" s="32" t="s">
        <v>901</v>
      </c>
      <c r="C559" s="32" t="s">
        <v>967</v>
      </c>
      <c r="D559" s="41" t="s">
        <v>584</v>
      </c>
      <c r="E559" s="250" t="s">
        <v>968</v>
      </c>
      <c r="F559" s="39" t="s">
        <v>93</v>
      </c>
      <c r="G559" s="39" t="s">
        <v>168</v>
      </c>
      <c r="H559" s="155">
        <v>42996.0</v>
      </c>
      <c r="I559" s="155">
        <v>42992.0</v>
      </c>
      <c r="J559" s="155">
        <v>42996.0</v>
      </c>
      <c r="K559" s="32" t="s">
        <v>70</v>
      </c>
      <c r="L559" s="34" t="s">
        <v>115</v>
      </c>
      <c r="M559" s="42" t="s">
        <v>313</v>
      </c>
      <c r="N559" s="38" t="s">
        <v>89</v>
      </c>
      <c r="O559" s="38" t="s">
        <v>1012</v>
      </c>
      <c r="P559" s="32"/>
      <c r="Q559" s="32" t="s">
        <v>1298</v>
      </c>
      <c r="R559" s="155"/>
      <c r="S559" s="32" t="s">
        <v>116</v>
      </c>
      <c r="T559" s="45" t="s">
        <v>1318</v>
      </c>
      <c r="U559" s="67" t="s">
        <v>3607</v>
      </c>
      <c r="V559" s="34" t="s">
        <v>80</v>
      </c>
      <c r="W559" s="60" t="s">
        <v>976</v>
      </c>
      <c r="X559" s="60" t="s">
        <v>977</v>
      </c>
      <c r="Y559" s="109" t="s">
        <v>906</v>
      </c>
      <c r="Z559" s="32" t="s">
        <v>112</v>
      </c>
      <c r="AA559" s="38"/>
      <c r="AB559" s="123" t="s">
        <v>113</v>
      </c>
      <c r="AC559" s="60"/>
      <c r="AD559" s="192"/>
      <c r="AE559" s="47"/>
      <c r="AF559" s="34" t="s">
        <v>80</v>
      </c>
      <c r="AG559" s="56" t="s">
        <v>911</v>
      </c>
      <c r="AH559" s="41"/>
      <c r="AI559" s="41"/>
      <c r="AJ559" s="41"/>
      <c r="AK559" s="58">
        <v>41368.0</v>
      </c>
      <c r="AL559" s="56" t="s">
        <v>1021</v>
      </c>
    </row>
    <row r="560" ht="22.5" customHeight="1">
      <c r="A560" s="286" t="s">
        <v>3608</v>
      </c>
      <c r="B560" s="32" t="s">
        <v>3454</v>
      </c>
      <c r="C560" s="32" t="s">
        <v>2109</v>
      </c>
      <c r="D560" s="41" t="s">
        <v>91</v>
      </c>
      <c r="E560" s="103" t="s">
        <v>2110</v>
      </c>
      <c r="F560" s="34" t="s">
        <v>93</v>
      </c>
      <c r="G560" s="34" t="s">
        <v>168</v>
      </c>
      <c r="H560" s="155">
        <v>42825.0</v>
      </c>
      <c r="I560" s="155">
        <v>42823.0</v>
      </c>
      <c r="J560" s="155">
        <v>42825.0</v>
      </c>
      <c r="K560" s="32" t="s">
        <v>86</v>
      </c>
      <c r="L560" s="34" t="s">
        <v>115</v>
      </c>
      <c r="M560" s="63" t="s">
        <v>218</v>
      </c>
      <c r="N560" s="32" t="s">
        <v>89</v>
      </c>
      <c r="O560" s="32" t="s">
        <v>1023</v>
      </c>
      <c r="P560" s="32" t="s">
        <v>3085</v>
      </c>
      <c r="Q560" s="32" t="s">
        <v>3086</v>
      </c>
      <c r="R560" s="155">
        <v>43010.0</v>
      </c>
      <c r="S560" s="32" t="s">
        <v>116</v>
      </c>
      <c r="T560" s="45" t="s">
        <v>2112</v>
      </c>
      <c r="U560" s="67" t="s">
        <v>3609</v>
      </c>
      <c r="V560" s="34" t="s">
        <v>80</v>
      </c>
      <c r="W560" s="60" t="s">
        <v>2114</v>
      </c>
      <c r="X560" s="60" t="s">
        <v>2115</v>
      </c>
      <c r="Y560" s="109" t="s">
        <v>2116</v>
      </c>
      <c r="Z560" s="32" t="s">
        <v>112</v>
      </c>
      <c r="AA560" s="32"/>
      <c r="AB560" s="123" t="s">
        <v>113</v>
      </c>
      <c r="AC560" s="60"/>
      <c r="AD560" s="261"/>
      <c r="AE560" s="47"/>
      <c r="AF560" s="34" t="s">
        <v>74</v>
      </c>
      <c r="AG560" s="56" t="s">
        <v>2120</v>
      </c>
      <c r="AH560" s="47"/>
      <c r="AI560" s="58"/>
      <c r="AJ560" s="41"/>
      <c r="AK560" s="58">
        <v>41689.0</v>
      </c>
      <c r="AL560" s="56" t="s">
        <v>1028</v>
      </c>
    </row>
    <row r="561" ht="22.5" customHeight="1">
      <c r="A561" s="286" t="s">
        <v>3610</v>
      </c>
      <c r="B561" s="30" t="s">
        <v>2673</v>
      </c>
      <c r="C561" s="32" t="s">
        <v>3611</v>
      </c>
      <c r="D561" s="34" t="s">
        <v>584</v>
      </c>
      <c r="E561" s="32" t="s">
        <v>3612</v>
      </c>
      <c r="F561" s="34" t="s">
        <v>93</v>
      </c>
      <c r="G561" s="34" t="s">
        <v>85</v>
      </c>
      <c r="H561" s="48">
        <v>43000.0</v>
      </c>
      <c r="I561" s="48">
        <v>42990.0</v>
      </c>
      <c r="J561" s="48">
        <v>43000.0</v>
      </c>
      <c r="K561" s="32" t="s">
        <v>70</v>
      </c>
      <c r="L561" s="34" t="s">
        <v>115</v>
      </c>
      <c r="M561" s="32" t="s">
        <v>218</v>
      </c>
      <c r="N561" s="32" t="s">
        <v>89</v>
      </c>
      <c r="O561" s="32" t="s">
        <v>116</v>
      </c>
      <c r="P561" s="38"/>
      <c r="Q561" s="38"/>
      <c r="R561" s="36"/>
      <c r="S561" s="32" t="s">
        <v>116</v>
      </c>
      <c r="T561" s="56" t="s">
        <v>3613</v>
      </c>
      <c r="U561" s="45" t="s">
        <v>3614</v>
      </c>
      <c r="V561" s="34" t="s">
        <v>74</v>
      </c>
      <c r="W561" s="32" t="s">
        <v>3615</v>
      </c>
      <c r="X561" s="32" t="s">
        <v>2680</v>
      </c>
      <c r="Y561" s="45" t="s">
        <v>3616</v>
      </c>
      <c r="Z561" s="32" t="s">
        <v>112</v>
      </c>
      <c r="AA561" s="47"/>
      <c r="AB561" s="32" t="s">
        <v>113</v>
      </c>
      <c r="AC561" s="32" t="s">
        <v>3617</v>
      </c>
      <c r="AD561" s="192">
        <v>43003.0</v>
      </c>
      <c r="AE561" s="53"/>
      <c r="AF561" s="180" t="s">
        <v>80</v>
      </c>
      <c r="AG561" s="56" t="s">
        <v>2683</v>
      </c>
      <c r="AH561" s="139" t="s">
        <v>947</v>
      </c>
      <c r="AI561" s="58"/>
      <c r="AJ561" s="58">
        <v>42754.0</v>
      </c>
      <c r="AK561" s="58">
        <v>42873.0</v>
      </c>
      <c r="AL561" s="63"/>
    </row>
    <row r="562" ht="22.5" customHeight="1">
      <c r="A562" s="286" t="s">
        <v>3618</v>
      </c>
      <c r="B562" s="30" t="s">
        <v>190</v>
      </c>
      <c r="C562" s="32" t="s">
        <v>3044</v>
      </c>
      <c r="D562" s="34" t="s">
        <v>752</v>
      </c>
      <c r="E562" s="57" t="s">
        <v>193</v>
      </c>
      <c r="F562" s="54" t="s">
        <v>93</v>
      </c>
      <c r="G562" s="54" t="s">
        <v>168</v>
      </c>
      <c r="H562" s="48">
        <v>42754.0</v>
      </c>
      <c r="I562" s="48">
        <v>42732.0</v>
      </c>
      <c r="J562" s="48">
        <v>42754.0</v>
      </c>
      <c r="K562" s="32" t="s">
        <v>70</v>
      </c>
      <c r="L562" s="34" t="s">
        <v>115</v>
      </c>
      <c r="M562" s="63" t="s">
        <v>88</v>
      </c>
      <c r="N562" s="32" t="s">
        <v>89</v>
      </c>
      <c r="O562" s="32" t="s">
        <v>954</v>
      </c>
      <c r="P562" s="32" t="s">
        <v>2512</v>
      </c>
      <c r="Q562" s="32" t="s">
        <v>3619</v>
      </c>
      <c r="R562" s="36"/>
      <c r="S562" s="57" t="s">
        <v>116</v>
      </c>
      <c r="T562" s="45" t="s">
        <v>198</v>
      </c>
      <c r="U562" s="45" t="s">
        <v>3620</v>
      </c>
      <c r="V562" s="54" t="s">
        <v>80</v>
      </c>
      <c r="W562" s="57" t="s">
        <v>201</v>
      </c>
      <c r="X562" s="57" t="s">
        <v>202</v>
      </c>
      <c r="Y562" s="67" t="s">
        <v>203</v>
      </c>
      <c r="Z562" s="32" t="s">
        <v>112</v>
      </c>
      <c r="AA562" s="47"/>
      <c r="AB562" s="60" t="s">
        <v>113</v>
      </c>
      <c r="AC562" s="32"/>
      <c r="AD562" s="192"/>
      <c r="AE562" s="53"/>
      <c r="AF562" s="54" t="s">
        <v>80</v>
      </c>
      <c r="AG562" s="56" t="s">
        <v>206</v>
      </c>
      <c r="AH562" s="57"/>
      <c r="AI562" s="58"/>
      <c r="AJ562" s="83"/>
      <c r="AK562" s="83">
        <v>41215.0</v>
      </c>
      <c r="AL562" s="56" t="s">
        <v>965</v>
      </c>
    </row>
    <row r="563" ht="22.5" customHeight="1">
      <c r="A563" s="286" t="s">
        <v>3621</v>
      </c>
      <c r="B563" s="30" t="s">
        <v>3238</v>
      </c>
      <c r="C563" s="57" t="s">
        <v>2376</v>
      </c>
      <c r="D563" s="142" t="s">
        <v>75</v>
      </c>
      <c r="E563" s="262" t="s">
        <v>2377</v>
      </c>
      <c r="F563" s="54" t="s">
        <v>140</v>
      </c>
      <c r="G563" s="34" t="s">
        <v>168</v>
      </c>
      <c r="H563" s="48">
        <v>43005.0</v>
      </c>
      <c r="I563" s="48">
        <v>43005.0</v>
      </c>
      <c r="J563" s="48">
        <v>43005.0</v>
      </c>
      <c r="K563" s="32" t="s">
        <v>70</v>
      </c>
      <c r="L563" s="54" t="s">
        <v>115</v>
      </c>
      <c r="M563" s="63" t="s">
        <v>313</v>
      </c>
      <c r="N563" s="32" t="s">
        <v>89</v>
      </c>
      <c r="O563" s="32" t="s">
        <v>969</v>
      </c>
      <c r="P563" s="32" t="s">
        <v>3622</v>
      </c>
      <c r="Q563" s="32" t="s">
        <v>3623</v>
      </c>
      <c r="R563" s="36"/>
      <c r="S563" s="32" t="s">
        <v>327</v>
      </c>
      <c r="T563" s="45" t="s">
        <v>2379</v>
      </c>
      <c r="U563" s="45" t="s">
        <v>3624</v>
      </c>
      <c r="V563" s="54" t="s">
        <v>80</v>
      </c>
      <c r="W563" s="57" t="s">
        <v>2381</v>
      </c>
      <c r="X563" s="57" t="s">
        <v>2382</v>
      </c>
      <c r="Y563" s="263" t="s">
        <v>2383</v>
      </c>
      <c r="Z563" s="32" t="s">
        <v>112</v>
      </c>
      <c r="AA563" s="47"/>
      <c r="AB563" s="57" t="s">
        <v>481</v>
      </c>
      <c r="AC563" s="32"/>
      <c r="AD563" s="261"/>
      <c r="AE563" s="53"/>
      <c r="AF563" s="54" t="s">
        <v>80</v>
      </c>
      <c r="AG563" s="56" t="s">
        <v>2384</v>
      </c>
      <c r="AH563" s="47"/>
      <c r="AI563" s="58"/>
      <c r="AJ563" s="83"/>
      <c r="AK563" s="83">
        <v>42627.0</v>
      </c>
      <c r="AL563" s="56" t="s">
        <v>1043</v>
      </c>
    </row>
    <row r="564" ht="22.5" customHeight="1">
      <c r="A564" s="286" t="s">
        <v>3625</v>
      </c>
      <c r="B564" s="30" t="s">
        <v>888</v>
      </c>
      <c r="C564" s="57" t="s">
        <v>889</v>
      </c>
      <c r="D564" s="34" t="s">
        <v>192</v>
      </c>
      <c r="E564" s="38" t="s">
        <v>892</v>
      </c>
      <c r="F564" s="41" t="s">
        <v>93</v>
      </c>
      <c r="G564" s="34" t="s">
        <v>85</v>
      </c>
      <c r="H564" s="48">
        <v>43003.0</v>
      </c>
      <c r="I564" s="48">
        <v>42990.0</v>
      </c>
      <c r="J564" s="48">
        <v>43003.0</v>
      </c>
      <c r="K564" s="32" t="s">
        <v>70</v>
      </c>
      <c r="L564" s="41" t="s">
        <v>115</v>
      </c>
      <c r="M564" s="42" t="s">
        <v>88</v>
      </c>
      <c r="N564" s="32" t="s">
        <v>89</v>
      </c>
      <c r="O564" s="50" t="s">
        <v>116</v>
      </c>
      <c r="P564" s="32"/>
      <c r="Q564" s="32" t="s">
        <v>117</v>
      </c>
      <c r="R564" s="34"/>
      <c r="S564" s="32" t="s">
        <v>116</v>
      </c>
      <c r="T564" s="56" t="s">
        <v>1950</v>
      </c>
      <c r="U564" s="45" t="s">
        <v>3626</v>
      </c>
      <c r="V564" s="34" t="s">
        <v>80</v>
      </c>
      <c r="W564" s="172" t="s">
        <v>897</v>
      </c>
      <c r="X564" s="111" t="s">
        <v>898</v>
      </c>
      <c r="Y564" s="109" t="s">
        <v>899</v>
      </c>
      <c r="Z564" s="32" t="s">
        <v>112</v>
      </c>
      <c r="AA564" s="47"/>
      <c r="AB564" s="149" t="s">
        <v>481</v>
      </c>
      <c r="AC564" s="68" t="s">
        <v>3627</v>
      </c>
      <c r="AD564" s="66">
        <v>42542.0</v>
      </c>
      <c r="AE564" s="53"/>
      <c r="AF564" s="34" t="s">
        <v>74</v>
      </c>
      <c r="AG564" s="56" t="s">
        <v>900</v>
      </c>
      <c r="AH564" s="177"/>
      <c r="AI564" s="41"/>
      <c r="AJ564" s="83"/>
      <c r="AK564" s="155">
        <v>41352.0</v>
      </c>
      <c r="AL564" s="63"/>
    </row>
    <row r="565" ht="22.5" customHeight="1">
      <c r="A565" s="286" t="s">
        <v>3628</v>
      </c>
      <c r="B565" s="30" t="s">
        <v>888</v>
      </c>
      <c r="C565" s="57" t="s">
        <v>2745</v>
      </c>
      <c r="D565" s="34" t="s">
        <v>192</v>
      </c>
      <c r="E565" s="32" t="s">
        <v>2746</v>
      </c>
      <c r="F565" s="34" t="s">
        <v>93</v>
      </c>
      <c r="G565" s="34" t="s">
        <v>85</v>
      </c>
      <c r="H565" s="48">
        <v>43003.0</v>
      </c>
      <c r="I565" s="48">
        <v>42990.0</v>
      </c>
      <c r="J565" s="48">
        <v>43003.0</v>
      </c>
      <c r="K565" s="32" t="s">
        <v>70</v>
      </c>
      <c r="L565" s="34" t="s">
        <v>115</v>
      </c>
      <c r="M565" s="63" t="s">
        <v>218</v>
      </c>
      <c r="N565" s="32" t="s">
        <v>434</v>
      </c>
      <c r="O565" s="32" t="s">
        <v>116</v>
      </c>
      <c r="P565" s="38"/>
      <c r="Q565" s="32" t="s">
        <v>117</v>
      </c>
      <c r="R565" s="34"/>
      <c r="S565" s="32" t="s">
        <v>116</v>
      </c>
      <c r="T565" s="56" t="s">
        <v>1931</v>
      </c>
      <c r="U565" s="45" t="s">
        <v>3629</v>
      </c>
      <c r="V565" s="34" t="s">
        <v>74</v>
      </c>
      <c r="W565" s="32" t="s">
        <v>897</v>
      </c>
      <c r="X565" s="109" t="s">
        <v>898</v>
      </c>
      <c r="Y565" s="109" t="s">
        <v>899</v>
      </c>
      <c r="Z565" s="32" t="s">
        <v>112</v>
      </c>
      <c r="AA565" s="32"/>
      <c r="AB565" s="32" t="s">
        <v>481</v>
      </c>
      <c r="AC565" s="60" t="s">
        <v>3630</v>
      </c>
      <c r="AD565" s="192">
        <v>42542.0</v>
      </c>
      <c r="AE565" s="53"/>
      <c r="AF565" s="34" t="s">
        <v>80</v>
      </c>
      <c r="AG565" s="56" t="s">
        <v>900</v>
      </c>
      <c r="AH565" s="47"/>
      <c r="AI565" s="58"/>
      <c r="AJ565" s="83"/>
      <c r="AK565" s="155">
        <v>42212.0</v>
      </c>
      <c r="AL565" s="63"/>
    </row>
    <row r="566" ht="22.5" customHeight="1">
      <c r="A566" s="286" t="s">
        <v>3631</v>
      </c>
      <c r="B566" s="30" t="s">
        <v>2401</v>
      </c>
      <c r="C566" s="57" t="s">
        <v>2402</v>
      </c>
      <c r="D566" s="41" t="s">
        <v>75</v>
      </c>
      <c r="E566" s="149" t="s">
        <v>2403</v>
      </c>
      <c r="F566" s="34" t="s">
        <v>140</v>
      </c>
      <c r="G566" s="34" t="s">
        <v>168</v>
      </c>
      <c r="H566" s="48">
        <v>43007.0</v>
      </c>
      <c r="I566" s="48">
        <v>42998.0</v>
      </c>
      <c r="J566" s="48">
        <v>43007.0</v>
      </c>
      <c r="K566" s="32" t="s">
        <v>70</v>
      </c>
      <c r="L566" s="41" t="s">
        <v>115</v>
      </c>
      <c r="M566" s="42" t="s">
        <v>88</v>
      </c>
      <c r="N566" s="38" t="s">
        <v>89</v>
      </c>
      <c r="O566" s="32" t="s">
        <v>196</v>
      </c>
      <c r="P566" s="32" t="s">
        <v>1837</v>
      </c>
      <c r="Q566" s="32" t="s">
        <v>2434</v>
      </c>
      <c r="R566" s="34"/>
      <c r="S566" s="32" t="s">
        <v>142</v>
      </c>
      <c r="T566" s="56" t="s">
        <v>2404</v>
      </c>
      <c r="U566" s="45" t="s">
        <v>3632</v>
      </c>
      <c r="V566" s="34" t="s">
        <v>74</v>
      </c>
      <c r="W566" s="149" t="s">
        <v>2406</v>
      </c>
      <c r="X566" s="198" t="s">
        <v>2407</v>
      </c>
      <c r="Y566" s="152" t="s">
        <v>2408</v>
      </c>
      <c r="Z566" s="32" t="s">
        <v>112</v>
      </c>
      <c r="AA566" s="32"/>
      <c r="AB566" s="60" t="s">
        <v>389</v>
      </c>
      <c r="AC566" s="60"/>
      <c r="AD566" s="192"/>
      <c r="AE566" s="53"/>
      <c r="AF566" s="34" t="s">
        <v>80</v>
      </c>
      <c r="AG566" s="56" t="s">
        <v>2409</v>
      </c>
      <c r="AH566" s="47"/>
      <c r="AI566" s="58"/>
      <c r="AJ566" s="266"/>
      <c r="AK566" s="132">
        <v>42012.0</v>
      </c>
      <c r="AL566" s="56" t="s">
        <v>208</v>
      </c>
    </row>
    <row r="567" ht="22.5" customHeight="1">
      <c r="A567" s="286" t="s">
        <v>3633</v>
      </c>
      <c r="B567" s="30" t="s">
        <v>2257</v>
      </c>
      <c r="C567" s="32" t="s">
        <v>2258</v>
      </c>
      <c r="D567" s="34" t="s">
        <v>584</v>
      </c>
      <c r="E567" s="103" t="s">
        <v>2259</v>
      </c>
      <c r="F567" s="41" t="s">
        <v>140</v>
      </c>
      <c r="G567" s="34" t="s">
        <v>168</v>
      </c>
      <c r="H567" s="48">
        <v>43004.0</v>
      </c>
      <c r="I567" s="48">
        <v>43004.0</v>
      </c>
      <c r="J567" s="48">
        <v>43004.0</v>
      </c>
      <c r="K567" s="32" t="s">
        <v>86</v>
      </c>
      <c r="L567" s="41" t="s">
        <v>115</v>
      </c>
      <c r="M567" s="32" t="s">
        <v>313</v>
      </c>
      <c r="N567" s="32" t="s">
        <v>89</v>
      </c>
      <c r="O567" s="32" t="s">
        <v>402</v>
      </c>
      <c r="P567" s="32"/>
      <c r="Q567" s="57" t="s">
        <v>3364</v>
      </c>
      <c r="R567" s="58">
        <v>43369.0</v>
      </c>
      <c r="S567" s="32" t="s">
        <v>402</v>
      </c>
      <c r="T567" s="56" t="s">
        <v>2260</v>
      </c>
      <c r="U567" s="45" t="s">
        <v>3634</v>
      </c>
      <c r="V567" s="34" t="s">
        <v>80</v>
      </c>
      <c r="W567" s="149" t="s">
        <v>2261</v>
      </c>
      <c r="X567" s="198" t="s">
        <v>2515</v>
      </c>
      <c r="Y567" s="45" t="s">
        <v>2263</v>
      </c>
      <c r="Z567" s="32" t="s">
        <v>112</v>
      </c>
      <c r="AA567" s="32"/>
      <c r="AB567" s="32" t="s">
        <v>113</v>
      </c>
      <c r="AC567" s="60"/>
      <c r="AD567" s="192"/>
      <c r="AE567" s="53"/>
      <c r="AF567" s="272" t="s">
        <v>80</v>
      </c>
      <c r="AG567" s="56" t="s">
        <v>2265</v>
      </c>
      <c r="AH567" s="41"/>
      <c r="AI567" s="41"/>
      <c r="AJ567" s="41"/>
      <c r="AK567" s="155">
        <v>41963.0</v>
      </c>
      <c r="AL567" s="56" t="s">
        <v>1033</v>
      </c>
    </row>
    <row r="568" ht="22.5" customHeight="1">
      <c r="A568" s="286" t="s">
        <v>3635</v>
      </c>
      <c r="B568" s="30" t="s">
        <v>2157</v>
      </c>
      <c r="C568" s="63" t="s">
        <v>2158</v>
      </c>
      <c r="D568" s="34" t="s">
        <v>2159</v>
      </c>
      <c r="E568" s="201" t="s">
        <v>2160</v>
      </c>
      <c r="F568" s="39" t="s">
        <v>140</v>
      </c>
      <c r="G568" s="34" t="s">
        <v>168</v>
      </c>
      <c r="H568" s="48">
        <v>42976.0</v>
      </c>
      <c r="I568" s="48">
        <v>42976.0</v>
      </c>
      <c r="J568" s="48"/>
      <c r="K568" s="32" t="s">
        <v>86</v>
      </c>
      <c r="L568" s="34" t="s">
        <v>115</v>
      </c>
      <c r="M568" s="32" t="s">
        <v>313</v>
      </c>
      <c r="N568" s="38" t="s">
        <v>89</v>
      </c>
      <c r="O568" s="32" t="s">
        <v>3636</v>
      </c>
      <c r="P568" s="32"/>
      <c r="Q568" s="57" t="s">
        <v>3637</v>
      </c>
      <c r="R568" s="58"/>
      <c r="S568" s="121" t="s">
        <v>1901</v>
      </c>
      <c r="T568" s="56" t="s">
        <v>2164</v>
      </c>
      <c r="U568" s="45" t="s">
        <v>3638</v>
      </c>
      <c r="V568" s="34" t="s">
        <v>74</v>
      </c>
      <c r="W568" s="63" t="s">
        <v>2166</v>
      </c>
      <c r="X568" s="63" t="s">
        <v>2167</v>
      </c>
      <c r="Y568" s="56" t="s">
        <v>2169</v>
      </c>
      <c r="Z568" s="32" t="s">
        <v>112</v>
      </c>
      <c r="AA568" s="32"/>
      <c r="AB568" s="60" t="s">
        <v>113</v>
      </c>
      <c r="AC568" s="60"/>
      <c r="AD568" s="192"/>
      <c r="AE568" s="53"/>
      <c r="AF568" s="34" t="s">
        <v>74</v>
      </c>
      <c r="AG568" s="56" t="s">
        <v>2171</v>
      </c>
      <c r="AH568" s="63"/>
      <c r="AI568" s="41"/>
      <c r="AJ568" s="41"/>
      <c r="AK568" s="58">
        <v>42209.0</v>
      </c>
      <c r="AL568" s="56" t="s">
        <v>3639</v>
      </c>
    </row>
    <row r="569" ht="22.5" customHeight="1">
      <c r="A569" s="286" t="s">
        <v>3640</v>
      </c>
      <c r="B569" s="30" t="s">
        <v>1856</v>
      </c>
      <c r="C569" s="32" t="s">
        <v>1857</v>
      </c>
      <c r="D569" s="41" t="s">
        <v>91</v>
      </c>
      <c r="E569" s="103" t="s">
        <v>1858</v>
      </c>
      <c r="F569" s="34" t="s">
        <v>93</v>
      </c>
      <c r="G569" s="34" t="s">
        <v>168</v>
      </c>
      <c r="H569" s="48">
        <v>42683.0</v>
      </c>
      <c r="I569" s="48">
        <v>42682.0</v>
      </c>
      <c r="J569" s="48">
        <v>42683.0</v>
      </c>
      <c r="K569" s="32" t="s">
        <v>70</v>
      </c>
      <c r="L569" s="41" t="s">
        <v>115</v>
      </c>
      <c r="M569" s="60" t="s">
        <v>313</v>
      </c>
      <c r="N569" s="38" t="s">
        <v>89</v>
      </c>
      <c r="O569" s="32" t="s">
        <v>1798</v>
      </c>
      <c r="P569" s="32"/>
      <c r="Q569" s="57" t="s">
        <v>1799</v>
      </c>
      <c r="R569" s="58">
        <v>43777.0</v>
      </c>
      <c r="S569" s="32" t="s">
        <v>116</v>
      </c>
      <c r="T569" s="203" t="s">
        <v>1862</v>
      </c>
      <c r="U569" s="45" t="s">
        <v>3641</v>
      </c>
      <c r="V569" s="34" t="s">
        <v>80</v>
      </c>
      <c r="W569" s="60" t="s">
        <v>1866</v>
      </c>
      <c r="X569" s="60" t="s">
        <v>1868</v>
      </c>
      <c r="Y569" s="109" t="s">
        <v>1869</v>
      </c>
      <c r="Z569" s="32" t="s">
        <v>112</v>
      </c>
      <c r="AA569" s="32"/>
      <c r="AB569" s="60" t="s">
        <v>113</v>
      </c>
      <c r="AC569" s="60"/>
      <c r="AD569" s="192"/>
      <c r="AE569" s="53"/>
      <c r="AF569" s="34" t="s">
        <v>80</v>
      </c>
      <c r="AG569" s="56" t="s">
        <v>1872</v>
      </c>
      <c r="AH569" s="34"/>
      <c r="AI569" s="41"/>
      <c r="AJ569" s="41"/>
      <c r="AK569" s="58">
        <v>41703.0</v>
      </c>
      <c r="AL569" s="56" t="s">
        <v>1813</v>
      </c>
    </row>
    <row r="570" ht="22.5" customHeight="1">
      <c r="A570" s="286" t="s">
        <v>3642</v>
      </c>
      <c r="B570" s="30" t="s">
        <v>1321</v>
      </c>
      <c r="C570" s="32" t="s">
        <v>1322</v>
      </c>
      <c r="D570" s="34" t="s">
        <v>845</v>
      </c>
      <c r="E570" s="38" t="s">
        <v>1323</v>
      </c>
      <c r="F570" s="34" t="s">
        <v>140</v>
      </c>
      <c r="G570" s="34" t="s">
        <v>168</v>
      </c>
      <c r="H570" s="48">
        <v>42711.0</v>
      </c>
      <c r="I570" s="48">
        <v>42711.0</v>
      </c>
      <c r="J570" s="48"/>
      <c r="K570" s="32" t="s">
        <v>70</v>
      </c>
      <c r="L570" s="34" t="s">
        <v>115</v>
      </c>
      <c r="M570" s="32" t="s">
        <v>88</v>
      </c>
      <c r="N570" s="32" t="s">
        <v>89</v>
      </c>
      <c r="O570" s="32" t="s">
        <v>954</v>
      </c>
      <c r="P570" s="32" t="s">
        <v>1283</v>
      </c>
      <c r="Q570" s="57" t="s">
        <v>1284</v>
      </c>
      <c r="R570" s="58"/>
      <c r="S570" s="32" t="s">
        <v>196</v>
      </c>
      <c r="T570" s="45" t="s">
        <v>1324</v>
      </c>
      <c r="U570" s="45" t="s">
        <v>3643</v>
      </c>
      <c r="V570" s="34" t="s">
        <v>80</v>
      </c>
      <c r="W570" s="32" t="s">
        <v>561</v>
      </c>
      <c r="X570" s="32" t="s">
        <v>1326</v>
      </c>
      <c r="Y570" s="109" t="s">
        <v>1327</v>
      </c>
      <c r="Z570" s="32" t="s">
        <v>112</v>
      </c>
      <c r="AA570" s="32"/>
      <c r="AB570" s="32" t="s">
        <v>113</v>
      </c>
      <c r="AC570" s="60"/>
      <c r="AD570" s="192"/>
      <c r="AE570" s="53"/>
      <c r="AF570" s="34" t="s">
        <v>80</v>
      </c>
      <c r="AG570" s="56" t="s">
        <v>1329</v>
      </c>
      <c r="AH570" s="47"/>
      <c r="AI570" s="58"/>
      <c r="AJ570" s="41"/>
      <c r="AK570" s="58">
        <v>41619.0</v>
      </c>
      <c r="AL570" s="56" t="s">
        <v>965</v>
      </c>
    </row>
    <row r="571" ht="22.5" customHeight="1">
      <c r="A571" s="286" t="s">
        <v>3644</v>
      </c>
      <c r="B571" s="30" t="s">
        <v>888</v>
      </c>
      <c r="C571" s="32" t="s">
        <v>2745</v>
      </c>
      <c r="D571" s="34" t="s">
        <v>752</v>
      </c>
      <c r="E571" s="32" t="s">
        <v>2746</v>
      </c>
      <c r="F571" s="34" t="s">
        <v>93</v>
      </c>
      <c r="G571" s="34" t="s">
        <v>168</v>
      </c>
      <c r="H571" s="48">
        <v>42971.0</v>
      </c>
      <c r="I571" s="48"/>
      <c r="J571" s="48">
        <v>42971.0</v>
      </c>
      <c r="K571" s="32" t="s">
        <v>70</v>
      </c>
      <c r="L571" s="34" t="s">
        <v>115</v>
      </c>
      <c r="M571" s="63" t="s">
        <v>218</v>
      </c>
      <c r="N571" s="32" t="s">
        <v>434</v>
      </c>
      <c r="O571" s="32" t="s">
        <v>969</v>
      </c>
      <c r="P571" s="32" t="s">
        <v>3622</v>
      </c>
      <c r="Q571" s="57" t="s">
        <v>3623</v>
      </c>
      <c r="R571" s="58">
        <v>44067.0</v>
      </c>
      <c r="S571" s="32" t="s">
        <v>116</v>
      </c>
      <c r="T571" s="56" t="s">
        <v>1931</v>
      </c>
      <c r="U571" s="45" t="s">
        <v>3645</v>
      </c>
      <c r="V571" s="34" t="s">
        <v>80</v>
      </c>
      <c r="W571" s="32" t="s">
        <v>897</v>
      </c>
      <c r="X571" s="109" t="s">
        <v>898</v>
      </c>
      <c r="Y571" s="109" t="s">
        <v>899</v>
      </c>
      <c r="Z571" s="32" t="s">
        <v>112</v>
      </c>
      <c r="AA571" s="32"/>
      <c r="AB571" s="32" t="s">
        <v>481</v>
      </c>
      <c r="AC571" s="60"/>
      <c r="AD571" s="192"/>
      <c r="AE571" s="53"/>
      <c r="AF571" s="34" t="s">
        <v>80</v>
      </c>
      <c r="AG571" s="56" t="s">
        <v>900</v>
      </c>
      <c r="AH571" s="47"/>
      <c r="AI571" s="58"/>
      <c r="AJ571" s="41"/>
      <c r="AK571" s="155">
        <v>42212.0</v>
      </c>
      <c r="AL571" s="56" t="s">
        <v>1043</v>
      </c>
    </row>
    <row r="572" ht="22.5" customHeight="1">
      <c r="A572" s="286" t="s">
        <v>3646</v>
      </c>
      <c r="B572" s="30" t="s">
        <v>355</v>
      </c>
      <c r="C572" s="32" t="s">
        <v>1345</v>
      </c>
      <c r="D572" s="34" t="s">
        <v>75</v>
      </c>
      <c r="E572" s="38" t="s">
        <v>1346</v>
      </c>
      <c r="F572" s="34" t="s">
        <v>140</v>
      </c>
      <c r="G572" s="34" t="s">
        <v>168</v>
      </c>
      <c r="H572" s="48">
        <v>42701.0</v>
      </c>
      <c r="I572" s="48">
        <v>42699.0</v>
      </c>
      <c r="J572" s="48">
        <v>42701.0</v>
      </c>
      <c r="K572" s="32" t="s">
        <v>86</v>
      </c>
      <c r="L572" s="41" t="s">
        <v>115</v>
      </c>
      <c r="M572" s="42" t="s">
        <v>313</v>
      </c>
      <c r="N572" s="38" t="s">
        <v>89</v>
      </c>
      <c r="O572" s="32" t="s">
        <v>954</v>
      </c>
      <c r="P572" s="32" t="s">
        <v>2512</v>
      </c>
      <c r="Q572" s="57" t="s">
        <v>3619</v>
      </c>
      <c r="R572" s="58">
        <v>43066.0</v>
      </c>
      <c r="S572" s="32" t="s">
        <v>402</v>
      </c>
      <c r="T572" s="56" t="s">
        <v>1349</v>
      </c>
      <c r="U572" s="45" t="s">
        <v>3647</v>
      </c>
      <c r="V572" s="34" t="s">
        <v>80</v>
      </c>
      <c r="W572" s="32" t="s">
        <v>1351</v>
      </c>
      <c r="X572" s="149" t="s">
        <v>1352</v>
      </c>
      <c r="Y572" s="152" t="s">
        <v>1353</v>
      </c>
      <c r="Z572" s="32" t="s">
        <v>112</v>
      </c>
      <c r="AA572" s="68"/>
      <c r="AB572" s="32" t="s">
        <v>113</v>
      </c>
      <c r="AC572" s="68"/>
      <c r="AD572" s="192"/>
      <c r="AE572" s="53"/>
      <c r="AF572" s="34" t="s">
        <v>80</v>
      </c>
      <c r="AG572" s="56" t="s">
        <v>1355</v>
      </c>
      <c r="AH572" s="41"/>
      <c r="AI572" s="41"/>
      <c r="AJ572" s="41"/>
      <c r="AK572" s="58">
        <v>41770.0</v>
      </c>
      <c r="AL572" s="56" t="s">
        <v>965</v>
      </c>
    </row>
    <row r="573" ht="22.5" customHeight="1">
      <c r="A573" s="286" t="s">
        <v>3648</v>
      </c>
      <c r="B573" s="30" t="s">
        <v>888</v>
      </c>
      <c r="C573" s="32" t="s">
        <v>889</v>
      </c>
      <c r="D573" s="34" t="s">
        <v>752</v>
      </c>
      <c r="E573" s="38" t="s">
        <v>892</v>
      </c>
      <c r="F573" s="41" t="s">
        <v>93</v>
      </c>
      <c r="G573" s="34" t="s">
        <v>168</v>
      </c>
      <c r="H573" s="48">
        <v>42949.0</v>
      </c>
      <c r="I573" s="48">
        <v>42901.0</v>
      </c>
      <c r="J573" s="48">
        <v>42949.0</v>
      </c>
      <c r="K573" s="32" t="s">
        <v>86</v>
      </c>
      <c r="L573" s="41" t="s">
        <v>115</v>
      </c>
      <c r="M573" s="42" t="s">
        <v>88</v>
      </c>
      <c r="N573" s="38" t="s">
        <v>89</v>
      </c>
      <c r="O573" s="32" t="s">
        <v>954</v>
      </c>
      <c r="P573" s="32" t="s">
        <v>2512</v>
      </c>
      <c r="Q573" s="57" t="s">
        <v>3619</v>
      </c>
      <c r="R573" s="58">
        <v>43319.0</v>
      </c>
      <c r="S573" s="32" t="s">
        <v>116</v>
      </c>
      <c r="T573" s="56" t="s">
        <v>1950</v>
      </c>
      <c r="U573" s="45" t="s">
        <v>3649</v>
      </c>
      <c r="V573" s="34" t="s">
        <v>80</v>
      </c>
      <c r="W573" s="172" t="s">
        <v>897</v>
      </c>
      <c r="X573" s="111" t="s">
        <v>898</v>
      </c>
      <c r="Y573" s="109" t="s">
        <v>899</v>
      </c>
      <c r="Z573" s="32" t="s">
        <v>112</v>
      </c>
      <c r="AA573" s="68"/>
      <c r="AB573" s="149" t="s">
        <v>481</v>
      </c>
      <c r="AC573" s="68"/>
      <c r="AD573" s="192"/>
      <c r="AE573" s="53"/>
      <c r="AF573" s="34" t="s">
        <v>74</v>
      </c>
      <c r="AG573" s="56" t="s">
        <v>900</v>
      </c>
      <c r="AH573" s="177"/>
      <c r="AI573" s="41"/>
      <c r="AJ573" s="83"/>
      <c r="AK573" s="155">
        <v>41352.0</v>
      </c>
      <c r="AL573" s="56" t="s">
        <v>965</v>
      </c>
    </row>
    <row r="574" ht="22.5" customHeight="1">
      <c r="A574" s="286" t="s">
        <v>3650</v>
      </c>
      <c r="B574" s="30" t="s">
        <v>888</v>
      </c>
      <c r="C574" s="149" t="s">
        <v>1281</v>
      </c>
      <c r="D574" s="41" t="s">
        <v>75</v>
      </c>
      <c r="E574" s="38" t="s">
        <v>1282</v>
      </c>
      <c r="F574" s="34" t="s">
        <v>140</v>
      </c>
      <c r="G574" s="34" t="s">
        <v>168</v>
      </c>
      <c r="H574" s="48">
        <v>42949.0</v>
      </c>
      <c r="I574" s="48">
        <v>42901.0</v>
      </c>
      <c r="J574" s="48">
        <v>42949.0</v>
      </c>
      <c r="K574" s="32" t="s">
        <v>86</v>
      </c>
      <c r="L574" s="41" t="s">
        <v>115</v>
      </c>
      <c r="M574" s="32" t="s">
        <v>88</v>
      </c>
      <c r="N574" s="38" t="s">
        <v>89</v>
      </c>
      <c r="O574" s="32" t="s">
        <v>954</v>
      </c>
      <c r="P574" s="32" t="s">
        <v>2512</v>
      </c>
      <c r="Q574" s="57" t="s">
        <v>3619</v>
      </c>
      <c r="R574" s="58">
        <v>43319.0</v>
      </c>
      <c r="S574" s="32" t="s">
        <v>196</v>
      </c>
      <c r="T574" s="45" t="s">
        <v>1285</v>
      </c>
      <c r="U574" s="45" t="s">
        <v>3651</v>
      </c>
      <c r="V574" s="34" t="s">
        <v>80</v>
      </c>
      <c r="W574" s="32" t="s">
        <v>561</v>
      </c>
      <c r="X574" s="60" t="s">
        <v>1287</v>
      </c>
      <c r="Y574" s="45" t="s">
        <v>1288</v>
      </c>
      <c r="Z574" s="32" t="s">
        <v>112</v>
      </c>
      <c r="AA574" s="68"/>
      <c r="AB574" s="32" t="s">
        <v>113</v>
      </c>
      <c r="AC574" s="68"/>
      <c r="AD574" s="192"/>
      <c r="AE574" s="53"/>
      <c r="AF574" s="34" t="s">
        <v>74</v>
      </c>
      <c r="AG574" s="56" t="s">
        <v>900</v>
      </c>
      <c r="AH574" s="41"/>
      <c r="AI574" s="41"/>
      <c r="AJ574" s="41"/>
      <c r="AK574" s="290">
        <v>41770.0</v>
      </c>
      <c r="AL574" s="56" t="s">
        <v>965</v>
      </c>
    </row>
    <row r="575" ht="22.5" customHeight="1">
      <c r="A575" s="286" t="s">
        <v>3652</v>
      </c>
      <c r="B575" s="57" t="s">
        <v>843</v>
      </c>
      <c r="C575" s="57" t="s">
        <v>844</v>
      </c>
      <c r="D575" s="34" t="s">
        <v>845</v>
      </c>
      <c r="E575" s="38" t="s">
        <v>846</v>
      </c>
      <c r="F575" s="34" t="s">
        <v>140</v>
      </c>
      <c r="G575" s="34" t="s">
        <v>168</v>
      </c>
      <c r="H575" s="155">
        <v>42947.0</v>
      </c>
      <c r="I575" s="155">
        <v>42929.0</v>
      </c>
      <c r="J575" s="155">
        <v>42947.0</v>
      </c>
      <c r="K575" s="32" t="s">
        <v>86</v>
      </c>
      <c r="L575" s="41" t="s">
        <v>115</v>
      </c>
      <c r="M575" s="42" t="s">
        <v>88</v>
      </c>
      <c r="N575" s="38" t="s">
        <v>89</v>
      </c>
      <c r="O575" s="32" t="s">
        <v>954</v>
      </c>
      <c r="P575" s="57" t="s">
        <v>2512</v>
      </c>
      <c r="Q575" s="57" t="s">
        <v>3619</v>
      </c>
      <c r="R575" s="155">
        <v>43306.0</v>
      </c>
      <c r="S575" s="32" t="s">
        <v>220</v>
      </c>
      <c r="T575" s="45" t="s">
        <v>855</v>
      </c>
      <c r="U575" s="67" t="s">
        <v>3653</v>
      </c>
      <c r="V575" s="34" t="s">
        <v>80</v>
      </c>
      <c r="W575" s="32" t="s">
        <v>561</v>
      </c>
      <c r="X575" s="32" t="s">
        <v>561</v>
      </c>
      <c r="Y575" s="45" t="s">
        <v>859</v>
      </c>
      <c r="Z575" s="32" t="s">
        <v>112</v>
      </c>
      <c r="AA575" s="32"/>
      <c r="AB575" s="60" t="s">
        <v>860</v>
      </c>
      <c r="AC575" s="60"/>
      <c r="AD575" s="261"/>
      <c r="AE575" s="57"/>
      <c r="AF575" s="34" t="s">
        <v>74</v>
      </c>
      <c r="AG575" s="56" t="s">
        <v>865</v>
      </c>
      <c r="AH575" s="41"/>
      <c r="AI575" s="41"/>
      <c r="AJ575" s="58">
        <v>41779.0</v>
      </c>
      <c r="AK575" s="58">
        <v>41612.0</v>
      </c>
      <c r="AL575" s="56" t="s">
        <v>965</v>
      </c>
    </row>
    <row r="576" ht="22.5" customHeight="1">
      <c r="A576" s="286" t="s">
        <v>3654</v>
      </c>
      <c r="B576" s="57" t="s">
        <v>843</v>
      </c>
      <c r="C576" s="57" t="s">
        <v>844</v>
      </c>
      <c r="D576" s="34" t="s">
        <v>845</v>
      </c>
      <c r="E576" s="38" t="s">
        <v>846</v>
      </c>
      <c r="F576" s="34" t="s">
        <v>140</v>
      </c>
      <c r="G576" s="34" t="s">
        <v>168</v>
      </c>
      <c r="H576" s="155">
        <v>42886.0</v>
      </c>
      <c r="I576" s="155">
        <v>42856.0</v>
      </c>
      <c r="J576" s="155">
        <v>42886.0</v>
      </c>
      <c r="K576" s="32" t="s">
        <v>86</v>
      </c>
      <c r="L576" s="41" t="s">
        <v>115</v>
      </c>
      <c r="M576" s="42" t="s">
        <v>88</v>
      </c>
      <c r="N576" s="38" t="s">
        <v>89</v>
      </c>
      <c r="O576" s="32" t="s">
        <v>954</v>
      </c>
      <c r="P576" s="57" t="s">
        <v>2512</v>
      </c>
      <c r="Q576" s="57" t="s">
        <v>3619</v>
      </c>
      <c r="R576" s="155">
        <v>43243.0</v>
      </c>
      <c r="S576" s="32" t="s">
        <v>220</v>
      </c>
      <c r="T576" s="45" t="s">
        <v>855</v>
      </c>
      <c r="U576" s="67" t="s">
        <v>3655</v>
      </c>
      <c r="V576" s="34" t="s">
        <v>80</v>
      </c>
      <c r="W576" s="32" t="s">
        <v>561</v>
      </c>
      <c r="X576" s="32" t="s">
        <v>561</v>
      </c>
      <c r="Y576" s="45" t="s">
        <v>859</v>
      </c>
      <c r="Z576" s="32" t="s">
        <v>112</v>
      </c>
      <c r="AA576" s="32"/>
      <c r="AB576" s="60" t="s">
        <v>860</v>
      </c>
      <c r="AC576" s="60"/>
      <c r="AD576" s="261"/>
      <c r="AE576" s="57"/>
      <c r="AF576" s="34" t="s">
        <v>74</v>
      </c>
      <c r="AG576" s="56" t="s">
        <v>865</v>
      </c>
      <c r="AH576" s="41"/>
      <c r="AI576" s="41"/>
      <c r="AJ576" s="58">
        <v>41779.0</v>
      </c>
      <c r="AK576" s="58">
        <v>41612.0</v>
      </c>
      <c r="AL576" s="56" t="s">
        <v>965</v>
      </c>
    </row>
    <row r="577" ht="22.5" customHeight="1">
      <c r="A577" s="286" t="s">
        <v>3656</v>
      </c>
      <c r="B577" s="57" t="s">
        <v>190</v>
      </c>
      <c r="C577" s="32" t="s">
        <v>3044</v>
      </c>
      <c r="D577" s="34" t="s">
        <v>752</v>
      </c>
      <c r="E577" s="57" t="s">
        <v>193</v>
      </c>
      <c r="F577" s="54" t="s">
        <v>93</v>
      </c>
      <c r="G577" s="54" t="s">
        <v>168</v>
      </c>
      <c r="H577" s="155">
        <v>42922.0</v>
      </c>
      <c r="I577" s="155">
        <v>42922.0</v>
      </c>
      <c r="J577" s="155">
        <v>42922.0</v>
      </c>
      <c r="K577" s="32" t="s">
        <v>70</v>
      </c>
      <c r="L577" s="34" t="s">
        <v>115</v>
      </c>
      <c r="M577" s="63" t="s">
        <v>88</v>
      </c>
      <c r="N577" s="32" t="s">
        <v>89</v>
      </c>
      <c r="O577" s="32" t="s">
        <v>1908</v>
      </c>
      <c r="P577" s="57"/>
      <c r="Q577" s="57" t="s">
        <v>3657</v>
      </c>
      <c r="R577" s="155"/>
      <c r="S577" s="57" t="s">
        <v>116</v>
      </c>
      <c r="T577" s="45" t="s">
        <v>198</v>
      </c>
      <c r="U577" s="67" t="s">
        <v>3658</v>
      </c>
      <c r="V577" s="54" t="s">
        <v>80</v>
      </c>
      <c r="W577" s="57" t="s">
        <v>201</v>
      </c>
      <c r="X577" s="57" t="s">
        <v>202</v>
      </c>
      <c r="Y577" s="67" t="s">
        <v>203</v>
      </c>
      <c r="Z577" s="32" t="s">
        <v>112</v>
      </c>
      <c r="AA577" s="47"/>
      <c r="AB577" s="60" t="s">
        <v>113</v>
      </c>
      <c r="AC577" s="32"/>
      <c r="AD577" s="261"/>
      <c r="AE577" s="57"/>
      <c r="AF577" s="54" t="s">
        <v>80</v>
      </c>
      <c r="AG577" s="56" t="s">
        <v>206</v>
      </c>
      <c r="AH577" s="57"/>
      <c r="AI577" s="58"/>
      <c r="AJ577" s="83"/>
      <c r="AK577" s="83">
        <v>41215.0</v>
      </c>
      <c r="AL577" s="56" t="s">
        <v>2432</v>
      </c>
    </row>
    <row r="578" ht="22.5" customHeight="1">
      <c r="A578" s="286" t="s">
        <v>3659</v>
      </c>
      <c r="B578" s="57" t="s">
        <v>987</v>
      </c>
      <c r="C578" s="32" t="s">
        <v>988</v>
      </c>
      <c r="D578" s="54" t="s">
        <v>75</v>
      </c>
      <c r="E578" s="57" t="s">
        <v>990</v>
      </c>
      <c r="F578" s="54" t="s">
        <v>93</v>
      </c>
      <c r="G578" s="54" t="s">
        <v>168</v>
      </c>
      <c r="H578" s="155">
        <v>42698.0</v>
      </c>
      <c r="I578" s="155">
        <v>42675.0</v>
      </c>
      <c r="J578" s="155">
        <v>42698.0</v>
      </c>
      <c r="K578" s="32" t="s">
        <v>70</v>
      </c>
      <c r="L578" s="34" t="s">
        <v>115</v>
      </c>
      <c r="M578" s="63" t="s">
        <v>218</v>
      </c>
      <c r="N578" s="32" t="s">
        <v>89</v>
      </c>
      <c r="O578" s="32" t="s">
        <v>196</v>
      </c>
      <c r="P578" s="57" t="s">
        <v>1397</v>
      </c>
      <c r="Q578" s="57" t="s">
        <v>3660</v>
      </c>
      <c r="R578" s="155">
        <v>43749.0</v>
      </c>
      <c r="S578" s="32" t="s">
        <v>116</v>
      </c>
      <c r="T578" s="45" t="s">
        <v>997</v>
      </c>
      <c r="U578" s="67" t="s">
        <v>3661</v>
      </c>
      <c r="V578" s="54" t="s">
        <v>80</v>
      </c>
      <c r="W578" s="57" t="s">
        <v>1001</v>
      </c>
      <c r="X578" s="57" t="s">
        <v>1002</v>
      </c>
      <c r="Y578" s="67" t="s">
        <v>1003</v>
      </c>
      <c r="Z578" s="32" t="s">
        <v>112</v>
      </c>
      <c r="AA578" s="47"/>
      <c r="AB578" s="60" t="s">
        <v>113</v>
      </c>
      <c r="AC578" s="32"/>
      <c r="AD578" s="261"/>
      <c r="AE578" s="57"/>
      <c r="AF578" s="54" t="s">
        <v>80</v>
      </c>
      <c r="AG578" s="56" t="s">
        <v>1005</v>
      </c>
      <c r="AH578" s="57"/>
      <c r="AI578" s="58"/>
      <c r="AJ578" s="83"/>
      <c r="AK578" s="83">
        <v>41736.0</v>
      </c>
      <c r="AL578" s="56" t="s">
        <v>208</v>
      </c>
    </row>
    <row r="579" ht="22.5" customHeight="1">
      <c r="A579" s="286" t="s">
        <v>3662</v>
      </c>
      <c r="B579" s="57" t="s">
        <v>1393</v>
      </c>
      <c r="C579" s="32" t="s">
        <v>1429</v>
      </c>
      <c r="D579" s="41" t="s">
        <v>75</v>
      </c>
      <c r="E579" s="121" t="s">
        <v>1430</v>
      </c>
      <c r="F579" s="34" t="s">
        <v>140</v>
      </c>
      <c r="G579" s="54" t="s">
        <v>168</v>
      </c>
      <c r="H579" s="155">
        <v>42719.0</v>
      </c>
      <c r="I579" s="155">
        <v>42716.0</v>
      </c>
      <c r="J579" s="155">
        <v>42719.0</v>
      </c>
      <c r="K579" s="32" t="s">
        <v>70</v>
      </c>
      <c r="L579" s="41" t="s">
        <v>115</v>
      </c>
      <c r="M579" s="63" t="s">
        <v>218</v>
      </c>
      <c r="N579" s="38" t="s">
        <v>89</v>
      </c>
      <c r="O579" s="32" t="s">
        <v>989</v>
      </c>
      <c r="P579" s="57"/>
      <c r="Q579" s="57" t="s">
        <v>2709</v>
      </c>
      <c r="R579" s="155"/>
      <c r="S579" s="32" t="s">
        <v>196</v>
      </c>
      <c r="T579" s="56" t="s">
        <v>1431</v>
      </c>
      <c r="U579" s="67" t="s">
        <v>3663</v>
      </c>
      <c r="V579" s="34" t="s">
        <v>80</v>
      </c>
      <c r="W579" s="60" t="s">
        <v>1401</v>
      </c>
      <c r="X579" s="149" t="s">
        <v>1402</v>
      </c>
      <c r="Y579" s="109" t="s">
        <v>1403</v>
      </c>
      <c r="Z579" s="32" t="s">
        <v>112</v>
      </c>
      <c r="AA579" s="32"/>
      <c r="AB579" s="32" t="s">
        <v>113</v>
      </c>
      <c r="AC579" s="32"/>
      <c r="AD579" s="261"/>
      <c r="AE579" s="57"/>
      <c r="AF579" s="34" t="s">
        <v>80</v>
      </c>
      <c r="AG579" s="56" t="s">
        <v>1407</v>
      </c>
      <c r="AH579" s="57"/>
      <c r="AI579" s="41"/>
      <c r="AJ579" s="41"/>
      <c r="AK579" s="58">
        <v>42307.0</v>
      </c>
      <c r="AL579" s="56" t="s">
        <v>1004</v>
      </c>
    </row>
    <row r="580" ht="22.5" customHeight="1">
      <c r="A580" s="286" t="s">
        <v>3664</v>
      </c>
      <c r="B580" s="57" t="s">
        <v>888</v>
      </c>
      <c r="C580" s="32" t="s">
        <v>889</v>
      </c>
      <c r="D580" s="34" t="s">
        <v>752</v>
      </c>
      <c r="E580" s="38" t="s">
        <v>892</v>
      </c>
      <c r="F580" s="41" t="s">
        <v>93</v>
      </c>
      <c r="G580" s="34" t="s">
        <v>168</v>
      </c>
      <c r="H580" s="155">
        <v>42950.0</v>
      </c>
      <c r="I580" s="155">
        <v>42940.0</v>
      </c>
      <c r="J580" s="155">
        <v>42950.0</v>
      </c>
      <c r="K580" s="32" t="s">
        <v>70</v>
      </c>
      <c r="L580" s="41" t="s">
        <v>115</v>
      </c>
      <c r="M580" s="42" t="s">
        <v>88</v>
      </c>
      <c r="N580" s="38" t="s">
        <v>89</v>
      </c>
      <c r="O580" s="32" t="s">
        <v>989</v>
      </c>
      <c r="P580" s="57"/>
      <c r="Q580" s="57" t="s">
        <v>2709</v>
      </c>
      <c r="R580" s="155"/>
      <c r="S580" s="32" t="s">
        <v>116</v>
      </c>
      <c r="T580" s="56" t="s">
        <v>1950</v>
      </c>
      <c r="U580" s="67" t="s">
        <v>3665</v>
      </c>
      <c r="V580" s="34" t="s">
        <v>80</v>
      </c>
      <c r="W580" s="172" t="s">
        <v>897</v>
      </c>
      <c r="X580" s="111" t="s">
        <v>898</v>
      </c>
      <c r="Y580" s="109" t="s">
        <v>899</v>
      </c>
      <c r="Z580" s="32" t="s">
        <v>112</v>
      </c>
      <c r="AA580" s="68"/>
      <c r="AB580" s="149" t="s">
        <v>481</v>
      </c>
      <c r="AC580" s="68"/>
      <c r="AD580" s="192"/>
      <c r="AE580" s="57"/>
      <c r="AF580" s="34" t="s">
        <v>80</v>
      </c>
      <c r="AG580" s="56" t="s">
        <v>900</v>
      </c>
      <c r="AH580" s="177"/>
      <c r="AI580" s="41"/>
      <c r="AJ580" s="83"/>
      <c r="AK580" s="155">
        <v>41352.0</v>
      </c>
      <c r="AL580" s="56" t="s">
        <v>1004</v>
      </c>
    </row>
    <row r="581" ht="22.5" customHeight="1">
      <c r="A581" s="286" t="s">
        <v>3666</v>
      </c>
      <c r="B581" s="57" t="s">
        <v>2844</v>
      </c>
      <c r="C581" s="149" t="s">
        <v>2845</v>
      </c>
      <c r="D581" s="41" t="s">
        <v>75</v>
      </c>
      <c r="E581" s="60" t="s">
        <v>2846</v>
      </c>
      <c r="F581" s="41" t="s">
        <v>140</v>
      </c>
      <c r="G581" s="34" t="s">
        <v>168</v>
      </c>
      <c r="H581" s="155">
        <v>42929.0</v>
      </c>
      <c r="I581" s="155"/>
      <c r="J581" s="155">
        <v>42929.0</v>
      </c>
      <c r="K581" s="32" t="s">
        <v>70</v>
      </c>
      <c r="L581" s="41" t="s">
        <v>115</v>
      </c>
      <c r="M581" s="32" t="s">
        <v>313</v>
      </c>
      <c r="N581" s="32" t="s">
        <v>89</v>
      </c>
      <c r="O581" s="32" t="s">
        <v>850</v>
      </c>
      <c r="P581" s="57" t="s">
        <v>1496</v>
      </c>
      <c r="Q581" s="57" t="s">
        <v>3539</v>
      </c>
      <c r="R581" s="155">
        <v>43863.0</v>
      </c>
      <c r="S581" s="32" t="s">
        <v>402</v>
      </c>
      <c r="T581" s="56" t="s">
        <v>2260</v>
      </c>
      <c r="U581" s="67" t="s">
        <v>3667</v>
      </c>
      <c r="V581" s="34" t="s">
        <v>80</v>
      </c>
      <c r="W581" s="149" t="s">
        <v>2261</v>
      </c>
      <c r="X581" s="198" t="s">
        <v>2515</v>
      </c>
      <c r="Y581" s="45" t="s">
        <v>2263</v>
      </c>
      <c r="Z581" s="32" t="s">
        <v>112</v>
      </c>
      <c r="AA581" s="32"/>
      <c r="AB581" s="32" t="s">
        <v>113</v>
      </c>
      <c r="AC581" s="68"/>
      <c r="AD581" s="192"/>
      <c r="AE581" s="57"/>
      <c r="AF581" s="34" t="s">
        <v>80</v>
      </c>
      <c r="AG581" s="56" t="s">
        <v>2850</v>
      </c>
      <c r="AH581" s="63"/>
      <c r="AI581" s="41"/>
      <c r="AJ581" s="41"/>
      <c r="AK581" s="155">
        <v>41963.0</v>
      </c>
      <c r="AL581" s="56" t="s">
        <v>870</v>
      </c>
    </row>
    <row r="582" ht="22.5" customHeight="1">
      <c r="A582" s="286" t="s">
        <v>3668</v>
      </c>
      <c r="B582" s="57" t="s">
        <v>355</v>
      </c>
      <c r="C582" s="32" t="s">
        <v>1345</v>
      </c>
      <c r="D582" s="34" t="s">
        <v>75</v>
      </c>
      <c r="E582" s="38" t="s">
        <v>1346</v>
      </c>
      <c r="F582" s="34" t="s">
        <v>140</v>
      </c>
      <c r="G582" s="34" t="s">
        <v>168</v>
      </c>
      <c r="H582" s="155">
        <v>42783.0</v>
      </c>
      <c r="I582" s="155">
        <v>42783.0</v>
      </c>
      <c r="J582" s="155"/>
      <c r="K582" s="32" t="s">
        <v>70</v>
      </c>
      <c r="L582" s="41" t="s">
        <v>115</v>
      </c>
      <c r="M582" s="42" t="s">
        <v>313</v>
      </c>
      <c r="N582" s="38" t="s">
        <v>89</v>
      </c>
      <c r="O582" s="32" t="s">
        <v>954</v>
      </c>
      <c r="P582" s="57" t="s">
        <v>1283</v>
      </c>
      <c r="Q582" s="57" t="s">
        <v>1284</v>
      </c>
      <c r="R582" s="155"/>
      <c r="S582" s="32" t="s">
        <v>402</v>
      </c>
      <c r="T582" s="56" t="s">
        <v>1349</v>
      </c>
      <c r="U582" s="67" t="s">
        <v>3669</v>
      </c>
      <c r="V582" s="34" t="s">
        <v>80</v>
      </c>
      <c r="W582" s="32" t="s">
        <v>1351</v>
      </c>
      <c r="X582" s="149" t="s">
        <v>1352</v>
      </c>
      <c r="Y582" s="152" t="s">
        <v>1353</v>
      </c>
      <c r="Z582" s="32" t="s">
        <v>112</v>
      </c>
      <c r="AA582" s="68"/>
      <c r="AB582" s="32" t="s">
        <v>113</v>
      </c>
      <c r="AC582" s="68"/>
      <c r="AD582" s="192"/>
      <c r="AE582" s="57"/>
      <c r="AF582" s="34" t="s">
        <v>80</v>
      </c>
      <c r="AG582" s="56" t="s">
        <v>1355</v>
      </c>
      <c r="AH582" s="41"/>
      <c r="AI582" s="41"/>
      <c r="AJ582" s="41"/>
      <c r="AK582" s="58">
        <v>41770.0</v>
      </c>
      <c r="AL582" s="56" t="s">
        <v>965</v>
      </c>
    </row>
    <row r="583" ht="22.5" customHeight="1">
      <c r="A583" s="286" t="s">
        <v>3670</v>
      </c>
      <c r="B583" s="57" t="s">
        <v>2401</v>
      </c>
      <c r="C583" s="149" t="s">
        <v>2402</v>
      </c>
      <c r="D583" s="41" t="s">
        <v>75</v>
      </c>
      <c r="E583" s="149" t="s">
        <v>2403</v>
      </c>
      <c r="F583" s="34" t="s">
        <v>140</v>
      </c>
      <c r="G583" s="34" t="s">
        <v>168</v>
      </c>
      <c r="H583" s="155">
        <v>42783.0</v>
      </c>
      <c r="I583" s="155">
        <v>42783.0</v>
      </c>
      <c r="J583" s="155"/>
      <c r="K583" s="32" t="s">
        <v>70</v>
      </c>
      <c r="L583" s="41" t="s">
        <v>115</v>
      </c>
      <c r="M583" s="42" t="s">
        <v>88</v>
      </c>
      <c r="N583" s="38" t="s">
        <v>89</v>
      </c>
      <c r="O583" s="32" t="s">
        <v>954</v>
      </c>
      <c r="P583" s="57" t="s">
        <v>1283</v>
      </c>
      <c r="Q583" s="57" t="s">
        <v>1284</v>
      </c>
      <c r="R583" s="155"/>
      <c r="S583" s="32" t="s">
        <v>142</v>
      </c>
      <c r="T583" s="56" t="s">
        <v>2404</v>
      </c>
      <c r="U583" s="67" t="s">
        <v>3671</v>
      </c>
      <c r="V583" s="34" t="s">
        <v>80</v>
      </c>
      <c r="W583" s="149" t="s">
        <v>2406</v>
      </c>
      <c r="X583" s="198" t="s">
        <v>2407</v>
      </c>
      <c r="Y583" s="152" t="s">
        <v>2408</v>
      </c>
      <c r="Z583" s="32" t="s">
        <v>112</v>
      </c>
      <c r="AA583" s="32"/>
      <c r="AB583" s="60" t="s">
        <v>389</v>
      </c>
      <c r="AC583" s="68"/>
      <c r="AD583" s="192"/>
      <c r="AE583" s="57"/>
      <c r="AF583" s="34" t="s">
        <v>80</v>
      </c>
      <c r="AG583" s="56" t="s">
        <v>2409</v>
      </c>
      <c r="AH583" s="63"/>
      <c r="AI583" s="41"/>
      <c r="AJ583" s="41"/>
      <c r="AK583" s="132">
        <v>42012.0</v>
      </c>
      <c r="AL583" s="56" t="s">
        <v>965</v>
      </c>
    </row>
    <row r="584" ht="22.5" customHeight="1">
      <c r="A584" s="286" t="s">
        <v>3672</v>
      </c>
      <c r="B584" s="57" t="s">
        <v>888</v>
      </c>
      <c r="C584" s="149" t="s">
        <v>3555</v>
      </c>
      <c r="D584" s="41" t="s">
        <v>75</v>
      </c>
      <c r="E584" s="38" t="s">
        <v>1282</v>
      </c>
      <c r="F584" s="34" t="s">
        <v>140</v>
      </c>
      <c r="G584" s="34" t="s">
        <v>168</v>
      </c>
      <c r="H584" s="155">
        <v>43000.0</v>
      </c>
      <c r="I584" s="155">
        <v>43000.0</v>
      </c>
      <c r="J584" s="155">
        <v>43000.0</v>
      </c>
      <c r="K584" s="32" t="s">
        <v>70</v>
      </c>
      <c r="L584" s="41" t="s">
        <v>115</v>
      </c>
      <c r="M584" s="32" t="s">
        <v>88</v>
      </c>
      <c r="N584" s="38" t="s">
        <v>89</v>
      </c>
      <c r="O584" s="32" t="s">
        <v>2125</v>
      </c>
      <c r="P584" s="57"/>
      <c r="Q584" s="57" t="s">
        <v>2371</v>
      </c>
      <c r="R584" s="155"/>
      <c r="S584" s="32" t="s">
        <v>196</v>
      </c>
      <c r="T584" s="45" t="s">
        <v>1285</v>
      </c>
      <c r="U584" s="67" t="s">
        <v>3673</v>
      </c>
      <c r="V584" s="34" t="s">
        <v>74</v>
      </c>
      <c r="W584" s="32" t="s">
        <v>561</v>
      </c>
      <c r="X584" s="60" t="s">
        <v>1287</v>
      </c>
      <c r="Y584" s="45" t="s">
        <v>1288</v>
      </c>
      <c r="Z584" s="32" t="s">
        <v>112</v>
      </c>
      <c r="AA584" s="38"/>
      <c r="AB584" s="32" t="s">
        <v>113</v>
      </c>
      <c r="AC584" s="60"/>
      <c r="AD584" s="192"/>
      <c r="AE584" s="57"/>
      <c r="AF584" s="180" t="s">
        <v>80</v>
      </c>
      <c r="AG584" s="56" t="s">
        <v>900</v>
      </c>
      <c r="AH584" s="47"/>
      <c r="AI584" s="58"/>
      <c r="AJ584" s="77"/>
      <c r="AK584" s="155">
        <v>41770.0</v>
      </c>
      <c r="AL584" s="56" t="s">
        <v>2373</v>
      </c>
    </row>
    <row r="585" ht="22.5" customHeight="1">
      <c r="A585" s="286" t="s">
        <v>3674</v>
      </c>
      <c r="B585" s="57" t="s">
        <v>843</v>
      </c>
      <c r="C585" s="149" t="s">
        <v>844</v>
      </c>
      <c r="D585" s="34" t="s">
        <v>845</v>
      </c>
      <c r="E585" s="38" t="s">
        <v>846</v>
      </c>
      <c r="F585" s="34" t="s">
        <v>140</v>
      </c>
      <c r="G585" s="34" t="s">
        <v>168</v>
      </c>
      <c r="H585" s="155">
        <v>43005.0</v>
      </c>
      <c r="I585" s="155"/>
      <c r="J585" s="155">
        <v>43005.0</v>
      </c>
      <c r="K585" s="32" t="s">
        <v>70</v>
      </c>
      <c r="L585" s="41" t="s">
        <v>115</v>
      </c>
      <c r="M585" s="42" t="s">
        <v>88</v>
      </c>
      <c r="N585" s="38" t="s">
        <v>89</v>
      </c>
      <c r="O585" s="32" t="s">
        <v>1023</v>
      </c>
      <c r="P585" s="32" t="s">
        <v>1277</v>
      </c>
      <c r="Q585" s="57" t="s">
        <v>3675</v>
      </c>
      <c r="R585" s="155">
        <v>43006.0</v>
      </c>
      <c r="S585" s="32" t="s">
        <v>220</v>
      </c>
      <c r="T585" s="45" t="s">
        <v>855</v>
      </c>
      <c r="U585" s="67" t="s">
        <v>3676</v>
      </c>
      <c r="V585" s="34" t="s">
        <v>80</v>
      </c>
      <c r="W585" s="32" t="s">
        <v>561</v>
      </c>
      <c r="X585" s="32" t="s">
        <v>561</v>
      </c>
      <c r="Y585" s="45" t="s">
        <v>859</v>
      </c>
      <c r="Z585" s="32" t="s">
        <v>112</v>
      </c>
      <c r="AA585" s="38"/>
      <c r="AB585" s="60" t="s">
        <v>860</v>
      </c>
      <c r="AC585" s="60"/>
      <c r="AD585" s="192"/>
      <c r="AE585" s="57"/>
      <c r="AF585" s="34" t="s">
        <v>80</v>
      </c>
      <c r="AG585" s="56" t="s">
        <v>865</v>
      </c>
      <c r="AH585" s="41"/>
      <c r="AI585" s="41"/>
      <c r="AJ585" s="58">
        <v>41779.0</v>
      </c>
      <c r="AK585" s="58">
        <v>41612.0</v>
      </c>
      <c r="AL585" s="56" t="s">
        <v>1028</v>
      </c>
    </row>
    <row r="586" ht="22.5" customHeight="1">
      <c r="A586" s="286" t="s">
        <v>3677</v>
      </c>
      <c r="B586" s="57" t="s">
        <v>987</v>
      </c>
      <c r="C586" s="149" t="s">
        <v>988</v>
      </c>
      <c r="D586" s="54" t="s">
        <v>75</v>
      </c>
      <c r="E586" s="57" t="s">
        <v>990</v>
      </c>
      <c r="F586" s="54" t="s">
        <v>93</v>
      </c>
      <c r="G586" s="54" t="s">
        <v>168</v>
      </c>
      <c r="H586" s="155">
        <v>42761.0</v>
      </c>
      <c r="I586" s="155">
        <v>42713.0</v>
      </c>
      <c r="J586" s="155">
        <v>42761.0</v>
      </c>
      <c r="K586" s="32" t="s">
        <v>86</v>
      </c>
      <c r="L586" s="34" t="s">
        <v>115</v>
      </c>
      <c r="M586" s="63" t="s">
        <v>218</v>
      </c>
      <c r="N586" s="32" t="s">
        <v>89</v>
      </c>
      <c r="O586" s="32" t="s">
        <v>1418</v>
      </c>
      <c r="P586" s="32"/>
      <c r="Q586" s="57" t="s">
        <v>3141</v>
      </c>
      <c r="R586" s="155">
        <v>43100.0</v>
      </c>
      <c r="S586" s="32" t="s">
        <v>116</v>
      </c>
      <c r="T586" s="45" t="s">
        <v>997</v>
      </c>
      <c r="U586" s="67" t="s">
        <v>3678</v>
      </c>
      <c r="V586" s="54" t="s">
        <v>80</v>
      </c>
      <c r="W586" s="57" t="s">
        <v>1001</v>
      </c>
      <c r="X586" s="57" t="s">
        <v>1002</v>
      </c>
      <c r="Y586" s="67" t="s">
        <v>1003</v>
      </c>
      <c r="Z586" s="32" t="s">
        <v>112</v>
      </c>
      <c r="AA586" s="47"/>
      <c r="AB586" s="60" t="s">
        <v>113</v>
      </c>
      <c r="AC586" s="32"/>
      <c r="AD586" s="192"/>
      <c r="AE586" s="57"/>
      <c r="AF586" s="54" t="s">
        <v>80</v>
      </c>
      <c r="AG586" s="56" t="s">
        <v>1005</v>
      </c>
      <c r="AH586" s="57"/>
      <c r="AI586" s="58"/>
      <c r="AJ586" s="83"/>
      <c r="AK586" s="83">
        <v>41736.0</v>
      </c>
      <c r="AL586" s="56" t="s">
        <v>2952</v>
      </c>
    </row>
    <row r="587" ht="22.5" customHeight="1">
      <c r="A587" s="286" t="s">
        <v>3679</v>
      </c>
      <c r="B587" s="57" t="s">
        <v>190</v>
      </c>
      <c r="C587" s="149" t="s">
        <v>211</v>
      </c>
      <c r="D587" s="34" t="s">
        <v>752</v>
      </c>
      <c r="E587" s="32" t="s">
        <v>947</v>
      </c>
      <c r="F587" s="34" t="s">
        <v>93</v>
      </c>
      <c r="G587" s="34" t="s">
        <v>168</v>
      </c>
      <c r="H587" s="155">
        <v>42991.0</v>
      </c>
      <c r="I587" s="155"/>
      <c r="J587" s="155">
        <v>42991.0</v>
      </c>
      <c r="K587" s="32" t="s">
        <v>70</v>
      </c>
      <c r="L587" s="41" t="s">
        <v>115</v>
      </c>
      <c r="M587" s="63" t="s">
        <v>218</v>
      </c>
      <c r="N587" s="32" t="s">
        <v>434</v>
      </c>
      <c r="O587" s="32" t="s">
        <v>327</v>
      </c>
      <c r="P587" s="32" t="s">
        <v>328</v>
      </c>
      <c r="Q587" s="57" t="s">
        <v>2302</v>
      </c>
      <c r="R587" s="155"/>
      <c r="S587" s="32" t="s">
        <v>116</v>
      </c>
      <c r="T587" s="56" t="s">
        <v>248</v>
      </c>
      <c r="U587" s="67" t="s">
        <v>3680</v>
      </c>
      <c r="V587" s="34" t="s">
        <v>80</v>
      </c>
      <c r="W587" s="32" t="s">
        <v>201</v>
      </c>
      <c r="X587" s="32" t="s">
        <v>202</v>
      </c>
      <c r="Y587" s="45" t="s">
        <v>203</v>
      </c>
      <c r="Z587" s="32" t="s">
        <v>112</v>
      </c>
      <c r="AA587" s="68"/>
      <c r="AB587" s="32" t="s">
        <v>113</v>
      </c>
      <c r="AC587" s="60"/>
      <c r="AD587" s="192"/>
      <c r="AE587" s="57"/>
      <c r="AF587" s="34" t="s">
        <v>80</v>
      </c>
      <c r="AG587" s="56" t="s">
        <v>206</v>
      </c>
      <c r="AH587" s="266"/>
      <c r="AI587" s="266"/>
      <c r="AJ587" s="266"/>
      <c r="AK587" s="58">
        <v>42212.0</v>
      </c>
      <c r="AL587" s="56" t="s">
        <v>375</v>
      </c>
    </row>
    <row r="588" ht="22.5" customHeight="1">
      <c r="A588" s="286" t="s">
        <v>3681</v>
      </c>
      <c r="B588" s="57" t="s">
        <v>1251</v>
      </c>
      <c r="C588" s="149" t="s">
        <v>1252</v>
      </c>
      <c r="D588" s="41" t="s">
        <v>91</v>
      </c>
      <c r="E588" s="38" t="s">
        <v>1253</v>
      </c>
      <c r="F588" s="34" t="s">
        <v>93</v>
      </c>
      <c r="G588" s="34" t="s">
        <v>168</v>
      </c>
      <c r="H588" s="155">
        <v>42968.0</v>
      </c>
      <c r="I588" s="155">
        <v>42968.0</v>
      </c>
      <c r="J588" s="155">
        <v>42968.0</v>
      </c>
      <c r="K588" s="32" t="s">
        <v>70</v>
      </c>
      <c r="L588" s="34" t="s">
        <v>115</v>
      </c>
      <c r="M588" s="63" t="s">
        <v>218</v>
      </c>
      <c r="N588" s="32" t="s">
        <v>89</v>
      </c>
      <c r="O588" s="32" t="s">
        <v>175</v>
      </c>
      <c r="P588" s="57" t="s">
        <v>3682</v>
      </c>
      <c r="Q588" s="57" t="s">
        <v>3683</v>
      </c>
      <c r="R588" s="155">
        <v>44064.0</v>
      </c>
      <c r="S588" s="32" t="s">
        <v>116</v>
      </c>
      <c r="T588" s="45" t="s">
        <v>1256</v>
      </c>
      <c r="U588" s="67" t="s">
        <v>3684</v>
      </c>
      <c r="V588" s="34" t="s">
        <v>80</v>
      </c>
      <c r="W588" s="60" t="s">
        <v>1261</v>
      </c>
      <c r="X588" s="32" t="s">
        <v>1262</v>
      </c>
      <c r="Y588" s="109" t="s">
        <v>1263</v>
      </c>
      <c r="Z588" s="32" t="s">
        <v>112</v>
      </c>
      <c r="AA588" s="68"/>
      <c r="AB588" s="32" t="s">
        <v>113</v>
      </c>
      <c r="AC588" s="60"/>
      <c r="AD588" s="192"/>
      <c r="AE588" s="57"/>
      <c r="AF588" s="180" t="s">
        <v>80</v>
      </c>
      <c r="AG588" s="56" t="s">
        <v>1269</v>
      </c>
      <c r="AH588" s="266"/>
      <c r="AI588" s="266"/>
      <c r="AJ588" s="266"/>
      <c r="AK588" s="58">
        <v>41162.0</v>
      </c>
      <c r="AL588" s="56" t="s">
        <v>188</v>
      </c>
    </row>
    <row r="589" ht="22.5" customHeight="1">
      <c r="A589" s="286" t="s">
        <v>3685</v>
      </c>
      <c r="B589" s="57" t="s">
        <v>2044</v>
      </c>
      <c r="C589" s="149" t="s">
        <v>2045</v>
      </c>
      <c r="D589" s="54" t="s">
        <v>91</v>
      </c>
      <c r="E589" s="57" t="s">
        <v>2046</v>
      </c>
      <c r="F589" s="34" t="s">
        <v>93</v>
      </c>
      <c r="G589" s="34" t="s">
        <v>168</v>
      </c>
      <c r="H589" s="155">
        <v>42968.0</v>
      </c>
      <c r="I589" s="155">
        <v>42968.0</v>
      </c>
      <c r="J589" s="155">
        <v>42968.0</v>
      </c>
      <c r="K589" s="32" t="s">
        <v>70</v>
      </c>
      <c r="L589" s="34" t="s">
        <v>115</v>
      </c>
      <c r="M589" s="63" t="s">
        <v>313</v>
      </c>
      <c r="N589" s="32" t="s">
        <v>89</v>
      </c>
      <c r="O589" s="32" t="s">
        <v>175</v>
      </c>
      <c r="P589" s="57" t="s">
        <v>3682</v>
      </c>
      <c r="Q589" s="57" t="s">
        <v>3683</v>
      </c>
      <c r="R589" s="155">
        <v>44064.0</v>
      </c>
      <c r="S589" s="32" t="s">
        <v>116</v>
      </c>
      <c r="T589" s="45" t="s">
        <v>2796</v>
      </c>
      <c r="U589" s="67" t="s">
        <v>3686</v>
      </c>
      <c r="V589" s="34" t="s">
        <v>80</v>
      </c>
      <c r="W589" s="57" t="s">
        <v>2798</v>
      </c>
      <c r="X589" s="57" t="s">
        <v>2052</v>
      </c>
      <c r="Y589" s="67" t="s">
        <v>2053</v>
      </c>
      <c r="Z589" s="32" t="s">
        <v>112</v>
      </c>
      <c r="AA589" s="47"/>
      <c r="AB589" s="123" t="s">
        <v>113</v>
      </c>
      <c r="AC589" s="60"/>
      <c r="AD589" s="261"/>
      <c r="AE589" s="57"/>
      <c r="AF589" s="54" t="s">
        <v>80</v>
      </c>
      <c r="AG589" s="56" t="s">
        <v>2054</v>
      </c>
      <c r="AH589" s="47"/>
      <c r="AI589" s="58"/>
      <c r="AJ589" s="41"/>
      <c r="AK589" s="83">
        <v>42047.0</v>
      </c>
      <c r="AL589" s="56" t="s">
        <v>188</v>
      </c>
    </row>
    <row r="590" ht="22.5" customHeight="1">
      <c r="A590" s="286" t="s">
        <v>3687</v>
      </c>
      <c r="B590" s="60" t="s">
        <v>1795</v>
      </c>
      <c r="C590" s="32" t="s">
        <v>1796</v>
      </c>
      <c r="D590" s="34" t="s">
        <v>75</v>
      </c>
      <c r="E590" s="38" t="s">
        <v>1797</v>
      </c>
      <c r="F590" s="34" t="s">
        <v>140</v>
      </c>
      <c r="G590" s="34" t="s">
        <v>168</v>
      </c>
      <c r="H590" s="155">
        <v>43007.0</v>
      </c>
      <c r="I590" s="155"/>
      <c r="J590" s="155">
        <v>43007.0</v>
      </c>
      <c r="K590" s="32" t="s">
        <v>70</v>
      </c>
      <c r="L590" s="41" t="s">
        <v>115</v>
      </c>
      <c r="M590" s="42" t="s">
        <v>88</v>
      </c>
      <c r="N590" s="38" t="s">
        <v>89</v>
      </c>
      <c r="O590" s="32" t="s">
        <v>327</v>
      </c>
      <c r="P590" s="32" t="s">
        <v>328</v>
      </c>
      <c r="Q590" s="57" t="s">
        <v>3688</v>
      </c>
      <c r="R590" s="155"/>
      <c r="S590" s="32" t="s">
        <v>1798</v>
      </c>
      <c r="T590" s="45" t="s">
        <v>1800</v>
      </c>
      <c r="U590" s="67" t="s">
        <v>3689</v>
      </c>
      <c r="V590" s="34" t="s">
        <v>80</v>
      </c>
      <c r="W590" s="60" t="s">
        <v>1804</v>
      </c>
      <c r="X590" s="60" t="s">
        <v>2622</v>
      </c>
      <c r="Y590" s="109" t="s">
        <v>1806</v>
      </c>
      <c r="Z590" s="32" t="s">
        <v>112</v>
      </c>
      <c r="AA590" s="47"/>
      <c r="AB590" s="123" t="s">
        <v>113</v>
      </c>
      <c r="AC590" s="60"/>
      <c r="AD590" s="192"/>
      <c r="AE590" s="57"/>
      <c r="AF590" s="34" t="s">
        <v>80</v>
      </c>
      <c r="AG590" s="56" t="s">
        <v>1810</v>
      </c>
      <c r="AH590" s="47"/>
      <c r="AI590" s="58"/>
      <c r="AJ590" s="41"/>
      <c r="AK590" s="58">
        <v>41925.0</v>
      </c>
      <c r="AL590" s="56" t="s">
        <v>375</v>
      </c>
    </row>
    <row r="591" ht="22.5" customHeight="1">
      <c r="A591" s="286" t="s">
        <v>3690</v>
      </c>
      <c r="B591" s="57" t="s">
        <v>2844</v>
      </c>
      <c r="C591" s="149" t="s">
        <v>2845</v>
      </c>
      <c r="D591" s="41" t="s">
        <v>75</v>
      </c>
      <c r="E591" s="60" t="s">
        <v>2846</v>
      </c>
      <c r="F591" s="41" t="s">
        <v>140</v>
      </c>
      <c r="G591" s="34" t="s">
        <v>168</v>
      </c>
      <c r="H591" s="155">
        <v>42676.0</v>
      </c>
      <c r="I591" s="155">
        <v>42676.0</v>
      </c>
      <c r="J591" s="155">
        <v>42676.0</v>
      </c>
      <c r="K591" s="32" t="s">
        <v>70</v>
      </c>
      <c r="L591" s="41" t="s">
        <v>115</v>
      </c>
      <c r="M591" s="32" t="s">
        <v>313</v>
      </c>
      <c r="N591" s="32" t="s">
        <v>89</v>
      </c>
      <c r="O591" s="32" t="s">
        <v>954</v>
      </c>
      <c r="P591" s="32" t="s">
        <v>955</v>
      </c>
      <c r="Q591" s="57" t="s">
        <v>3205</v>
      </c>
      <c r="R591" s="155"/>
      <c r="S591" s="32" t="s">
        <v>402</v>
      </c>
      <c r="T591" s="56" t="s">
        <v>2260</v>
      </c>
      <c r="U591" s="67" t="s">
        <v>3691</v>
      </c>
      <c r="V591" s="34" t="s">
        <v>80</v>
      </c>
      <c r="W591" s="149" t="s">
        <v>2261</v>
      </c>
      <c r="X591" s="198" t="s">
        <v>2515</v>
      </c>
      <c r="Y591" s="45" t="s">
        <v>2263</v>
      </c>
      <c r="Z591" s="32" t="s">
        <v>112</v>
      </c>
      <c r="AA591" s="47"/>
      <c r="AB591" s="32" t="s">
        <v>113</v>
      </c>
      <c r="AC591" s="60"/>
      <c r="AD591" s="192"/>
      <c r="AE591" s="57"/>
      <c r="AF591" s="34" t="s">
        <v>80</v>
      </c>
      <c r="AG591" s="56" t="s">
        <v>2850</v>
      </c>
      <c r="AH591" s="47"/>
      <c r="AI591" s="58"/>
      <c r="AJ591" s="41"/>
      <c r="AK591" s="155">
        <v>41963.0</v>
      </c>
      <c r="AL591" s="56" t="s">
        <v>965</v>
      </c>
    </row>
    <row r="592" ht="22.5" customHeight="1">
      <c r="A592" s="286" t="s">
        <v>3692</v>
      </c>
      <c r="B592" s="57" t="s">
        <v>987</v>
      </c>
      <c r="C592" s="149" t="s">
        <v>988</v>
      </c>
      <c r="D592" s="54" t="s">
        <v>75</v>
      </c>
      <c r="E592" s="57" t="s">
        <v>990</v>
      </c>
      <c r="F592" s="54" t="s">
        <v>93</v>
      </c>
      <c r="G592" s="54" t="s">
        <v>168</v>
      </c>
      <c r="H592" s="155">
        <v>42716.0</v>
      </c>
      <c r="I592" s="155">
        <v>42716.0</v>
      </c>
      <c r="J592" s="155"/>
      <c r="K592" s="32" t="s">
        <v>70</v>
      </c>
      <c r="L592" s="34" t="s">
        <v>115</v>
      </c>
      <c r="M592" s="63" t="s">
        <v>218</v>
      </c>
      <c r="N592" s="32" t="s">
        <v>89</v>
      </c>
      <c r="O592" s="32" t="s">
        <v>954</v>
      </c>
      <c r="P592" s="32"/>
      <c r="Q592" s="57" t="s">
        <v>3693</v>
      </c>
      <c r="R592" s="155"/>
      <c r="S592" s="32" t="s">
        <v>116</v>
      </c>
      <c r="T592" s="45" t="s">
        <v>997</v>
      </c>
      <c r="U592" s="67" t="s">
        <v>3694</v>
      </c>
      <c r="V592" s="34" t="s">
        <v>80</v>
      </c>
      <c r="W592" s="63" t="s">
        <v>1001</v>
      </c>
      <c r="X592" s="63" t="s">
        <v>1002</v>
      </c>
      <c r="Y592" s="56" t="s">
        <v>1003</v>
      </c>
      <c r="Z592" s="32" t="s">
        <v>112</v>
      </c>
      <c r="AA592" s="47"/>
      <c r="AB592" s="32" t="s">
        <v>113</v>
      </c>
      <c r="AC592" s="60"/>
      <c r="AD592" s="192"/>
      <c r="AE592" s="57"/>
      <c r="AF592" s="54" t="s">
        <v>80</v>
      </c>
      <c r="AG592" s="56" t="s">
        <v>1005</v>
      </c>
      <c r="AH592" s="47"/>
      <c r="AI592" s="58"/>
      <c r="AJ592" s="41"/>
      <c r="AK592" s="83">
        <v>41736.0</v>
      </c>
      <c r="AL592" s="56" t="s">
        <v>965</v>
      </c>
    </row>
    <row r="593" ht="22.5" customHeight="1">
      <c r="A593" s="286" t="s">
        <v>3695</v>
      </c>
      <c r="B593" s="57" t="s">
        <v>3385</v>
      </c>
      <c r="C593" s="57" t="s">
        <v>3696</v>
      </c>
      <c r="D593" s="54" t="s">
        <v>75</v>
      </c>
      <c r="E593" s="57" t="s">
        <v>3697</v>
      </c>
      <c r="F593" s="54" t="s">
        <v>93</v>
      </c>
      <c r="G593" s="34" t="s">
        <v>168</v>
      </c>
      <c r="H593" s="155">
        <v>42949.0</v>
      </c>
      <c r="I593" s="155"/>
      <c r="J593" s="155">
        <v>42949.0</v>
      </c>
      <c r="K593" s="32" t="s">
        <v>70</v>
      </c>
      <c r="L593" s="54" t="s">
        <v>115</v>
      </c>
      <c r="M593" s="63" t="s">
        <v>218</v>
      </c>
      <c r="N593" s="32" t="s">
        <v>89</v>
      </c>
      <c r="O593" s="32" t="s">
        <v>969</v>
      </c>
      <c r="P593" s="32" t="s">
        <v>3622</v>
      </c>
      <c r="Q593" s="57" t="s">
        <v>2201</v>
      </c>
      <c r="R593" s="155"/>
      <c r="S593" s="57" t="s">
        <v>116</v>
      </c>
      <c r="T593" s="45" t="s">
        <v>3698</v>
      </c>
      <c r="U593" s="67" t="s">
        <v>3699</v>
      </c>
      <c r="V593" s="54" t="s">
        <v>80</v>
      </c>
      <c r="W593" s="57" t="s">
        <v>3390</v>
      </c>
      <c r="X593" s="57" t="s">
        <v>3391</v>
      </c>
      <c r="Y593" s="67" t="s">
        <v>3392</v>
      </c>
      <c r="Z593" s="32" t="s">
        <v>112</v>
      </c>
      <c r="AA593" s="47"/>
      <c r="AB593" s="32" t="s">
        <v>113</v>
      </c>
      <c r="AC593" s="32"/>
      <c r="AD593" s="261"/>
      <c r="AE593" s="57"/>
      <c r="AF593" s="54" t="s">
        <v>80</v>
      </c>
      <c r="AG593" s="56" t="s">
        <v>3393</v>
      </c>
      <c r="AH593" s="57"/>
      <c r="AI593" s="58"/>
      <c r="AJ593" s="41"/>
      <c r="AK593" s="83">
        <v>42838.0</v>
      </c>
      <c r="AL593" s="56" t="s">
        <v>1043</v>
      </c>
    </row>
    <row r="594" ht="22.5" customHeight="1">
      <c r="A594" s="286" t="s">
        <v>3700</v>
      </c>
      <c r="B594" s="57" t="s">
        <v>3385</v>
      </c>
      <c r="C594" s="57" t="s">
        <v>3386</v>
      </c>
      <c r="D594" s="54" t="s">
        <v>75</v>
      </c>
      <c r="E594" s="57" t="s">
        <v>3387</v>
      </c>
      <c r="F594" s="54" t="s">
        <v>140</v>
      </c>
      <c r="G594" s="34" t="s">
        <v>168</v>
      </c>
      <c r="H594" s="155">
        <v>42908.0</v>
      </c>
      <c r="I594" s="155">
        <v>42908.0</v>
      </c>
      <c r="J594" s="155">
        <v>42908.0</v>
      </c>
      <c r="K594" s="32" t="s">
        <v>70</v>
      </c>
      <c r="L594" s="54" t="s">
        <v>115</v>
      </c>
      <c r="M594" s="63" t="s">
        <v>218</v>
      </c>
      <c r="N594" s="32" t="s">
        <v>89</v>
      </c>
      <c r="O594" s="57" t="s">
        <v>142</v>
      </c>
      <c r="P594" s="32" t="s">
        <v>3701</v>
      </c>
      <c r="Q594" s="57" t="s">
        <v>2090</v>
      </c>
      <c r="R594" s="155">
        <v>43999.0</v>
      </c>
      <c r="S594" s="57" t="s">
        <v>142</v>
      </c>
      <c r="T594" s="45" t="s">
        <v>3388</v>
      </c>
      <c r="U594" s="67" t="s">
        <v>3702</v>
      </c>
      <c r="V594" s="54" t="s">
        <v>80</v>
      </c>
      <c r="W594" s="57" t="s">
        <v>3390</v>
      </c>
      <c r="X594" s="57" t="s">
        <v>3391</v>
      </c>
      <c r="Y594" s="67" t="s">
        <v>3392</v>
      </c>
      <c r="Z594" s="32" t="s">
        <v>112</v>
      </c>
      <c r="AA594" s="47"/>
      <c r="AB594" s="32" t="s">
        <v>113</v>
      </c>
      <c r="AC594" s="32"/>
      <c r="AD594" s="261"/>
      <c r="AE594" s="57"/>
      <c r="AF594" s="54" t="s">
        <v>80</v>
      </c>
      <c r="AG594" s="56" t="s">
        <v>3393</v>
      </c>
      <c r="AH594" s="47"/>
      <c r="AI594" s="41"/>
      <c r="AJ594" s="77"/>
      <c r="AK594" s="83">
        <v>42279.0</v>
      </c>
      <c r="AL594" s="56" t="s">
        <v>262</v>
      </c>
    </row>
    <row r="595" ht="22.5" customHeight="1">
      <c r="A595" s="286" t="s">
        <v>3703</v>
      </c>
      <c r="B595" s="294" t="s">
        <v>69</v>
      </c>
      <c r="C595" s="294" t="s">
        <v>90</v>
      </c>
      <c r="D595" s="39" t="s">
        <v>91</v>
      </c>
      <c r="E595" s="38" t="s">
        <v>92</v>
      </c>
      <c r="F595" s="54" t="s">
        <v>93</v>
      </c>
      <c r="G595" s="295" t="s">
        <v>168</v>
      </c>
      <c r="H595" s="290">
        <v>42948.0</v>
      </c>
      <c r="I595" s="290"/>
      <c r="J595" s="290">
        <v>42948.0</v>
      </c>
      <c r="K595" s="296" t="s">
        <v>70</v>
      </c>
      <c r="L595" s="297" t="s">
        <v>115</v>
      </c>
      <c r="M595" s="121" t="s">
        <v>88</v>
      </c>
      <c r="N595" s="38" t="s">
        <v>89</v>
      </c>
      <c r="O595" s="296" t="s">
        <v>1023</v>
      </c>
      <c r="P595" s="298"/>
      <c r="Q595" s="298" t="s">
        <v>3562</v>
      </c>
      <c r="R595" s="290">
        <v>44044.0</v>
      </c>
      <c r="S595" s="32" t="s">
        <v>116</v>
      </c>
      <c r="T595" s="56" t="s">
        <v>118</v>
      </c>
      <c r="U595" s="299" t="s">
        <v>3704</v>
      </c>
      <c r="V595" s="300" t="s">
        <v>80</v>
      </c>
      <c r="W595" s="60" t="s">
        <v>122</v>
      </c>
      <c r="X595" s="60" t="s">
        <v>130</v>
      </c>
      <c r="Y595" s="45" t="s">
        <v>131</v>
      </c>
      <c r="Z595" s="32" t="s">
        <v>112</v>
      </c>
      <c r="AA595" s="32"/>
      <c r="AB595" s="60" t="s">
        <v>113</v>
      </c>
      <c r="AC595" s="60"/>
      <c r="AD595" s="301"/>
      <c r="AE595" s="302"/>
      <c r="AF595" s="300" t="s">
        <v>80</v>
      </c>
      <c r="AG595" s="56" t="s">
        <v>159</v>
      </c>
      <c r="AH595" s="92"/>
      <c r="AI595" s="303"/>
      <c r="AJ595" s="303"/>
      <c r="AK595" s="58">
        <v>41100.0</v>
      </c>
      <c r="AL595" s="304" t="s">
        <v>1028</v>
      </c>
    </row>
    <row r="596" ht="22.5" customHeight="1">
      <c r="A596" s="286" t="s">
        <v>3705</v>
      </c>
      <c r="B596" s="57" t="s">
        <v>190</v>
      </c>
      <c r="C596" s="32" t="s">
        <v>191</v>
      </c>
      <c r="D596" s="34" t="s">
        <v>752</v>
      </c>
      <c r="E596" s="38" t="s">
        <v>193</v>
      </c>
      <c r="F596" s="54" t="s">
        <v>93</v>
      </c>
      <c r="G596" s="34" t="s">
        <v>168</v>
      </c>
      <c r="H596" s="132">
        <v>42948.0</v>
      </c>
      <c r="I596" s="132"/>
      <c r="J596" s="132">
        <v>42948.0</v>
      </c>
      <c r="K596" s="121" t="s">
        <v>70</v>
      </c>
      <c r="L596" s="142" t="s">
        <v>115</v>
      </c>
      <c r="M596" s="63" t="s">
        <v>88</v>
      </c>
      <c r="N596" s="38" t="s">
        <v>89</v>
      </c>
      <c r="O596" s="262" t="s">
        <v>1023</v>
      </c>
      <c r="P596" s="121"/>
      <c r="Q596" s="262" t="s">
        <v>3562</v>
      </c>
      <c r="R596" s="132">
        <v>44044.0</v>
      </c>
      <c r="S596" s="57" t="s">
        <v>116</v>
      </c>
      <c r="T596" s="56" t="s">
        <v>198</v>
      </c>
      <c r="U596" s="67" t="s">
        <v>3706</v>
      </c>
      <c r="V596" s="142" t="s">
        <v>80</v>
      </c>
      <c r="W596" s="32" t="s">
        <v>201</v>
      </c>
      <c r="X596" s="32" t="s">
        <v>202</v>
      </c>
      <c r="Y596" s="45" t="s">
        <v>203</v>
      </c>
      <c r="Z596" s="32" t="s">
        <v>112</v>
      </c>
      <c r="AA596" s="32"/>
      <c r="AB596" s="32" t="s">
        <v>113</v>
      </c>
      <c r="AC596" s="60"/>
      <c r="AD596" s="301"/>
      <c r="AE596" s="262"/>
      <c r="AF596" s="142" t="s">
        <v>80</v>
      </c>
      <c r="AG596" s="56" t="s">
        <v>206</v>
      </c>
      <c r="AH596" s="47"/>
      <c r="AI596" s="41"/>
      <c r="AJ596" s="77"/>
      <c r="AK596" s="58">
        <v>41215.0</v>
      </c>
      <c r="AL596" s="250" t="s">
        <v>1028</v>
      </c>
    </row>
    <row r="597" ht="22.5" customHeight="1">
      <c r="A597" s="286" t="s">
        <v>3707</v>
      </c>
      <c r="B597" s="57" t="s">
        <v>190</v>
      </c>
      <c r="C597" s="149" t="s">
        <v>211</v>
      </c>
      <c r="D597" s="34" t="s">
        <v>752</v>
      </c>
      <c r="E597" s="32" t="s">
        <v>947</v>
      </c>
      <c r="F597" s="34" t="s">
        <v>93</v>
      </c>
      <c r="G597" s="295" t="s">
        <v>168</v>
      </c>
      <c r="H597" s="132">
        <v>42948.0</v>
      </c>
      <c r="I597" s="132"/>
      <c r="J597" s="132">
        <v>42948.0</v>
      </c>
      <c r="K597" s="121" t="s">
        <v>70</v>
      </c>
      <c r="L597" s="142" t="s">
        <v>115</v>
      </c>
      <c r="M597" s="63" t="s">
        <v>218</v>
      </c>
      <c r="N597" s="32" t="s">
        <v>434</v>
      </c>
      <c r="O597" s="262" t="s">
        <v>1023</v>
      </c>
      <c r="P597" s="121"/>
      <c r="Q597" s="262" t="s">
        <v>3562</v>
      </c>
      <c r="R597" s="132">
        <v>44044.0</v>
      </c>
      <c r="S597" s="32" t="s">
        <v>116</v>
      </c>
      <c r="T597" s="56" t="s">
        <v>248</v>
      </c>
      <c r="U597" s="67" t="s">
        <v>3708</v>
      </c>
      <c r="V597" s="142" t="s">
        <v>80</v>
      </c>
      <c r="W597" s="32" t="s">
        <v>201</v>
      </c>
      <c r="X597" s="32" t="s">
        <v>202</v>
      </c>
      <c r="Y597" s="45" t="s">
        <v>203</v>
      </c>
      <c r="Z597" s="32" t="s">
        <v>112</v>
      </c>
      <c r="AA597" s="32"/>
      <c r="AB597" s="32" t="s">
        <v>113</v>
      </c>
      <c r="AC597" s="60"/>
      <c r="AD597" s="301"/>
      <c r="AE597" s="262"/>
      <c r="AF597" s="142" t="s">
        <v>80</v>
      </c>
      <c r="AG597" s="56" t="s">
        <v>206</v>
      </c>
      <c r="AH597" s="47"/>
      <c r="AI597" s="41"/>
      <c r="AJ597" s="77"/>
      <c r="AK597" s="58">
        <v>42212.0</v>
      </c>
      <c r="AL597" s="250" t="s">
        <v>1028</v>
      </c>
    </row>
    <row r="598" ht="22.5" customHeight="1">
      <c r="A598" s="286" t="s">
        <v>3709</v>
      </c>
      <c r="B598" s="57" t="s">
        <v>3710</v>
      </c>
      <c r="C598" s="57" t="s">
        <v>3711</v>
      </c>
      <c r="D598" s="54" t="s">
        <v>75</v>
      </c>
      <c r="E598" s="57" t="s">
        <v>3712</v>
      </c>
      <c r="F598" s="54" t="s">
        <v>140</v>
      </c>
      <c r="G598" s="54" t="s">
        <v>85</v>
      </c>
      <c r="H598" s="155">
        <v>42935.0</v>
      </c>
      <c r="I598" s="155">
        <v>42933.0</v>
      </c>
      <c r="J598" s="155">
        <v>42935.0</v>
      </c>
      <c r="K598" s="32" t="s">
        <v>70</v>
      </c>
      <c r="L598" s="54" t="s">
        <v>115</v>
      </c>
      <c r="M598" s="63" t="s">
        <v>313</v>
      </c>
      <c r="N598" s="32" t="s">
        <v>89</v>
      </c>
      <c r="O598" s="32" t="s">
        <v>2125</v>
      </c>
      <c r="P598" s="47"/>
      <c r="Q598" s="57" t="s">
        <v>3713</v>
      </c>
      <c r="R598" s="47"/>
      <c r="S598" s="32" t="s">
        <v>2125</v>
      </c>
      <c r="T598" s="45" t="s">
        <v>3714</v>
      </c>
      <c r="U598" s="67" t="s">
        <v>3715</v>
      </c>
      <c r="V598" s="54" t="s">
        <v>74</v>
      </c>
      <c r="W598" s="57" t="s">
        <v>3716</v>
      </c>
      <c r="X598" s="149" t="s">
        <v>3717</v>
      </c>
      <c r="Y598" s="67" t="s">
        <v>3718</v>
      </c>
      <c r="Z598" s="32" t="s">
        <v>112</v>
      </c>
      <c r="AA598" s="47"/>
      <c r="AB598" s="60" t="s">
        <v>389</v>
      </c>
      <c r="AC598" s="68" t="s">
        <v>3719</v>
      </c>
      <c r="AD598" s="261">
        <v>43138.0</v>
      </c>
      <c r="AE598" s="57" t="s">
        <v>3720</v>
      </c>
      <c r="AF598" s="54" t="s">
        <v>80</v>
      </c>
      <c r="AG598" s="56" t="s">
        <v>3721</v>
      </c>
      <c r="AH598" s="47"/>
      <c r="AI598" s="58"/>
      <c r="AJ598" s="77"/>
      <c r="AK598" s="83">
        <v>41804.0</v>
      </c>
      <c r="AL598" s="56" t="s">
        <v>2373</v>
      </c>
    </row>
    <row r="599" ht="22.5" customHeight="1">
      <c r="A599" s="286" t="s">
        <v>3722</v>
      </c>
      <c r="B599" s="57" t="s">
        <v>3454</v>
      </c>
      <c r="C599" s="32" t="s">
        <v>2109</v>
      </c>
      <c r="D599" s="41" t="s">
        <v>91</v>
      </c>
      <c r="E599" s="103" t="s">
        <v>2110</v>
      </c>
      <c r="F599" s="34" t="s">
        <v>93</v>
      </c>
      <c r="G599" s="34" t="s">
        <v>168</v>
      </c>
      <c r="H599" s="155">
        <v>42684.0</v>
      </c>
      <c r="I599" s="155"/>
      <c r="J599" s="155">
        <v>42684.0</v>
      </c>
      <c r="K599" s="32" t="s">
        <v>70</v>
      </c>
      <c r="L599" s="34" t="s">
        <v>115</v>
      </c>
      <c r="M599" s="63" t="s">
        <v>218</v>
      </c>
      <c r="N599" s="32" t="s">
        <v>89</v>
      </c>
      <c r="O599" s="32" t="s">
        <v>850</v>
      </c>
      <c r="P599" s="47"/>
      <c r="Q599" s="57" t="s">
        <v>3723</v>
      </c>
      <c r="R599" s="155">
        <v>43779.0</v>
      </c>
      <c r="S599" s="32" t="s">
        <v>116</v>
      </c>
      <c r="T599" s="45" t="s">
        <v>2112</v>
      </c>
      <c r="U599" s="67" t="s">
        <v>3724</v>
      </c>
      <c r="V599" s="34" t="s">
        <v>80</v>
      </c>
      <c r="W599" s="60" t="s">
        <v>2114</v>
      </c>
      <c r="X599" s="60" t="s">
        <v>2115</v>
      </c>
      <c r="Y599" s="109" t="s">
        <v>2116</v>
      </c>
      <c r="Z599" s="32" t="s">
        <v>112</v>
      </c>
      <c r="AA599" s="32"/>
      <c r="AB599" s="123" t="s">
        <v>113</v>
      </c>
      <c r="AC599" s="60"/>
      <c r="AD599" s="261"/>
      <c r="AE599" s="57"/>
      <c r="AF599" s="34" t="s">
        <v>80</v>
      </c>
      <c r="AG599" s="56" t="s">
        <v>2120</v>
      </c>
      <c r="AH599" s="47"/>
      <c r="AI599" s="58"/>
      <c r="AJ599" s="77"/>
      <c r="AK599" s="58">
        <v>41689.0</v>
      </c>
      <c r="AL599" s="56" t="s">
        <v>870</v>
      </c>
    </row>
    <row r="600" ht="22.5" customHeight="1">
      <c r="A600" s="286" t="s">
        <v>3725</v>
      </c>
      <c r="B600" s="57" t="s">
        <v>3454</v>
      </c>
      <c r="C600" s="32" t="s">
        <v>2109</v>
      </c>
      <c r="D600" s="41" t="s">
        <v>91</v>
      </c>
      <c r="E600" s="103" t="s">
        <v>2110</v>
      </c>
      <c r="F600" s="34" t="s">
        <v>93</v>
      </c>
      <c r="G600" s="34" t="s">
        <v>168</v>
      </c>
      <c r="H600" s="155">
        <v>42684.0</v>
      </c>
      <c r="I600" s="155"/>
      <c r="J600" s="155">
        <v>42684.0</v>
      </c>
      <c r="K600" s="32" t="s">
        <v>70</v>
      </c>
      <c r="L600" s="34" t="s">
        <v>115</v>
      </c>
      <c r="M600" s="63" t="s">
        <v>218</v>
      </c>
      <c r="N600" s="32" t="s">
        <v>89</v>
      </c>
      <c r="O600" s="32" t="s">
        <v>850</v>
      </c>
      <c r="P600" s="47"/>
      <c r="Q600" s="57" t="s">
        <v>3723</v>
      </c>
      <c r="R600" s="155">
        <v>43779.0</v>
      </c>
      <c r="S600" s="32" t="s">
        <v>116</v>
      </c>
      <c r="T600" s="45" t="s">
        <v>2112</v>
      </c>
      <c r="U600" s="67" t="s">
        <v>3726</v>
      </c>
      <c r="V600" s="34" t="s">
        <v>80</v>
      </c>
      <c r="W600" s="60" t="s">
        <v>2114</v>
      </c>
      <c r="X600" s="60" t="s">
        <v>2115</v>
      </c>
      <c r="Y600" s="109" t="s">
        <v>2116</v>
      </c>
      <c r="Z600" s="32" t="s">
        <v>112</v>
      </c>
      <c r="AA600" s="32"/>
      <c r="AB600" s="123" t="s">
        <v>113</v>
      </c>
      <c r="AC600" s="60"/>
      <c r="AD600" s="261"/>
      <c r="AE600" s="57"/>
      <c r="AF600" s="34" t="s">
        <v>80</v>
      </c>
      <c r="AG600" s="56" t="s">
        <v>2120</v>
      </c>
      <c r="AH600" s="47"/>
      <c r="AI600" s="58"/>
      <c r="AJ600" s="77"/>
      <c r="AK600" s="58">
        <v>41689.0</v>
      </c>
      <c r="AL600" s="56" t="s">
        <v>870</v>
      </c>
    </row>
    <row r="601" ht="22.5" customHeight="1">
      <c r="A601" s="286" t="s">
        <v>3727</v>
      </c>
      <c r="B601" s="57" t="s">
        <v>3728</v>
      </c>
      <c r="C601" s="57" t="s">
        <v>3729</v>
      </c>
      <c r="D601" s="54" t="s">
        <v>1010</v>
      </c>
      <c r="E601" s="172" t="s">
        <v>3730</v>
      </c>
      <c r="F601" s="54" t="s">
        <v>140</v>
      </c>
      <c r="G601" s="54" t="s">
        <v>85</v>
      </c>
      <c r="H601" s="155">
        <v>42828.0</v>
      </c>
      <c r="I601" s="155">
        <v>42828.0</v>
      </c>
      <c r="J601" s="155">
        <v>42828.0</v>
      </c>
      <c r="K601" s="32" t="s">
        <v>70</v>
      </c>
      <c r="L601" s="54" t="s">
        <v>115</v>
      </c>
      <c r="M601" s="63" t="s">
        <v>88</v>
      </c>
      <c r="N601" s="32" t="s">
        <v>89</v>
      </c>
      <c r="O601" s="57" t="s">
        <v>1464</v>
      </c>
      <c r="P601" s="32"/>
      <c r="Q601" s="57" t="s">
        <v>3731</v>
      </c>
      <c r="R601" s="155">
        <v>43924.0</v>
      </c>
      <c r="S601" s="57" t="s">
        <v>1464</v>
      </c>
      <c r="T601" s="45" t="s">
        <v>3732</v>
      </c>
      <c r="U601" s="67" t="s">
        <v>3733</v>
      </c>
      <c r="V601" s="54" t="s">
        <v>74</v>
      </c>
      <c r="W601" s="57" t="s">
        <v>3734</v>
      </c>
      <c r="X601" s="57" t="s">
        <v>3735</v>
      </c>
      <c r="Y601" s="67" t="s">
        <v>3736</v>
      </c>
      <c r="Z601" s="32" t="s">
        <v>112</v>
      </c>
      <c r="AA601" s="47"/>
      <c r="AB601" s="32" t="s">
        <v>113</v>
      </c>
      <c r="AC601" s="60" t="s">
        <v>3737</v>
      </c>
      <c r="AD601" s="261">
        <v>43161.0</v>
      </c>
      <c r="AE601" s="47"/>
      <c r="AF601" s="54" t="s">
        <v>80</v>
      </c>
      <c r="AG601" s="56" t="s">
        <v>3738</v>
      </c>
      <c r="AH601" s="139" t="s">
        <v>193</v>
      </c>
      <c r="AI601" s="41"/>
      <c r="AJ601" s="77"/>
      <c r="AK601" s="83">
        <v>42789.0</v>
      </c>
      <c r="AL601" s="56" t="s">
        <v>3739</v>
      </c>
    </row>
    <row r="602" ht="22.5" customHeight="1">
      <c r="A602" s="286" t="s">
        <v>3740</v>
      </c>
      <c r="B602" s="57" t="s">
        <v>1856</v>
      </c>
      <c r="C602" s="32" t="s">
        <v>1857</v>
      </c>
      <c r="D602" s="41" t="s">
        <v>91</v>
      </c>
      <c r="E602" s="103" t="s">
        <v>1858</v>
      </c>
      <c r="F602" s="34" t="s">
        <v>93</v>
      </c>
      <c r="G602" s="34" t="s">
        <v>168</v>
      </c>
      <c r="H602" s="155">
        <v>43006.0</v>
      </c>
      <c r="I602" s="155">
        <v>43006.0</v>
      </c>
      <c r="J602" s="155">
        <v>43006.0</v>
      </c>
      <c r="K602" s="32" t="s">
        <v>70</v>
      </c>
      <c r="L602" s="41" t="s">
        <v>115</v>
      </c>
      <c r="M602" s="60" t="s">
        <v>313</v>
      </c>
      <c r="N602" s="38" t="s">
        <v>89</v>
      </c>
      <c r="O602" s="57" t="s">
        <v>402</v>
      </c>
      <c r="P602" s="32"/>
      <c r="Q602" s="57" t="s">
        <v>3741</v>
      </c>
      <c r="R602" s="155">
        <v>43371.0</v>
      </c>
      <c r="S602" s="32" t="s">
        <v>116</v>
      </c>
      <c r="T602" s="203" t="s">
        <v>1862</v>
      </c>
      <c r="U602" s="67" t="s">
        <v>3742</v>
      </c>
      <c r="V602" s="34" t="s">
        <v>80</v>
      </c>
      <c r="W602" s="60" t="s">
        <v>1866</v>
      </c>
      <c r="X602" s="60" t="s">
        <v>1868</v>
      </c>
      <c r="Y602" s="109" t="s">
        <v>1869</v>
      </c>
      <c r="Z602" s="32" t="s">
        <v>112</v>
      </c>
      <c r="AA602" s="47"/>
      <c r="AB602" s="60" t="s">
        <v>113</v>
      </c>
      <c r="AC602" s="60"/>
      <c r="AD602" s="261"/>
      <c r="AE602" s="47"/>
      <c r="AF602" s="34" t="s">
        <v>80</v>
      </c>
      <c r="AG602" s="56" t="s">
        <v>1872</v>
      </c>
      <c r="AH602" s="57"/>
      <c r="AI602" s="41"/>
      <c r="AJ602" s="77"/>
      <c r="AK602" s="58">
        <v>41703.0</v>
      </c>
      <c r="AL602" s="56" t="s">
        <v>1033</v>
      </c>
    </row>
    <row r="603" ht="22.5" customHeight="1">
      <c r="A603" s="286" t="s">
        <v>3743</v>
      </c>
      <c r="B603" s="57" t="s">
        <v>888</v>
      </c>
      <c r="C603" s="149" t="s">
        <v>3555</v>
      </c>
      <c r="D603" s="41" t="s">
        <v>75</v>
      </c>
      <c r="E603" s="38" t="s">
        <v>1282</v>
      </c>
      <c r="F603" s="34" t="s">
        <v>140</v>
      </c>
      <c r="G603" s="34" t="s">
        <v>168</v>
      </c>
      <c r="H603" s="155">
        <v>42780.0</v>
      </c>
      <c r="I603" s="155">
        <v>42780.0</v>
      </c>
      <c r="J603" s="155"/>
      <c r="K603" s="32" t="s">
        <v>70</v>
      </c>
      <c r="L603" s="41" t="s">
        <v>115</v>
      </c>
      <c r="M603" s="63" t="s">
        <v>88</v>
      </c>
      <c r="N603" s="38" t="s">
        <v>89</v>
      </c>
      <c r="O603" s="32" t="s">
        <v>954</v>
      </c>
      <c r="P603" s="38" t="s">
        <v>1283</v>
      </c>
      <c r="Q603" s="57" t="s">
        <v>1284</v>
      </c>
      <c r="R603" s="155"/>
      <c r="S603" s="32" t="s">
        <v>196</v>
      </c>
      <c r="T603" s="45" t="s">
        <v>1285</v>
      </c>
      <c r="U603" s="67" t="s">
        <v>3744</v>
      </c>
      <c r="V603" s="34" t="s">
        <v>80</v>
      </c>
      <c r="W603" s="32" t="s">
        <v>561</v>
      </c>
      <c r="X603" s="60" t="s">
        <v>1287</v>
      </c>
      <c r="Y603" s="45" t="s">
        <v>1288</v>
      </c>
      <c r="Z603" s="32" t="s">
        <v>112</v>
      </c>
      <c r="AA603" s="47"/>
      <c r="AB603" s="32" t="s">
        <v>113</v>
      </c>
      <c r="AC603" s="60"/>
      <c r="AD603" s="261"/>
      <c r="AE603" s="47"/>
      <c r="AF603" s="34" t="s">
        <v>80</v>
      </c>
      <c r="AG603" s="56" t="s">
        <v>900</v>
      </c>
      <c r="AH603" s="57"/>
      <c r="AI603" s="41"/>
      <c r="AJ603" s="77"/>
      <c r="AK603" s="155">
        <v>41770.0</v>
      </c>
      <c r="AL603" s="56" t="s">
        <v>965</v>
      </c>
    </row>
    <row r="604" ht="22.5" customHeight="1">
      <c r="A604" s="286" t="s">
        <v>3745</v>
      </c>
      <c r="B604" s="57" t="s">
        <v>3746</v>
      </c>
      <c r="C604" s="57" t="s">
        <v>3747</v>
      </c>
      <c r="D604" s="54" t="s">
        <v>75</v>
      </c>
      <c r="E604" s="57" t="s">
        <v>3748</v>
      </c>
      <c r="F604" s="54" t="s">
        <v>140</v>
      </c>
      <c r="G604" s="54" t="s">
        <v>85</v>
      </c>
      <c r="H604" s="155">
        <v>42969.0</v>
      </c>
      <c r="I604" s="155">
        <v>42962.0</v>
      </c>
      <c r="J604" s="155">
        <v>42969.0</v>
      </c>
      <c r="K604" s="32" t="s">
        <v>70</v>
      </c>
      <c r="L604" s="54" t="s">
        <v>115</v>
      </c>
      <c r="M604" s="63" t="s">
        <v>313</v>
      </c>
      <c r="N604" s="32" t="s">
        <v>89</v>
      </c>
      <c r="O604" s="32" t="s">
        <v>142</v>
      </c>
      <c r="P604" s="57" t="s">
        <v>915</v>
      </c>
      <c r="Q604" s="57" t="s">
        <v>3749</v>
      </c>
      <c r="R604" s="47"/>
      <c r="S604" s="32" t="s">
        <v>142</v>
      </c>
      <c r="T604" s="45" t="s">
        <v>3750</v>
      </c>
      <c r="U604" s="67" t="s">
        <v>3751</v>
      </c>
      <c r="V604" s="54" t="s">
        <v>80</v>
      </c>
      <c r="W604" s="57" t="s">
        <v>3752</v>
      </c>
      <c r="X604" s="57" t="s">
        <v>3753</v>
      </c>
      <c r="Y604" s="67" t="s">
        <v>3754</v>
      </c>
      <c r="Z604" s="32" t="s">
        <v>112</v>
      </c>
      <c r="AA604" s="47"/>
      <c r="AB604" s="60" t="s">
        <v>647</v>
      </c>
      <c r="AC604" s="32" t="s">
        <v>3755</v>
      </c>
      <c r="AD604" s="261">
        <v>43199.0</v>
      </c>
      <c r="AE604" s="47"/>
      <c r="AF604" s="54" t="s">
        <v>80</v>
      </c>
      <c r="AG604" s="56" t="s">
        <v>3756</v>
      </c>
      <c r="AH604" s="139" t="s">
        <v>193</v>
      </c>
      <c r="AI604" s="58"/>
      <c r="AJ604" s="77"/>
      <c r="AK604" s="83">
        <v>42691.0</v>
      </c>
      <c r="AL604" s="56" t="s">
        <v>262</v>
      </c>
    </row>
    <row r="605" ht="22.5" customHeight="1">
      <c r="A605" s="286" t="s">
        <v>3757</v>
      </c>
      <c r="B605" s="57" t="s">
        <v>987</v>
      </c>
      <c r="C605" s="57" t="s">
        <v>988</v>
      </c>
      <c r="D605" s="54" t="s">
        <v>75</v>
      </c>
      <c r="E605" s="57" t="s">
        <v>990</v>
      </c>
      <c r="F605" s="54" t="s">
        <v>93</v>
      </c>
      <c r="G605" s="54" t="s">
        <v>168</v>
      </c>
      <c r="H605" s="155">
        <v>42655.0</v>
      </c>
      <c r="I605" s="155">
        <v>42640.0</v>
      </c>
      <c r="J605" s="155">
        <v>42655.0</v>
      </c>
      <c r="K605" s="32" t="s">
        <v>70</v>
      </c>
      <c r="L605" s="34" t="s">
        <v>115</v>
      </c>
      <c r="M605" s="63" t="s">
        <v>218</v>
      </c>
      <c r="N605" s="32" t="s">
        <v>89</v>
      </c>
      <c r="O605" s="32" t="s">
        <v>954</v>
      </c>
      <c r="P605" s="57" t="s">
        <v>1928</v>
      </c>
      <c r="Q605" s="57" t="s">
        <v>3059</v>
      </c>
      <c r="R605" s="155">
        <v>43513.0</v>
      </c>
      <c r="S605" s="32" t="s">
        <v>116</v>
      </c>
      <c r="T605" s="45" t="s">
        <v>997</v>
      </c>
      <c r="U605" s="67" t="s">
        <v>3758</v>
      </c>
      <c r="V605" s="34" t="s">
        <v>80</v>
      </c>
      <c r="W605" s="63" t="s">
        <v>1001</v>
      </c>
      <c r="X605" s="63" t="s">
        <v>1002</v>
      </c>
      <c r="Y605" s="56" t="s">
        <v>1003</v>
      </c>
      <c r="Z605" s="32" t="s">
        <v>112</v>
      </c>
      <c r="AA605" s="47"/>
      <c r="AB605" s="32" t="s">
        <v>113</v>
      </c>
      <c r="AC605" s="32"/>
      <c r="AD605" s="261"/>
      <c r="AE605" s="47"/>
      <c r="AF605" s="54" t="s">
        <v>80</v>
      </c>
      <c r="AG605" s="56" t="s">
        <v>1005</v>
      </c>
      <c r="AH605" s="57"/>
      <c r="AI605" s="58"/>
      <c r="AJ605" s="77"/>
      <c r="AK605" s="83">
        <v>41736.0</v>
      </c>
      <c r="AL605" s="56" t="s">
        <v>965</v>
      </c>
    </row>
    <row r="606" ht="22.5" customHeight="1">
      <c r="A606" s="27" t="s">
        <v>3759</v>
      </c>
      <c r="B606" s="63" t="s">
        <v>190</v>
      </c>
      <c r="C606" s="32" t="s">
        <v>3044</v>
      </c>
      <c r="D606" s="34" t="s">
        <v>752</v>
      </c>
      <c r="E606" s="38" t="s">
        <v>193</v>
      </c>
      <c r="F606" s="54" t="s">
        <v>93</v>
      </c>
      <c r="G606" s="34" t="s">
        <v>168</v>
      </c>
      <c r="H606" s="58">
        <v>42681.0</v>
      </c>
      <c r="I606" s="58">
        <v>42503.0</v>
      </c>
      <c r="J606" s="58">
        <v>42681.0</v>
      </c>
      <c r="K606" s="32" t="s">
        <v>70</v>
      </c>
      <c r="L606" s="41" t="s">
        <v>115</v>
      </c>
      <c r="M606" s="63" t="s">
        <v>88</v>
      </c>
      <c r="N606" s="38" t="s">
        <v>89</v>
      </c>
      <c r="O606" s="32" t="s">
        <v>954</v>
      </c>
      <c r="P606" s="32" t="s">
        <v>1928</v>
      </c>
      <c r="Q606" s="57" t="s">
        <v>3059</v>
      </c>
      <c r="R606" s="155">
        <v>43586.0</v>
      </c>
      <c r="S606" s="57" t="s">
        <v>116</v>
      </c>
      <c r="T606" s="56" t="s">
        <v>198</v>
      </c>
      <c r="U606" s="45" t="s">
        <v>3760</v>
      </c>
      <c r="V606" s="34" t="s">
        <v>80</v>
      </c>
      <c r="W606" s="32" t="s">
        <v>201</v>
      </c>
      <c r="X606" s="32" t="s">
        <v>202</v>
      </c>
      <c r="Y606" s="45" t="s">
        <v>203</v>
      </c>
      <c r="Z606" s="32" t="s">
        <v>112</v>
      </c>
      <c r="AA606" s="38"/>
      <c r="AB606" s="32" t="s">
        <v>113</v>
      </c>
      <c r="AC606" s="60"/>
      <c r="AD606" s="261"/>
      <c r="AE606" s="32"/>
      <c r="AF606" s="34" t="s">
        <v>80</v>
      </c>
      <c r="AG606" s="56" t="s">
        <v>206</v>
      </c>
      <c r="AH606" s="41"/>
      <c r="AI606" s="41"/>
      <c r="AJ606" s="41"/>
      <c r="AK606" s="58">
        <v>41215.0</v>
      </c>
      <c r="AL606" s="56" t="s">
        <v>965</v>
      </c>
    </row>
    <row r="607" ht="22.5" customHeight="1">
      <c r="A607" s="27" t="s">
        <v>3761</v>
      </c>
      <c r="B607" s="63" t="s">
        <v>888</v>
      </c>
      <c r="C607" s="149" t="s">
        <v>3555</v>
      </c>
      <c r="D607" s="41" t="s">
        <v>75</v>
      </c>
      <c r="E607" s="38" t="s">
        <v>1282</v>
      </c>
      <c r="F607" s="34" t="s">
        <v>140</v>
      </c>
      <c r="G607" s="34" t="s">
        <v>168</v>
      </c>
      <c r="H607" s="58">
        <v>42825.0</v>
      </c>
      <c r="I607" s="58"/>
      <c r="J607" s="58">
        <v>42825.0</v>
      </c>
      <c r="K607" s="32" t="s">
        <v>70</v>
      </c>
      <c r="L607" s="41" t="s">
        <v>115</v>
      </c>
      <c r="M607" s="63" t="s">
        <v>88</v>
      </c>
      <c r="N607" s="38" t="s">
        <v>89</v>
      </c>
      <c r="O607" s="32" t="s">
        <v>954</v>
      </c>
      <c r="P607" s="32" t="s">
        <v>1928</v>
      </c>
      <c r="Q607" s="57" t="s">
        <v>3059</v>
      </c>
      <c r="R607" s="155">
        <v>43920.0</v>
      </c>
      <c r="S607" s="32" t="s">
        <v>196</v>
      </c>
      <c r="T607" s="45" t="s">
        <v>1285</v>
      </c>
      <c r="U607" s="45" t="s">
        <v>3762</v>
      </c>
      <c r="V607" s="34" t="s">
        <v>80</v>
      </c>
      <c r="W607" s="32" t="s">
        <v>561</v>
      </c>
      <c r="X607" s="60" t="s">
        <v>1287</v>
      </c>
      <c r="Y607" s="45" t="s">
        <v>1288</v>
      </c>
      <c r="Z607" s="32" t="s">
        <v>112</v>
      </c>
      <c r="AA607" s="38"/>
      <c r="AB607" s="32" t="s">
        <v>113</v>
      </c>
      <c r="AC607" s="60"/>
      <c r="AD607" s="261"/>
      <c r="AE607" s="32"/>
      <c r="AF607" s="34" t="s">
        <v>80</v>
      </c>
      <c r="AG607" s="56" t="s">
        <v>900</v>
      </c>
      <c r="AH607" s="41"/>
      <c r="AI607" s="41"/>
      <c r="AJ607" s="41"/>
      <c r="AK607" s="155">
        <v>41770.0</v>
      </c>
      <c r="AL607" s="56" t="s">
        <v>965</v>
      </c>
    </row>
    <row r="608" ht="22.5" customHeight="1">
      <c r="A608" s="27" t="s">
        <v>3763</v>
      </c>
      <c r="B608" s="305" t="s">
        <v>2472</v>
      </c>
      <c r="C608" s="305" t="s">
        <v>2473</v>
      </c>
      <c r="D608" s="39" t="s">
        <v>75</v>
      </c>
      <c r="E608" s="123" t="s">
        <v>2474</v>
      </c>
      <c r="F608" s="39" t="s">
        <v>140</v>
      </c>
      <c r="G608" s="39" t="s">
        <v>85</v>
      </c>
      <c r="H608" s="48">
        <v>43007.0</v>
      </c>
      <c r="I608" s="48">
        <v>43007.0</v>
      </c>
      <c r="J608" s="36"/>
      <c r="K608" s="121" t="s">
        <v>70</v>
      </c>
      <c r="L608" s="34" t="s">
        <v>115</v>
      </c>
      <c r="M608" s="250" t="s">
        <v>88</v>
      </c>
      <c r="N608" s="121" t="s">
        <v>89</v>
      </c>
      <c r="O608" s="121" t="s">
        <v>1520</v>
      </c>
      <c r="P608" s="47"/>
      <c r="Q608" s="32" t="s">
        <v>3764</v>
      </c>
      <c r="R608" s="36"/>
      <c r="S608" s="121" t="s">
        <v>1520</v>
      </c>
      <c r="T608" s="151" t="s">
        <v>2476</v>
      </c>
      <c r="U608" s="56" t="s">
        <v>3765</v>
      </c>
      <c r="V608" s="34" t="s">
        <v>80</v>
      </c>
      <c r="W608" s="305" t="s">
        <v>2478</v>
      </c>
      <c r="X608" s="149" t="s">
        <v>3766</v>
      </c>
      <c r="Y608" s="152" t="s">
        <v>3767</v>
      </c>
      <c r="Z608" s="32" t="s">
        <v>112</v>
      </c>
      <c r="AA608" s="47"/>
      <c r="AB608" s="149" t="s">
        <v>702</v>
      </c>
      <c r="AC608" s="63" t="s">
        <v>2481</v>
      </c>
      <c r="AD608" s="306">
        <v>43217.0</v>
      </c>
      <c r="AE608" s="47"/>
      <c r="AF608" s="39" t="s">
        <v>80</v>
      </c>
      <c r="AG608" s="56" t="s">
        <v>2483</v>
      </c>
      <c r="AH608" s="139" t="s">
        <v>193</v>
      </c>
      <c r="AI608" s="65"/>
      <c r="AJ608" s="47"/>
      <c r="AK608" s="307">
        <v>42250.0</v>
      </c>
      <c r="AL608" s="56" t="s">
        <v>1530</v>
      </c>
    </row>
    <row r="609" ht="22.5" customHeight="1">
      <c r="A609" s="27" t="s">
        <v>3768</v>
      </c>
      <c r="B609" s="149" t="s">
        <v>2241</v>
      </c>
      <c r="C609" s="149" t="s">
        <v>2242</v>
      </c>
      <c r="D609" s="41" t="s">
        <v>75</v>
      </c>
      <c r="E609" s="149" t="s">
        <v>2243</v>
      </c>
      <c r="F609" s="34" t="s">
        <v>140</v>
      </c>
      <c r="G609" s="34" t="s">
        <v>168</v>
      </c>
      <c r="H609" s="48">
        <v>42973.0</v>
      </c>
      <c r="I609" s="48"/>
      <c r="J609" s="48">
        <v>42973.0</v>
      </c>
      <c r="K609" s="32" t="s">
        <v>70</v>
      </c>
      <c r="L609" s="34" t="s">
        <v>115</v>
      </c>
      <c r="M609" s="63" t="s">
        <v>88</v>
      </c>
      <c r="N609" s="38" t="s">
        <v>89</v>
      </c>
      <c r="O609" s="38" t="s">
        <v>175</v>
      </c>
      <c r="P609" s="57" t="s">
        <v>2196</v>
      </c>
      <c r="Q609" s="32" t="s">
        <v>3769</v>
      </c>
      <c r="R609" s="48">
        <v>44074.0</v>
      </c>
      <c r="S609" s="38" t="s">
        <v>175</v>
      </c>
      <c r="T609" s="56" t="s">
        <v>2244</v>
      </c>
      <c r="U609" s="56" t="s">
        <v>3770</v>
      </c>
      <c r="V609" s="34" t="s">
        <v>80</v>
      </c>
      <c r="W609" s="149" t="s">
        <v>2246</v>
      </c>
      <c r="X609" s="32" t="s">
        <v>2247</v>
      </c>
      <c r="Y609" s="152" t="s">
        <v>2248</v>
      </c>
      <c r="Z609" s="32" t="s">
        <v>112</v>
      </c>
      <c r="AA609" s="32"/>
      <c r="AB609" s="60" t="s">
        <v>2249</v>
      </c>
      <c r="AC609" s="60" t="s">
        <v>2250</v>
      </c>
      <c r="AD609" s="306"/>
      <c r="AE609" s="47"/>
      <c r="AF609" s="34" t="s">
        <v>80</v>
      </c>
      <c r="AG609" s="56" t="s">
        <v>2251</v>
      </c>
      <c r="AH609" s="57"/>
      <c r="AI609" s="65"/>
      <c r="AJ609" s="47"/>
      <c r="AK609" s="58">
        <v>41164.0</v>
      </c>
      <c r="AL609" s="56" t="s">
        <v>188</v>
      </c>
    </row>
    <row r="610" ht="22.5" customHeight="1">
      <c r="A610" s="27" t="s">
        <v>3771</v>
      </c>
      <c r="B610" s="149" t="s">
        <v>2401</v>
      </c>
      <c r="C610" s="149" t="s">
        <v>2402</v>
      </c>
      <c r="D610" s="41" t="s">
        <v>75</v>
      </c>
      <c r="E610" s="149" t="s">
        <v>2403</v>
      </c>
      <c r="F610" s="34" t="s">
        <v>140</v>
      </c>
      <c r="G610" s="34" t="s">
        <v>168</v>
      </c>
      <c r="H610" s="48">
        <v>42838.0</v>
      </c>
      <c r="I610" s="48">
        <v>42838.0</v>
      </c>
      <c r="J610" s="48"/>
      <c r="K610" s="32" t="s">
        <v>70</v>
      </c>
      <c r="L610" s="41" t="s">
        <v>115</v>
      </c>
      <c r="M610" s="42" t="s">
        <v>88</v>
      </c>
      <c r="N610" s="38" t="s">
        <v>89</v>
      </c>
      <c r="O610" s="32" t="s">
        <v>850</v>
      </c>
      <c r="P610" s="57" t="s">
        <v>3034</v>
      </c>
      <c r="Q610" s="32" t="s">
        <v>3035</v>
      </c>
      <c r="R610" s="48"/>
      <c r="S610" s="32" t="s">
        <v>142</v>
      </c>
      <c r="T610" s="56" t="s">
        <v>2404</v>
      </c>
      <c r="U610" s="56" t="s">
        <v>3772</v>
      </c>
      <c r="V610" s="34" t="s">
        <v>80</v>
      </c>
      <c r="W610" s="149" t="s">
        <v>2406</v>
      </c>
      <c r="X610" s="198" t="s">
        <v>2407</v>
      </c>
      <c r="Y610" s="152" t="s">
        <v>2408</v>
      </c>
      <c r="Z610" s="32" t="s">
        <v>112</v>
      </c>
      <c r="AA610" s="32"/>
      <c r="AB610" s="60" t="s">
        <v>389</v>
      </c>
      <c r="AC610" s="60"/>
      <c r="AD610" s="306"/>
      <c r="AE610" s="47"/>
      <c r="AF610" s="34" t="s">
        <v>80</v>
      </c>
      <c r="AG610" s="56" t="s">
        <v>2409</v>
      </c>
      <c r="AH610" s="63"/>
      <c r="AI610" s="41"/>
      <c r="AJ610" s="41"/>
      <c r="AK610" s="132">
        <v>42012.0</v>
      </c>
      <c r="AL610" s="56" t="s">
        <v>870</v>
      </c>
    </row>
    <row r="611" ht="22.5" customHeight="1">
      <c r="A611" s="27" t="s">
        <v>3773</v>
      </c>
      <c r="B611" s="149" t="s">
        <v>190</v>
      </c>
      <c r="C611" s="149" t="s">
        <v>211</v>
      </c>
      <c r="D611" s="34" t="s">
        <v>752</v>
      </c>
      <c r="E611" s="32" t="s">
        <v>947</v>
      </c>
      <c r="F611" s="34" t="s">
        <v>93</v>
      </c>
      <c r="G611" s="295" t="s">
        <v>168</v>
      </c>
      <c r="H611" s="48">
        <v>42977.0</v>
      </c>
      <c r="I611" s="48"/>
      <c r="J611" s="48">
        <v>42977.0</v>
      </c>
      <c r="K611" s="121" t="s">
        <v>70</v>
      </c>
      <c r="L611" s="142" t="s">
        <v>115</v>
      </c>
      <c r="M611" s="63" t="s">
        <v>218</v>
      </c>
      <c r="N611" s="32" t="s">
        <v>434</v>
      </c>
      <c r="O611" s="32" t="s">
        <v>850</v>
      </c>
      <c r="P611" s="57"/>
      <c r="Q611" s="32" t="s">
        <v>3443</v>
      </c>
      <c r="R611" s="48"/>
      <c r="S611" s="32" t="s">
        <v>116</v>
      </c>
      <c r="T611" s="56" t="s">
        <v>248</v>
      </c>
      <c r="U611" s="56" t="s">
        <v>3774</v>
      </c>
      <c r="V611" s="142" t="s">
        <v>80</v>
      </c>
      <c r="W611" s="32" t="s">
        <v>201</v>
      </c>
      <c r="X611" s="32" t="s">
        <v>202</v>
      </c>
      <c r="Y611" s="45" t="s">
        <v>203</v>
      </c>
      <c r="Z611" s="32" t="s">
        <v>112</v>
      </c>
      <c r="AA611" s="32"/>
      <c r="AB611" s="32" t="s">
        <v>113</v>
      </c>
      <c r="AC611" s="60"/>
      <c r="AD611" s="306"/>
      <c r="AE611" s="47"/>
      <c r="AF611" s="142" t="s">
        <v>80</v>
      </c>
      <c r="AG611" s="56" t="s">
        <v>206</v>
      </c>
      <c r="AH611" s="63"/>
      <c r="AI611" s="41"/>
      <c r="AJ611" s="41"/>
      <c r="AK611" s="58">
        <v>42212.0</v>
      </c>
      <c r="AL611" s="56" t="s">
        <v>870</v>
      </c>
    </row>
    <row r="612" ht="22.5" customHeight="1">
      <c r="A612" s="27" t="s">
        <v>3775</v>
      </c>
      <c r="B612" s="149" t="s">
        <v>490</v>
      </c>
      <c r="C612" s="149" t="s">
        <v>494</v>
      </c>
      <c r="D612" s="39" t="s">
        <v>91</v>
      </c>
      <c r="E612" s="38" t="s">
        <v>496</v>
      </c>
      <c r="F612" s="41" t="s">
        <v>93</v>
      </c>
      <c r="G612" s="34" t="s">
        <v>168</v>
      </c>
      <c r="H612" s="48">
        <v>42807.0</v>
      </c>
      <c r="I612" s="48"/>
      <c r="J612" s="48">
        <v>42807.0</v>
      </c>
      <c r="K612" s="32" t="s">
        <v>70</v>
      </c>
      <c r="L612" s="34" t="s">
        <v>115</v>
      </c>
      <c r="M612" s="63" t="s">
        <v>218</v>
      </c>
      <c r="N612" s="32" t="s">
        <v>89</v>
      </c>
      <c r="O612" s="32" t="s">
        <v>850</v>
      </c>
      <c r="P612" s="57"/>
      <c r="Q612" s="32" t="s">
        <v>3776</v>
      </c>
      <c r="R612" s="48">
        <v>43903.0</v>
      </c>
      <c r="S612" s="32" t="s">
        <v>116</v>
      </c>
      <c r="T612" s="45" t="s">
        <v>505</v>
      </c>
      <c r="U612" s="56" t="s">
        <v>3777</v>
      </c>
      <c r="V612" s="34" t="s">
        <v>80</v>
      </c>
      <c r="W612" s="60" t="s">
        <v>508</v>
      </c>
      <c r="X612" s="32" t="s">
        <v>511</v>
      </c>
      <c r="Y612" s="45" t="s">
        <v>512</v>
      </c>
      <c r="Z612" s="32" t="s">
        <v>112</v>
      </c>
      <c r="AA612" s="32"/>
      <c r="AB612" s="60" t="s">
        <v>481</v>
      </c>
      <c r="AC612" s="60"/>
      <c r="AD612" s="306"/>
      <c r="AE612" s="47"/>
      <c r="AF612" s="34" t="s">
        <v>80</v>
      </c>
      <c r="AG612" s="56" t="s">
        <v>515</v>
      </c>
      <c r="AH612" s="63"/>
      <c r="AI612" s="41"/>
      <c r="AJ612" s="41"/>
      <c r="AK612" s="132">
        <v>41074.0</v>
      </c>
      <c r="AL612" s="56" t="s">
        <v>870</v>
      </c>
    </row>
    <row r="613" ht="22.5" customHeight="1">
      <c r="A613" s="27" t="s">
        <v>3778</v>
      </c>
      <c r="B613" s="149" t="s">
        <v>2299</v>
      </c>
      <c r="C613" s="32" t="s">
        <v>2300</v>
      </c>
      <c r="D613" s="34" t="s">
        <v>75</v>
      </c>
      <c r="E613" s="32" t="s">
        <v>2301</v>
      </c>
      <c r="F613" s="34" t="s">
        <v>140</v>
      </c>
      <c r="G613" s="34" t="s">
        <v>168</v>
      </c>
      <c r="H613" s="48">
        <v>42962.0</v>
      </c>
      <c r="I613" s="48">
        <v>42942.0</v>
      </c>
      <c r="J613" s="48">
        <v>42962.0</v>
      </c>
      <c r="K613" s="32" t="s">
        <v>70</v>
      </c>
      <c r="L613" s="34" t="s">
        <v>115</v>
      </c>
      <c r="M613" s="63" t="s">
        <v>218</v>
      </c>
      <c r="N613" s="32" t="s">
        <v>89</v>
      </c>
      <c r="O613" s="32" t="s">
        <v>850</v>
      </c>
      <c r="P613" s="57"/>
      <c r="Q613" s="32" t="s">
        <v>3779</v>
      </c>
      <c r="R613" s="48"/>
      <c r="S613" s="32" t="s">
        <v>327</v>
      </c>
      <c r="T613" s="45" t="s">
        <v>2303</v>
      </c>
      <c r="U613" s="56" t="s">
        <v>3780</v>
      </c>
      <c r="V613" s="34" t="s">
        <v>80</v>
      </c>
      <c r="W613" s="172" t="s">
        <v>2305</v>
      </c>
      <c r="X613" s="172" t="s">
        <v>2306</v>
      </c>
      <c r="Y613" s="45" t="s">
        <v>2307</v>
      </c>
      <c r="Z613" s="32" t="s">
        <v>112</v>
      </c>
      <c r="AA613" s="149"/>
      <c r="AB613" s="60" t="s">
        <v>389</v>
      </c>
      <c r="AC613" s="60"/>
      <c r="AD613" s="306"/>
      <c r="AE613" s="47"/>
      <c r="AF613" s="34" t="s">
        <v>80</v>
      </c>
      <c r="AG613" s="56" t="s">
        <v>2309</v>
      </c>
      <c r="AH613" s="41"/>
      <c r="AI613" s="41"/>
      <c r="AJ613" s="41"/>
      <c r="AK613" s="58">
        <v>42342.0</v>
      </c>
      <c r="AL613" s="56" t="s">
        <v>870</v>
      </c>
    </row>
    <row r="614" ht="22.5" customHeight="1">
      <c r="A614" s="27" t="s">
        <v>3781</v>
      </c>
      <c r="B614" s="149" t="s">
        <v>69</v>
      </c>
      <c r="C614" s="294" t="s">
        <v>90</v>
      </c>
      <c r="D614" s="39" t="s">
        <v>91</v>
      </c>
      <c r="E614" s="38" t="s">
        <v>92</v>
      </c>
      <c r="F614" s="54" t="s">
        <v>93</v>
      </c>
      <c r="G614" s="295" t="s">
        <v>168</v>
      </c>
      <c r="H614" s="48">
        <v>42991.0</v>
      </c>
      <c r="I614" s="48"/>
      <c r="J614" s="48">
        <v>42991.0</v>
      </c>
      <c r="K614" s="296" t="s">
        <v>70</v>
      </c>
      <c r="L614" s="297" t="s">
        <v>115</v>
      </c>
      <c r="M614" s="121" t="s">
        <v>88</v>
      </c>
      <c r="N614" s="38" t="s">
        <v>89</v>
      </c>
      <c r="O614" s="32" t="s">
        <v>850</v>
      </c>
      <c r="P614" s="57"/>
      <c r="Q614" s="32" t="s">
        <v>3443</v>
      </c>
      <c r="R614" s="48"/>
      <c r="S614" s="32" t="s">
        <v>116</v>
      </c>
      <c r="T614" s="56" t="s">
        <v>118</v>
      </c>
      <c r="U614" s="56" t="s">
        <v>3782</v>
      </c>
      <c r="V614" s="300" t="s">
        <v>80</v>
      </c>
      <c r="W614" s="60" t="s">
        <v>122</v>
      </c>
      <c r="X614" s="60" t="s">
        <v>130</v>
      </c>
      <c r="Y614" s="45" t="s">
        <v>131</v>
      </c>
      <c r="Z614" s="32" t="s">
        <v>112</v>
      </c>
      <c r="AA614" s="32"/>
      <c r="AB614" s="60" t="s">
        <v>113</v>
      </c>
      <c r="AC614" s="60"/>
      <c r="AD614" s="306"/>
      <c r="AE614" s="47"/>
      <c r="AF614" s="300" t="s">
        <v>80</v>
      </c>
      <c r="AG614" s="56" t="s">
        <v>159</v>
      </c>
      <c r="AH614" s="92"/>
      <c r="AI614" s="303"/>
      <c r="AJ614" s="303"/>
      <c r="AK614" s="58">
        <v>41100.0</v>
      </c>
      <c r="AL614" s="56" t="s">
        <v>870</v>
      </c>
    </row>
    <row r="615" ht="22.5" customHeight="1">
      <c r="A615" s="27" t="s">
        <v>3783</v>
      </c>
      <c r="B615" s="63" t="s">
        <v>1321</v>
      </c>
      <c r="C615" s="63" t="s">
        <v>1322</v>
      </c>
      <c r="D615" s="34" t="s">
        <v>1010</v>
      </c>
      <c r="E615" s="38" t="s">
        <v>1323</v>
      </c>
      <c r="F615" s="41" t="s">
        <v>140</v>
      </c>
      <c r="G615" s="34" t="s">
        <v>85</v>
      </c>
      <c r="H615" s="48">
        <v>42922.0</v>
      </c>
      <c r="I615" s="48">
        <v>42922.0</v>
      </c>
      <c r="J615" s="36"/>
      <c r="K615" s="32" t="s">
        <v>70</v>
      </c>
      <c r="L615" s="34" t="s">
        <v>115</v>
      </c>
      <c r="M615" s="42" t="s">
        <v>88</v>
      </c>
      <c r="N615" s="32" t="s">
        <v>89</v>
      </c>
      <c r="O615" s="38" t="s">
        <v>196</v>
      </c>
      <c r="P615" s="63"/>
      <c r="Q615" s="32" t="s">
        <v>3198</v>
      </c>
      <c r="R615" s="48">
        <v>44018.0</v>
      </c>
      <c r="S615" s="32" t="s">
        <v>196</v>
      </c>
      <c r="T615" s="45" t="s">
        <v>1324</v>
      </c>
      <c r="U615" s="56" t="s">
        <v>3784</v>
      </c>
      <c r="V615" s="34" t="s">
        <v>80</v>
      </c>
      <c r="W615" s="32" t="s">
        <v>561</v>
      </c>
      <c r="X615" s="32" t="s">
        <v>1326</v>
      </c>
      <c r="Y615" s="109" t="s">
        <v>1327</v>
      </c>
      <c r="Z615" s="32" t="s">
        <v>112</v>
      </c>
      <c r="AA615" s="47"/>
      <c r="AB615" s="32" t="s">
        <v>113</v>
      </c>
      <c r="AC615" s="60" t="s">
        <v>1328</v>
      </c>
      <c r="AD615" s="136">
        <v>41782.0</v>
      </c>
      <c r="AE615" s="57" t="s">
        <v>3785</v>
      </c>
      <c r="AF615" s="34" t="s">
        <v>80</v>
      </c>
      <c r="AG615" s="56" t="s">
        <v>1329</v>
      </c>
      <c r="AH615" s="63" t="s">
        <v>92</v>
      </c>
      <c r="AI615" s="65"/>
      <c r="AJ615" s="268"/>
      <c r="AK615" s="58">
        <v>41619.0</v>
      </c>
      <c r="AL615" s="56" t="s">
        <v>208</v>
      </c>
    </row>
    <row r="616" ht="22.5" customHeight="1">
      <c r="A616" s="27" t="s">
        <v>3786</v>
      </c>
      <c r="B616" s="63" t="s">
        <v>3537</v>
      </c>
      <c r="C616" s="57" t="s">
        <v>3537</v>
      </c>
      <c r="D616" s="54" t="s">
        <v>75</v>
      </c>
      <c r="E616" s="57" t="s">
        <v>3538</v>
      </c>
      <c r="F616" s="54" t="s">
        <v>140</v>
      </c>
      <c r="G616" s="34" t="s">
        <v>168</v>
      </c>
      <c r="H616" s="48">
        <v>42929.0</v>
      </c>
      <c r="I616" s="48"/>
      <c r="J616" s="48">
        <v>42929.0</v>
      </c>
      <c r="K616" s="32" t="s">
        <v>70</v>
      </c>
      <c r="L616" s="34" t="s">
        <v>115</v>
      </c>
      <c r="M616" s="63" t="s">
        <v>88</v>
      </c>
      <c r="N616" s="32" t="s">
        <v>89</v>
      </c>
      <c r="O616" s="32" t="s">
        <v>850</v>
      </c>
      <c r="P616" s="63"/>
      <c r="Q616" s="32" t="s">
        <v>3539</v>
      </c>
      <c r="R616" s="48">
        <v>43968.0</v>
      </c>
      <c r="S616" s="32" t="s">
        <v>850</v>
      </c>
      <c r="T616" s="45" t="s">
        <v>3540</v>
      </c>
      <c r="U616" s="56" t="s">
        <v>3787</v>
      </c>
      <c r="V616" s="54" t="s">
        <v>80</v>
      </c>
      <c r="W616" s="57" t="s">
        <v>3542</v>
      </c>
      <c r="X616" s="57" t="s">
        <v>3543</v>
      </c>
      <c r="Y616" s="67" t="s">
        <v>3544</v>
      </c>
      <c r="Z616" s="32" t="s">
        <v>112</v>
      </c>
      <c r="AA616" s="47"/>
      <c r="AB616" s="60" t="s">
        <v>66</v>
      </c>
      <c r="AC616" s="60"/>
      <c r="AD616" s="136"/>
      <c r="AE616" s="57"/>
      <c r="AF616" s="54" t="s">
        <v>80</v>
      </c>
      <c r="AG616" s="56" t="s">
        <v>3546</v>
      </c>
      <c r="AH616" s="63"/>
      <c r="AI616" s="65"/>
      <c r="AJ616" s="268"/>
      <c r="AK616" s="83">
        <v>42127.0</v>
      </c>
      <c r="AL616" s="56" t="s">
        <v>870</v>
      </c>
    </row>
    <row r="617" ht="22.5" customHeight="1">
      <c r="A617" s="27" t="s">
        <v>3788</v>
      </c>
      <c r="B617" s="57" t="s">
        <v>1190</v>
      </c>
      <c r="C617" s="32" t="s">
        <v>1191</v>
      </c>
      <c r="D617" s="34" t="s">
        <v>192</v>
      </c>
      <c r="E617" s="38" t="s">
        <v>1193</v>
      </c>
      <c r="F617" s="34" t="s">
        <v>140</v>
      </c>
      <c r="G617" s="54" t="s">
        <v>85</v>
      </c>
      <c r="H617" s="155">
        <v>43007.0</v>
      </c>
      <c r="I617" s="155">
        <v>43007.0</v>
      </c>
      <c r="J617" s="155">
        <v>43007.0</v>
      </c>
      <c r="K617" s="32" t="s">
        <v>70</v>
      </c>
      <c r="L617" s="34" t="s">
        <v>115</v>
      </c>
      <c r="M617" s="42" t="s">
        <v>313</v>
      </c>
      <c r="N617" s="38" t="s">
        <v>89</v>
      </c>
      <c r="O617" s="32" t="s">
        <v>1559</v>
      </c>
      <c r="P617" s="57"/>
      <c r="Q617" s="57" t="s">
        <v>3789</v>
      </c>
      <c r="R617" s="155">
        <v>44103.0</v>
      </c>
      <c r="S617" s="32" t="s">
        <v>1559</v>
      </c>
      <c r="T617" s="45" t="s">
        <v>1198</v>
      </c>
      <c r="U617" s="67" t="s">
        <v>3790</v>
      </c>
      <c r="V617" s="34" t="s">
        <v>80</v>
      </c>
      <c r="W617" s="60" t="s">
        <v>1204</v>
      </c>
      <c r="X617" s="60" t="s">
        <v>1205</v>
      </c>
      <c r="Y617" s="109" t="s">
        <v>1206</v>
      </c>
      <c r="Z617" s="32" t="s">
        <v>112</v>
      </c>
      <c r="AA617" s="47"/>
      <c r="AB617" s="60" t="s">
        <v>302</v>
      </c>
      <c r="AC617" s="60" t="s">
        <v>3791</v>
      </c>
      <c r="AD617" s="261">
        <v>43259.0</v>
      </c>
      <c r="AE617" s="57"/>
      <c r="AF617" s="34" t="s">
        <v>80</v>
      </c>
      <c r="AG617" s="56" t="s">
        <v>1212</v>
      </c>
      <c r="AH617" s="47"/>
      <c r="AI617" s="58"/>
      <c r="AJ617" s="77"/>
      <c r="AK617" s="155">
        <v>42829.0</v>
      </c>
      <c r="AL617" s="56" t="s">
        <v>3188</v>
      </c>
    </row>
    <row r="618" ht="22.5" customHeight="1">
      <c r="A618" s="27" t="s">
        <v>3792</v>
      </c>
      <c r="B618" s="57" t="s">
        <v>987</v>
      </c>
      <c r="C618" s="32" t="s">
        <v>988</v>
      </c>
      <c r="D618" s="54" t="s">
        <v>75</v>
      </c>
      <c r="E618" s="57" t="s">
        <v>990</v>
      </c>
      <c r="F618" s="54" t="s">
        <v>93</v>
      </c>
      <c r="G618" s="54" t="s">
        <v>168</v>
      </c>
      <c r="H618" s="155">
        <v>43007.0</v>
      </c>
      <c r="I618" s="155"/>
      <c r="J618" s="155">
        <v>43007.0</v>
      </c>
      <c r="K618" s="32" t="s">
        <v>70</v>
      </c>
      <c r="L618" s="34" t="s">
        <v>115</v>
      </c>
      <c r="M618" s="63" t="s">
        <v>218</v>
      </c>
      <c r="N618" s="32" t="s">
        <v>89</v>
      </c>
      <c r="O618" s="32" t="s">
        <v>175</v>
      </c>
      <c r="P618" s="57" t="s">
        <v>2236</v>
      </c>
      <c r="Q618" s="57" t="s">
        <v>3793</v>
      </c>
      <c r="R618" s="155">
        <v>43737.0</v>
      </c>
      <c r="S618" s="32" t="s">
        <v>116</v>
      </c>
      <c r="T618" s="45" t="s">
        <v>997</v>
      </c>
      <c r="U618" s="67" t="s">
        <v>3794</v>
      </c>
      <c r="V618" s="34" t="s">
        <v>80</v>
      </c>
      <c r="W618" s="63" t="s">
        <v>1001</v>
      </c>
      <c r="X618" s="63" t="s">
        <v>1002</v>
      </c>
      <c r="Y618" s="56" t="s">
        <v>1003</v>
      </c>
      <c r="Z618" s="32" t="s">
        <v>112</v>
      </c>
      <c r="AA618" s="47"/>
      <c r="AB618" s="32" t="s">
        <v>113</v>
      </c>
      <c r="AC618" s="60"/>
      <c r="AD618" s="261"/>
      <c r="AE618" s="57"/>
      <c r="AF618" s="54" t="s">
        <v>80</v>
      </c>
      <c r="AG618" s="56" t="s">
        <v>1005</v>
      </c>
      <c r="AH618" s="47"/>
      <c r="AI618" s="58"/>
      <c r="AJ618" s="77"/>
      <c r="AK618" s="83">
        <v>41736.0</v>
      </c>
      <c r="AL618" s="56" t="s">
        <v>188</v>
      </c>
    </row>
    <row r="619" ht="22.5" customHeight="1">
      <c r="A619" s="27" t="s">
        <v>3795</v>
      </c>
      <c r="B619" s="57" t="s">
        <v>1707</v>
      </c>
      <c r="C619" s="32" t="s">
        <v>1708</v>
      </c>
      <c r="D619" s="177" t="s">
        <v>584</v>
      </c>
      <c r="E619" s="103" t="s">
        <v>1709</v>
      </c>
      <c r="F619" s="34" t="s">
        <v>93</v>
      </c>
      <c r="G619" s="34" t="s">
        <v>168</v>
      </c>
      <c r="H619" s="155">
        <v>42726.0</v>
      </c>
      <c r="I619" s="155"/>
      <c r="J619" s="155">
        <v>42726.0</v>
      </c>
      <c r="K619" s="32" t="s">
        <v>70</v>
      </c>
      <c r="L619" s="34" t="s">
        <v>115</v>
      </c>
      <c r="M619" s="63" t="s">
        <v>218</v>
      </c>
      <c r="N619" s="38" t="s">
        <v>89</v>
      </c>
      <c r="O619" s="32" t="s">
        <v>175</v>
      </c>
      <c r="P619" s="57" t="s">
        <v>2205</v>
      </c>
      <c r="Q619" s="57" t="s">
        <v>3796</v>
      </c>
      <c r="R619" s="155">
        <v>43821.0</v>
      </c>
      <c r="S619" s="32" t="s">
        <v>116</v>
      </c>
      <c r="T619" s="203" t="s">
        <v>1712</v>
      </c>
      <c r="U619" s="67" t="s">
        <v>3797</v>
      </c>
      <c r="V619" s="34" t="s">
        <v>80</v>
      </c>
      <c r="W619" s="60" t="s">
        <v>1714</v>
      </c>
      <c r="X619" s="60" t="s">
        <v>1715</v>
      </c>
      <c r="Y619" s="109" t="s">
        <v>1716</v>
      </c>
      <c r="Z619" s="32" t="s">
        <v>112</v>
      </c>
      <c r="AA619" s="47"/>
      <c r="AB619" s="123" t="s">
        <v>113</v>
      </c>
      <c r="AC619" s="60"/>
      <c r="AD619" s="261"/>
      <c r="AE619" s="57"/>
      <c r="AF619" s="34" t="s">
        <v>80</v>
      </c>
      <c r="AG619" s="56" t="s">
        <v>1720</v>
      </c>
      <c r="AH619" s="47"/>
      <c r="AI619" s="58"/>
      <c r="AJ619" s="77"/>
      <c r="AK619" s="58">
        <v>41674.0</v>
      </c>
      <c r="AL619" s="56" t="s">
        <v>188</v>
      </c>
    </row>
    <row r="620" ht="22.5" customHeight="1">
      <c r="A620" s="286" t="s">
        <v>3798</v>
      </c>
      <c r="B620" s="57" t="s">
        <v>3799</v>
      </c>
      <c r="C620" s="57" t="s">
        <v>3800</v>
      </c>
      <c r="D620" s="54" t="s">
        <v>75</v>
      </c>
      <c r="E620" s="57" t="s">
        <v>3801</v>
      </c>
      <c r="F620" s="54" t="s">
        <v>140</v>
      </c>
      <c r="G620" s="54" t="s">
        <v>85</v>
      </c>
      <c r="H620" s="155">
        <v>43024.0</v>
      </c>
      <c r="I620" s="155">
        <v>43024.0</v>
      </c>
      <c r="J620" s="155">
        <v>43024.0</v>
      </c>
      <c r="K620" s="32" t="s">
        <v>70</v>
      </c>
      <c r="L620" s="54" t="s">
        <v>115</v>
      </c>
      <c r="M620" s="63" t="s">
        <v>88</v>
      </c>
      <c r="N620" s="32" t="s">
        <v>89</v>
      </c>
      <c r="O620" s="32" t="s">
        <v>196</v>
      </c>
      <c r="P620" s="57" t="s">
        <v>3802</v>
      </c>
      <c r="Q620" s="57" t="s">
        <v>3803</v>
      </c>
      <c r="R620" s="47"/>
      <c r="S620" s="32" t="s">
        <v>196</v>
      </c>
      <c r="T620" s="45" t="s">
        <v>3804</v>
      </c>
      <c r="U620" s="67" t="s">
        <v>3805</v>
      </c>
      <c r="V620" s="54" t="s">
        <v>80</v>
      </c>
      <c r="W620" s="57" t="s">
        <v>3806</v>
      </c>
      <c r="X620" s="57" t="s">
        <v>3807</v>
      </c>
      <c r="Y620" s="67" t="s">
        <v>3808</v>
      </c>
      <c r="Z620" s="32" t="s">
        <v>112</v>
      </c>
      <c r="AA620" s="47"/>
      <c r="AB620" s="57" t="s">
        <v>113</v>
      </c>
      <c r="AC620" s="68" t="s">
        <v>3809</v>
      </c>
      <c r="AD620" s="261">
        <v>43026.0</v>
      </c>
      <c r="AE620" s="57"/>
      <c r="AF620" s="54" t="s">
        <v>80</v>
      </c>
      <c r="AG620" s="56" t="s">
        <v>3810</v>
      </c>
      <c r="AH620" s="139" t="s">
        <v>947</v>
      </c>
      <c r="AI620" s="41"/>
      <c r="AJ620" s="77"/>
      <c r="AK620" s="83">
        <v>42795.0</v>
      </c>
      <c r="AL620" s="56" t="s">
        <v>208</v>
      </c>
    </row>
    <row r="621" ht="22.5" customHeight="1">
      <c r="A621" s="286" t="s">
        <v>3811</v>
      </c>
      <c r="B621" s="57" t="s">
        <v>3812</v>
      </c>
      <c r="C621" s="57" t="s">
        <v>3813</v>
      </c>
      <c r="D621" s="54" t="s">
        <v>75</v>
      </c>
      <c r="E621" s="57" t="s">
        <v>3814</v>
      </c>
      <c r="F621" s="54" t="s">
        <v>140</v>
      </c>
      <c r="G621" s="54" t="s">
        <v>85</v>
      </c>
      <c r="H621" s="155">
        <v>43021.0</v>
      </c>
      <c r="I621" s="155">
        <v>43020.0</v>
      </c>
      <c r="J621" s="155">
        <v>43021.0</v>
      </c>
      <c r="K621" s="32" t="s">
        <v>70</v>
      </c>
      <c r="L621" s="54" t="s">
        <v>115</v>
      </c>
      <c r="M621" s="63" t="s">
        <v>218</v>
      </c>
      <c r="N621" s="32" t="s">
        <v>89</v>
      </c>
      <c r="O621" s="32" t="s">
        <v>402</v>
      </c>
      <c r="P621" s="32"/>
      <c r="Q621" s="57" t="s">
        <v>2324</v>
      </c>
      <c r="R621" s="47"/>
      <c r="S621" s="32" t="s">
        <v>402</v>
      </c>
      <c r="T621" s="45" t="s">
        <v>3815</v>
      </c>
      <c r="U621" s="67" t="s">
        <v>3816</v>
      </c>
      <c r="V621" s="54" t="s">
        <v>80</v>
      </c>
      <c r="W621" s="57" t="s">
        <v>3817</v>
      </c>
      <c r="X621" s="57" t="s">
        <v>3818</v>
      </c>
      <c r="Y621" s="67" t="s">
        <v>3819</v>
      </c>
      <c r="Z621" s="32" t="s">
        <v>112</v>
      </c>
      <c r="AA621" s="47"/>
      <c r="AB621" s="60" t="s">
        <v>647</v>
      </c>
      <c r="AC621" s="255" t="s">
        <v>3820</v>
      </c>
      <c r="AD621" s="261">
        <v>43027.0</v>
      </c>
      <c r="AE621" s="47"/>
      <c r="AF621" s="54" t="s">
        <v>80</v>
      </c>
      <c r="AG621" s="56" t="s">
        <v>3821</v>
      </c>
      <c r="AH621" s="139" t="s">
        <v>947</v>
      </c>
      <c r="AI621" s="58"/>
      <c r="AJ621" s="83">
        <v>42929.0</v>
      </c>
      <c r="AK621" s="83">
        <v>42941.0</v>
      </c>
      <c r="AL621" s="56" t="s">
        <v>1033</v>
      </c>
    </row>
    <row r="622" ht="22.5" customHeight="1">
      <c r="A622" s="286" t="s">
        <v>3822</v>
      </c>
      <c r="B622" s="57" t="s">
        <v>1321</v>
      </c>
      <c r="C622" s="57" t="s">
        <v>1322</v>
      </c>
      <c r="D622" s="34" t="s">
        <v>845</v>
      </c>
      <c r="E622" s="38" t="s">
        <v>1323</v>
      </c>
      <c r="F622" s="34" t="s">
        <v>140</v>
      </c>
      <c r="G622" s="34" t="s">
        <v>168</v>
      </c>
      <c r="H622" s="155">
        <v>43033.0</v>
      </c>
      <c r="I622" s="155">
        <v>43033.0</v>
      </c>
      <c r="J622" s="155"/>
      <c r="K622" s="32" t="s">
        <v>70</v>
      </c>
      <c r="L622" s="34" t="s">
        <v>115</v>
      </c>
      <c r="M622" s="32" t="s">
        <v>88</v>
      </c>
      <c r="N622" s="32" t="s">
        <v>89</v>
      </c>
      <c r="O622" s="32" t="s">
        <v>1510</v>
      </c>
      <c r="P622" s="32"/>
      <c r="Q622" s="57" t="s">
        <v>3823</v>
      </c>
      <c r="R622" s="47"/>
      <c r="S622" s="32" t="s">
        <v>196</v>
      </c>
      <c r="T622" s="45" t="s">
        <v>1324</v>
      </c>
      <c r="U622" s="67" t="s">
        <v>3824</v>
      </c>
      <c r="V622" s="34" t="s">
        <v>80</v>
      </c>
      <c r="W622" s="32" t="s">
        <v>561</v>
      </c>
      <c r="X622" s="32" t="s">
        <v>1326</v>
      </c>
      <c r="Y622" s="109" t="s">
        <v>1327</v>
      </c>
      <c r="Z622" s="32" t="s">
        <v>112</v>
      </c>
      <c r="AA622" s="32"/>
      <c r="AB622" s="32" t="s">
        <v>113</v>
      </c>
      <c r="AC622" s="60"/>
      <c r="AD622" s="261"/>
      <c r="AE622" s="47"/>
      <c r="AF622" s="34" t="s">
        <v>80</v>
      </c>
      <c r="AG622" s="56" t="s">
        <v>1329</v>
      </c>
      <c r="AH622" s="47"/>
      <c r="AI622" s="58"/>
      <c r="AJ622" s="41"/>
      <c r="AK622" s="58">
        <v>41619.0</v>
      </c>
      <c r="AL622" s="56" t="s">
        <v>3006</v>
      </c>
    </row>
    <row r="623" ht="22.5" customHeight="1">
      <c r="A623" s="286" t="s">
        <v>3825</v>
      </c>
      <c r="B623" s="57" t="s">
        <v>1331</v>
      </c>
      <c r="C623" s="57" t="s">
        <v>3561</v>
      </c>
      <c r="D623" s="54" t="s">
        <v>845</v>
      </c>
      <c r="E623" s="57" t="s">
        <v>1333</v>
      </c>
      <c r="F623" s="54" t="s">
        <v>140</v>
      </c>
      <c r="G623" s="34" t="s">
        <v>168</v>
      </c>
      <c r="H623" s="155">
        <v>43037.0</v>
      </c>
      <c r="I623" s="155">
        <v>43037.0</v>
      </c>
      <c r="J623" s="155">
        <v>43037.0</v>
      </c>
      <c r="K623" s="32" t="s">
        <v>70</v>
      </c>
      <c r="L623" s="34" t="s">
        <v>115</v>
      </c>
      <c r="M623" s="63" t="s">
        <v>218</v>
      </c>
      <c r="N623" s="32" t="s">
        <v>89</v>
      </c>
      <c r="O623" s="32" t="s">
        <v>142</v>
      </c>
      <c r="P623" s="38" t="s">
        <v>1050</v>
      </c>
      <c r="Q623" s="57" t="s">
        <v>2590</v>
      </c>
      <c r="R623" s="155">
        <v>44105.0</v>
      </c>
      <c r="S623" s="32" t="s">
        <v>1023</v>
      </c>
      <c r="T623" s="45" t="s">
        <v>1335</v>
      </c>
      <c r="U623" s="67" t="s">
        <v>3826</v>
      </c>
      <c r="V623" s="54" t="s">
        <v>80</v>
      </c>
      <c r="W623" s="57" t="s">
        <v>561</v>
      </c>
      <c r="X623" s="57" t="s">
        <v>561</v>
      </c>
      <c r="Y623" s="67" t="s">
        <v>1337</v>
      </c>
      <c r="Z623" s="32" t="s">
        <v>112</v>
      </c>
      <c r="AA623" s="47"/>
      <c r="AB623" s="60" t="s">
        <v>575</v>
      </c>
      <c r="AC623" s="32"/>
      <c r="AD623" s="261"/>
      <c r="AE623" s="47"/>
      <c r="AF623" s="54" t="s">
        <v>80</v>
      </c>
      <c r="AG623" s="56" t="s">
        <v>1339</v>
      </c>
      <c r="AH623" s="41"/>
      <c r="AI623" s="41"/>
      <c r="AJ623" s="83"/>
      <c r="AK623" s="83">
        <v>41589.0</v>
      </c>
      <c r="AL623" s="56" t="s">
        <v>262</v>
      </c>
    </row>
    <row r="624" ht="22.5" customHeight="1">
      <c r="A624" s="286" t="s">
        <v>3827</v>
      </c>
      <c r="B624" s="57" t="s">
        <v>190</v>
      </c>
      <c r="C624" s="149" t="s">
        <v>211</v>
      </c>
      <c r="D624" s="34" t="s">
        <v>752</v>
      </c>
      <c r="E624" s="32" t="s">
        <v>947</v>
      </c>
      <c r="F624" s="34" t="s">
        <v>93</v>
      </c>
      <c r="G624" s="34" t="s">
        <v>168</v>
      </c>
      <c r="H624" s="155">
        <v>43039.0</v>
      </c>
      <c r="I624" s="155">
        <v>43039.0</v>
      </c>
      <c r="J624" s="155"/>
      <c r="K624" s="32" t="s">
        <v>70</v>
      </c>
      <c r="L624" s="34" t="s">
        <v>115</v>
      </c>
      <c r="M624" s="63" t="s">
        <v>218</v>
      </c>
      <c r="N624" s="32" t="s">
        <v>434</v>
      </c>
      <c r="O624" s="32" t="s">
        <v>1522</v>
      </c>
      <c r="P624" s="38"/>
      <c r="Q624" s="57" t="s">
        <v>3099</v>
      </c>
      <c r="R624" s="155"/>
      <c r="S624" s="32" t="s">
        <v>116</v>
      </c>
      <c r="T624" s="56" t="s">
        <v>2733</v>
      </c>
      <c r="U624" s="67" t="s">
        <v>3828</v>
      </c>
      <c r="V624" s="34" t="s">
        <v>80</v>
      </c>
      <c r="W624" s="32" t="s">
        <v>201</v>
      </c>
      <c r="X624" s="32" t="s">
        <v>202</v>
      </c>
      <c r="Y624" s="45" t="s">
        <v>203</v>
      </c>
      <c r="Z624" s="32" t="s">
        <v>112</v>
      </c>
      <c r="AA624" s="47"/>
      <c r="AB624" s="32" t="s">
        <v>113</v>
      </c>
      <c r="AC624" s="32"/>
      <c r="AD624" s="261"/>
      <c r="AE624" s="47"/>
      <c r="AF624" s="34" t="s">
        <v>80</v>
      </c>
      <c r="AG624" s="56" t="s">
        <v>206</v>
      </c>
      <c r="AH624" s="41"/>
      <c r="AI624" s="41"/>
      <c r="AJ624" s="83"/>
      <c r="AK624" s="58">
        <v>42212.0</v>
      </c>
      <c r="AL624" s="56" t="s">
        <v>3102</v>
      </c>
    </row>
    <row r="625" ht="22.5" customHeight="1">
      <c r="A625" s="286" t="s">
        <v>3829</v>
      </c>
      <c r="B625" s="57" t="s">
        <v>2257</v>
      </c>
      <c r="C625" s="32" t="s">
        <v>2258</v>
      </c>
      <c r="D625" s="34" t="s">
        <v>584</v>
      </c>
      <c r="E625" s="103" t="s">
        <v>2259</v>
      </c>
      <c r="F625" s="41" t="s">
        <v>140</v>
      </c>
      <c r="G625" s="34" t="s">
        <v>168</v>
      </c>
      <c r="H625" s="155">
        <v>43039.0</v>
      </c>
      <c r="I625" s="155">
        <v>43039.0</v>
      </c>
      <c r="J625" s="155">
        <v>43039.0</v>
      </c>
      <c r="K625" s="32" t="s">
        <v>86</v>
      </c>
      <c r="L625" s="41" t="s">
        <v>115</v>
      </c>
      <c r="M625" s="32" t="s">
        <v>313</v>
      </c>
      <c r="N625" s="32" t="s">
        <v>89</v>
      </c>
      <c r="O625" s="32" t="s">
        <v>402</v>
      </c>
      <c r="P625" s="32"/>
      <c r="Q625" s="57" t="s">
        <v>3364</v>
      </c>
      <c r="R625" s="155">
        <v>43404.0</v>
      </c>
      <c r="S625" s="32" t="s">
        <v>402</v>
      </c>
      <c r="T625" s="56" t="s">
        <v>2260</v>
      </c>
      <c r="U625" s="67" t="s">
        <v>3830</v>
      </c>
      <c r="V625" s="34" t="s">
        <v>80</v>
      </c>
      <c r="W625" s="149" t="s">
        <v>2261</v>
      </c>
      <c r="X625" s="198" t="s">
        <v>2515</v>
      </c>
      <c r="Y625" s="45" t="s">
        <v>2263</v>
      </c>
      <c r="Z625" s="32" t="s">
        <v>112</v>
      </c>
      <c r="AA625" s="32"/>
      <c r="AB625" s="32" t="s">
        <v>113</v>
      </c>
      <c r="AC625" s="60"/>
      <c r="AD625" s="261"/>
      <c r="AE625" s="47"/>
      <c r="AF625" s="272" t="s">
        <v>80</v>
      </c>
      <c r="AG625" s="56" t="s">
        <v>2265</v>
      </c>
      <c r="AH625" s="41"/>
      <c r="AI625" s="41"/>
      <c r="AJ625" s="41"/>
      <c r="AK625" s="155">
        <v>41963.0</v>
      </c>
      <c r="AL625" s="56" t="s">
        <v>1033</v>
      </c>
    </row>
    <row r="626" ht="22.5" customHeight="1">
      <c r="A626" s="286" t="s">
        <v>3831</v>
      </c>
      <c r="B626" s="57" t="s">
        <v>2664</v>
      </c>
      <c r="C626" s="149" t="s">
        <v>2665</v>
      </c>
      <c r="D626" s="270" t="s">
        <v>75</v>
      </c>
      <c r="E626" s="149" t="s">
        <v>2666</v>
      </c>
      <c r="F626" s="34" t="s">
        <v>140</v>
      </c>
      <c r="G626" s="34" t="s">
        <v>85</v>
      </c>
      <c r="H626" s="155">
        <v>43034.0</v>
      </c>
      <c r="I626" s="155">
        <v>43034.0</v>
      </c>
      <c r="J626" s="155"/>
      <c r="K626" s="63" t="s">
        <v>70</v>
      </c>
      <c r="L626" s="34" t="s">
        <v>115</v>
      </c>
      <c r="M626" s="32" t="s">
        <v>313</v>
      </c>
      <c r="N626" s="63" t="s">
        <v>89</v>
      </c>
      <c r="O626" s="32" t="s">
        <v>954</v>
      </c>
      <c r="P626" s="32"/>
      <c r="Q626" s="57" t="s">
        <v>3358</v>
      </c>
      <c r="R626" s="155"/>
      <c r="S626" s="63" t="s">
        <v>954</v>
      </c>
      <c r="T626" s="56" t="s">
        <v>2667</v>
      </c>
      <c r="U626" s="67" t="s">
        <v>3832</v>
      </c>
      <c r="V626" s="34" t="s">
        <v>80</v>
      </c>
      <c r="W626" s="63" t="s">
        <v>2668</v>
      </c>
      <c r="X626" s="63" t="s">
        <v>2669</v>
      </c>
      <c r="Y626" s="56" t="s">
        <v>2670</v>
      </c>
      <c r="Z626" s="32" t="s">
        <v>112</v>
      </c>
      <c r="AA626" s="42"/>
      <c r="AB626" s="149" t="s">
        <v>481</v>
      </c>
      <c r="AC626" s="60" t="s">
        <v>3833</v>
      </c>
      <c r="AD626" s="66">
        <v>43055.0</v>
      </c>
      <c r="AE626" s="47"/>
      <c r="AF626" s="34" t="s">
        <v>80</v>
      </c>
      <c r="AG626" s="56" t="s">
        <v>2671</v>
      </c>
      <c r="AH626" s="139" t="s">
        <v>947</v>
      </c>
      <c r="AI626" s="41"/>
      <c r="AJ626" s="268">
        <v>42480.0</v>
      </c>
      <c r="AK626" s="58">
        <v>42825.0</v>
      </c>
      <c r="AL626" s="56" t="s">
        <v>965</v>
      </c>
    </row>
    <row r="627" ht="22.5" customHeight="1">
      <c r="A627" s="286" t="s">
        <v>3834</v>
      </c>
      <c r="B627" s="57" t="s">
        <v>2664</v>
      </c>
      <c r="C627" s="149" t="s">
        <v>2665</v>
      </c>
      <c r="D627" s="270" t="s">
        <v>75</v>
      </c>
      <c r="E627" s="149" t="s">
        <v>2666</v>
      </c>
      <c r="F627" s="34" t="s">
        <v>140</v>
      </c>
      <c r="G627" s="34" t="s">
        <v>168</v>
      </c>
      <c r="H627" s="155">
        <v>43034.0</v>
      </c>
      <c r="I627" s="155">
        <v>43034.0</v>
      </c>
      <c r="J627" s="155"/>
      <c r="K627" s="63" t="s">
        <v>70</v>
      </c>
      <c r="L627" s="34" t="s">
        <v>115</v>
      </c>
      <c r="M627" s="32" t="s">
        <v>313</v>
      </c>
      <c r="N627" s="63" t="s">
        <v>89</v>
      </c>
      <c r="O627" s="32" t="s">
        <v>1520</v>
      </c>
      <c r="P627" s="32"/>
      <c r="Q627" s="57" t="s">
        <v>3764</v>
      </c>
      <c r="R627" s="155"/>
      <c r="S627" s="63" t="s">
        <v>954</v>
      </c>
      <c r="T627" s="56" t="s">
        <v>2667</v>
      </c>
      <c r="U627" s="67" t="s">
        <v>3835</v>
      </c>
      <c r="V627" s="34" t="s">
        <v>80</v>
      </c>
      <c r="W627" s="63" t="s">
        <v>2668</v>
      </c>
      <c r="X627" s="63" t="s">
        <v>2669</v>
      </c>
      <c r="Y627" s="56" t="s">
        <v>2670</v>
      </c>
      <c r="Z627" s="32" t="s">
        <v>112</v>
      </c>
      <c r="AA627" s="42"/>
      <c r="AB627" s="149" t="s">
        <v>481</v>
      </c>
      <c r="AC627" s="60"/>
      <c r="AD627" s="66"/>
      <c r="AE627" s="47"/>
      <c r="AF627" s="34" t="s">
        <v>80</v>
      </c>
      <c r="AG627" s="56" t="s">
        <v>2671</v>
      </c>
      <c r="AH627" s="266"/>
      <c r="AI627" s="266"/>
      <c r="AJ627" s="268">
        <v>42480.0</v>
      </c>
      <c r="AK627" s="58">
        <v>42825.0</v>
      </c>
      <c r="AL627" s="56" t="s">
        <v>1530</v>
      </c>
    </row>
    <row r="628" ht="22.5" customHeight="1">
      <c r="A628" s="286" t="s">
        <v>3836</v>
      </c>
      <c r="B628" s="57" t="s">
        <v>987</v>
      </c>
      <c r="C628" s="149" t="s">
        <v>988</v>
      </c>
      <c r="D628" s="54" t="s">
        <v>75</v>
      </c>
      <c r="E628" s="57" t="s">
        <v>990</v>
      </c>
      <c r="F628" s="54" t="s">
        <v>93</v>
      </c>
      <c r="G628" s="54" t="s">
        <v>168</v>
      </c>
      <c r="H628" s="155">
        <v>43038.0</v>
      </c>
      <c r="I628" s="155">
        <v>43032.0</v>
      </c>
      <c r="J628" s="155">
        <v>43038.0</v>
      </c>
      <c r="K628" s="32" t="s">
        <v>70</v>
      </c>
      <c r="L628" s="34" t="s">
        <v>115</v>
      </c>
      <c r="M628" s="63" t="s">
        <v>218</v>
      </c>
      <c r="N628" s="32" t="s">
        <v>89</v>
      </c>
      <c r="O628" s="57" t="s">
        <v>1023</v>
      </c>
      <c r="P628" s="32" t="s">
        <v>3085</v>
      </c>
      <c r="Q628" s="57" t="s">
        <v>3086</v>
      </c>
      <c r="R628" s="155">
        <v>43397.0</v>
      </c>
      <c r="S628" s="32" t="s">
        <v>116</v>
      </c>
      <c r="T628" s="203" t="s">
        <v>997</v>
      </c>
      <c r="U628" s="67" t="s">
        <v>3837</v>
      </c>
      <c r="V628" s="34" t="s">
        <v>80</v>
      </c>
      <c r="W628" s="63" t="s">
        <v>1001</v>
      </c>
      <c r="X628" s="63" t="s">
        <v>1002</v>
      </c>
      <c r="Y628" s="56" t="s">
        <v>1003</v>
      </c>
      <c r="Z628" s="32" t="s">
        <v>112</v>
      </c>
      <c r="AA628" s="68"/>
      <c r="AB628" s="32" t="s">
        <v>113</v>
      </c>
      <c r="AC628" s="68"/>
      <c r="AD628" s="261"/>
      <c r="AE628" s="47"/>
      <c r="AF628" s="34" t="s">
        <v>80</v>
      </c>
      <c r="AG628" s="56" t="s">
        <v>1005</v>
      </c>
      <c r="AH628" s="47"/>
      <c r="AI628" s="58"/>
      <c r="AJ628" s="41"/>
      <c r="AK628" s="83">
        <v>41736.0</v>
      </c>
      <c r="AL628" s="56" t="s">
        <v>1028</v>
      </c>
    </row>
    <row r="629" ht="22.5" customHeight="1">
      <c r="A629" s="286" t="s">
        <v>3838</v>
      </c>
      <c r="B629" s="57" t="s">
        <v>3454</v>
      </c>
      <c r="C629" s="32" t="s">
        <v>2109</v>
      </c>
      <c r="D629" s="41" t="s">
        <v>91</v>
      </c>
      <c r="E629" s="103" t="s">
        <v>2110</v>
      </c>
      <c r="F629" s="34" t="s">
        <v>93</v>
      </c>
      <c r="G629" s="34" t="s">
        <v>168</v>
      </c>
      <c r="H629" s="155">
        <v>43042.0</v>
      </c>
      <c r="I629" s="155">
        <v>43008.0</v>
      </c>
      <c r="J629" s="155">
        <v>43042.0</v>
      </c>
      <c r="K629" s="32" t="s">
        <v>70</v>
      </c>
      <c r="L629" s="34" t="s">
        <v>115</v>
      </c>
      <c r="M629" s="63" t="s">
        <v>218</v>
      </c>
      <c r="N629" s="32" t="s">
        <v>89</v>
      </c>
      <c r="O629" s="32" t="s">
        <v>1023</v>
      </c>
      <c r="P629" s="32" t="s">
        <v>3085</v>
      </c>
      <c r="Q629" s="32" t="s">
        <v>3086</v>
      </c>
      <c r="R629" s="155">
        <v>43373.0</v>
      </c>
      <c r="S629" s="32" t="s">
        <v>116</v>
      </c>
      <c r="T629" s="45" t="s">
        <v>2112</v>
      </c>
      <c r="U629" s="67" t="s">
        <v>3839</v>
      </c>
      <c r="V629" s="34" t="s">
        <v>80</v>
      </c>
      <c r="W629" s="60" t="s">
        <v>2114</v>
      </c>
      <c r="X629" s="60" t="s">
        <v>2115</v>
      </c>
      <c r="Y629" s="109" t="s">
        <v>2116</v>
      </c>
      <c r="Z629" s="32" t="s">
        <v>112</v>
      </c>
      <c r="AA629" s="32"/>
      <c r="AB629" s="123" t="s">
        <v>113</v>
      </c>
      <c r="AC629" s="60"/>
      <c r="AD629" s="261"/>
      <c r="AE629" s="47"/>
      <c r="AF629" s="34" t="s">
        <v>80</v>
      </c>
      <c r="AG629" s="56" t="s">
        <v>2120</v>
      </c>
      <c r="AH629" s="47"/>
      <c r="AI629" s="58"/>
      <c r="AJ629" s="41"/>
      <c r="AK629" s="58">
        <v>41689.0</v>
      </c>
      <c r="AL629" s="56" t="s">
        <v>1028</v>
      </c>
    </row>
    <row r="630" ht="22.5" customHeight="1">
      <c r="A630" s="286" t="s">
        <v>3840</v>
      </c>
      <c r="B630" s="57" t="s">
        <v>190</v>
      </c>
      <c r="C630" s="32" t="s">
        <v>3044</v>
      </c>
      <c r="D630" s="34" t="s">
        <v>752</v>
      </c>
      <c r="E630" s="57" t="s">
        <v>193</v>
      </c>
      <c r="F630" s="54" t="s">
        <v>93</v>
      </c>
      <c r="G630" s="54" t="s">
        <v>168</v>
      </c>
      <c r="H630" s="155">
        <v>43041.0</v>
      </c>
      <c r="I630" s="155">
        <v>43041.0</v>
      </c>
      <c r="J630" s="155">
        <v>43041.0</v>
      </c>
      <c r="K630" s="32" t="s">
        <v>70</v>
      </c>
      <c r="L630" s="34" t="s">
        <v>115</v>
      </c>
      <c r="M630" s="63" t="s">
        <v>88</v>
      </c>
      <c r="N630" s="32" t="s">
        <v>89</v>
      </c>
      <c r="O630" s="32" t="s">
        <v>969</v>
      </c>
      <c r="P630" s="32" t="s">
        <v>1055</v>
      </c>
      <c r="Q630" s="38" t="s">
        <v>1056</v>
      </c>
      <c r="R630" s="155">
        <v>44136.0</v>
      </c>
      <c r="S630" s="57" t="s">
        <v>116</v>
      </c>
      <c r="T630" s="56" t="s">
        <v>198</v>
      </c>
      <c r="U630" s="67" t="s">
        <v>3841</v>
      </c>
      <c r="V630" s="34" t="s">
        <v>80</v>
      </c>
      <c r="W630" s="32" t="s">
        <v>201</v>
      </c>
      <c r="X630" s="32" t="s">
        <v>202</v>
      </c>
      <c r="Y630" s="45" t="s">
        <v>203</v>
      </c>
      <c r="Z630" s="32" t="s">
        <v>112</v>
      </c>
      <c r="AA630" s="47"/>
      <c r="AB630" s="32" t="s">
        <v>113</v>
      </c>
      <c r="AC630" s="60"/>
      <c r="AD630" s="261"/>
      <c r="AE630" s="47"/>
      <c r="AF630" s="34" t="s">
        <v>80</v>
      </c>
      <c r="AG630" s="56" t="s">
        <v>206</v>
      </c>
      <c r="AH630" s="47"/>
      <c r="AI630" s="58"/>
      <c r="AJ630" s="41"/>
      <c r="AK630" s="58">
        <v>41215.0</v>
      </c>
      <c r="AL630" s="56" t="s">
        <v>1043</v>
      </c>
    </row>
    <row r="631" ht="22.5" customHeight="1">
      <c r="A631" s="286" t="s">
        <v>3842</v>
      </c>
      <c r="B631" s="57" t="s">
        <v>190</v>
      </c>
      <c r="C631" s="32" t="s">
        <v>3044</v>
      </c>
      <c r="D631" s="34" t="s">
        <v>752</v>
      </c>
      <c r="E631" s="57" t="s">
        <v>193</v>
      </c>
      <c r="F631" s="54" t="s">
        <v>93</v>
      </c>
      <c r="G631" s="54" t="s">
        <v>168</v>
      </c>
      <c r="H631" s="155">
        <v>43042.0</v>
      </c>
      <c r="I631" s="155">
        <v>43040.0</v>
      </c>
      <c r="J631" s="155">
        <v>43042.0</v>
      </c>
      <c r="K631" s="32" t="s">
        <v>70</v>
      </c>
      <c r="L631" s="34" t="s">
        <v>115</v>
      </c>
      <c r="M631" s="63" t="s">
        <v>88</v>
      </c>
      <c r="N631" s="32" t="s">
        <v>89</v>
      </c>
      <c r="O631" s="32" t="s">
        <v>196</v>
      </c>
      <c r="P631" s="32" t="s">
        <v>1826</v>
      </c>
      <c r="Q631" s="32" t="s">
        <v>3843</v>
      </c>
      <c r="R631" s="155">
        <v>44136.0</v>
      </c>
      <c r="S631" s="57" t="s">
        <v>116</v>
      </c>
      <c r="T631" s="56" t="s">
        <v>198</v>
      </c>
      <c r="U631" s="67" t="s">
        <v>3844</v>
      </c>
      <c r="V631" s="34" t="s">
        <v>80</v>
      </c>
      <c r="W631" s="32" t="s">
        <v>201</v>
      </c>
      <c r="X631" s="32" t="s">
        <v>202</v>
      </c>
      <c r="Y631" s="45" t="s">
        <v>203</v>
      </c>
      <c r="Z631" s="32" t="s">
        <v>112</v>
      </c>
      <c r="AA631" s="47"/>
      <c r="AB631" s="32" t="s">
        <v>113</v>
      </c>
      <c r="AC631" s="60"/>
      <c r="AD631" s="261"/>
      <c r="AE631" s="47"/>
      <c r="AF631" s="34" t="s">
        <v>80</v>
      </c>
      <c r="AG631" s="56" t="s">
        <v>206</v>
      </c>
      <c r="AH631" s="47"/>
      <c r="AI631" s="58"/>
      <c r="AJ631" s="41"/>
      <c r="AK631" s="58">
        <v>41215.0</v>
      </c>
      <c r="AL631" s="56" t="s">
        <v>208</v>
      </c>
    </row>
    <row r="632" ht="22.5" customHeight="1">
      <c r="A632" s="286" t="s">
        <v>3845</v>
      </c>
      <c r="B632" s="57" t="s">
        <v>190</v>
      </c>
      <c r="C632" s="149" t="s">
        <v>211</v>
      </c>
      <c r="D632" s="34" t="s">
        <v>752</v>
      </c>
      <c r="E632" s="32" t="s">
        <v>947</v>
      </c>
      <c r="F632" s="34" t="s">
        <v>93</v>
      </c>
      <c r="G632" s="54" t="s">
        <v>168</v>
      </c>
      <c r="H632" s="155">
        <v>43042.0</v>
      </c>
      <c r="I632" s="155">
        <v>43040.0</v>
      </c>
      <c r="J632" s="155">
        <v>43042.0</v>
      </c>
      <c r="K632" s="32" t="s">
        <v>70</v>
      </c>
      <c r="L632" s="34" t="s">
        <v>115</v>
      </c>
      <c r="M632" s="63" t="s">
        <v>218</v>
      </c>
      <c r="N632" s="32" t="s">
        <v>434</v>
      </c>
      <c r="O632" s="32" t="s">
        <v>196</v>
      </c>
      <c r="P632" s="32" t="s">
        <v>1826</v>
      </c>
      <c r="Q632" s="32" t="s">
        <v>3843</v>
      </c>
      <c r="R632" s="155">
        <v>44136.0</v>
      </c>
      <c r="S632" s="32" t="s">
        <v>116</v>
      </c>
      <c r="T632" s="56" t="s">
        <v>2733</v>
      </c>
      <c r="U632" s="67" t="s">
        <v>3846</v>
      </c>
      <c r="V632" s="34" t="s">
        <v>80</v>
      </c>
      <c r="W632" s="32" t="s">
        <v>201</v>
      </c>
      <c r="X632" s="32" t="s">
        <v>202</v>
      </c>
      <c r="Y632" s="45" t="s">
        <v>203</v>
      </c>
      <c r="Z632" s="32" t="s">
        <v>112</v>
      </c>
      <c r="AA632" s="47"/>
      <c r="AB632" s="32" t="s">
        <v>113</v>
      </c>
      <c r="AC632" s="60"/>
      <c r="AD632" s="261"/>
      <c r="AE632" s="47"/>
      <c r="AF632" s="34" t="s">
        <v>80</v>
      </c>
      <c r="AG632" s="56" t="s">
        <v>206</v>
      </c>
      <c r="AH632" s="41"/>
      <c r="AI632" s="41"/>
      <c r="AJ632" s="83"/>
      <c r="AK632" s="58">
        <v>42212.0</v>
      </c>
      <c r="AL632" s="56" t="s">
        <v>208</v>
      </c>
    </row>
    <row r="633" ht="22.5" customHeight="1">
      <c r="A633" s="286" t="s">
        <v>3847</v>
      </c>
      <c r="B633" s="57" t="s">
        <v>2550</v>
      </c>
      <c r="C633" s="32" t="s">
        <v>2551</v>
      </c>
      <c r="D633" s="34" t="s">
        <v>584</v>
      </c>
      <c r="E633" s="149" t="s">
        <v>2552</v>
      </c>
      <c r="F633" s="34" t="s">
        <v>140</v>
      </c>
      <c r="G633" s="54" t="s">
        <v>168</v>
      </c>
      <c r="H633" s="155">
        <v>43042.0</v>
      </c>
      <c r="I633" s="155">
        <v>43040.0</v>
      </c>
      <c r="J633" s="155">
        <v>43042.0</v>
      </c>
      <c r="K633" s="32" t="s">
        <v>70</v>
      </c>
      <c r="L633" s="34" t="s">
        <v>115</v>
      </c>
      <c r="M633" s="42" t="s">
        <v>88</v>
      </c>
      <c r="N633" s="32" t="s">
        <v>89</v>
      </c>
      <c r="O633" s="32" t="s">
        <v>196</v>
      </c>
      <c r="P633" s="32" t="s">
        <v>1826</v>
      </c>
      <c r="Q633" s="32" t="s">
        <v>3843</v>
      </c>
      <c r="R633" s="155">
        <v>44136.0</v>
      </c>
      <c r="S633" s="32" t="s">
        <v>1023</v>
      </c>
      <c r="T633" s="56" t="s">
        <v>2553</v>
      </c>
      <c r="U633" s="67" t="s">
        <v>3848</v>
      </c>
      <c r="V633" s="34" t="s">
        <v>80</v>
      </c>
      <c r="W633" s="149" t="s">
        <v>2555</v>
      </c>
      <c r="X633" s="149" t="s">
        <v>2556</v>
      </c>
      <c r="Y633" s="152" t="s">
        <v>2557</v>
      </c>
      <c r="Z633" s="32" t="s">
        <v>112</v>
      </c>
      <c r="AA633" s="68"/>
      <c r="AB633" s="60" t="s">
        <v>389</v>
      </c>
      <c r="AC633" s="60"/>
      <c r="AD633" s="261"/>
      <c r="AE633" s="47"/>
      <c r="AF633" s="34" t="s">
        <v>80</v>
      </c>
      <c r="AG633" s="56" t="s">
        <v>2559</v>
      </c>
      <c r="AH633" s="287"/>
      <c r="AI633" s="288"/>
      <c r="AJ633" s="41"/>
      <c r="AK633" s="268">
        <v>41770.0</v>
      </c>
      <c r="AL633" s="56" t="s">
        <v>208</v>
      </c>
    </row>
    <row r="634" ht="22.5" customHeight="1">
      <c r="A634" s="286" t="s">
        <v>3849</v>
      </c>
      <c r="B634" s="57" t="s">
        <v>3385</v>
      </c>
      <c r="C634" s="57" t="s">
        <v>3696</v>
      </c>
      <c r="D634" s="54" t="s">
        <v>75</v>
      </c>
      <c r="E634" s="57" t="s">
        <v>3697</v>
      </c>
      <c r="F634" s="54" t="s">
        <v>93</v>
      </c>
      <c r="G634" s="54" t="s">
        <v>85</v>
      </c>
      <c r="H634" s="155">
        <v>43052.0</v>
      </c>
      <c r="I634" s="155">
        <v>43038.0</v>
      </c>
      <c r="J634" s="155">
        <v>43052.0</v>
      </c>
      <c r="K634" s="32" t="s">
        <v>70</v>
      </c>
      <c r="L634" s="54" t="s">
        <v>115</v>
      </c>
      <c r="M634" s="63" t="s">
        <v>218</v>
      </c>
      <c r="N634" s="32" t="s">
        <v>89</v>
      </c>
      <c r="O634" s="57" t="s">
        <v>116</v>
      </c>
      <c r="P634" s="32"/>
      <c r="Q634" s="57" t="s">
        <v>117</v>
      </c>
      <c r="R634" s="47"/>
      <c r="S634" s="57" t="s">
        <v>116</v>
      </c>
      <c r="T634" s="45" t="s">
        <v>3698</v>
      </c>
      <c r="U634" s="67" t="s">
        <v>3850</v>
      </c>
      <c r="V634" s="54" t="s">
        <v>80</v>
      </c>
      <c r="W634" s="57" t="s">
        <v>3390</v>
      </c>
      <c r="X634" s="57" t="s">
        <v>3391</v>
      </c>
      <c r="Y634" s="67" t="s">
        <v>3392</v>
      </c>
      <c r="Z634" s="32" t="s">
        <v>112</v>
      </c>
      <c r="AA634" s="47"/>
      <c r="AB634" s="32" t="s">
        <v>113</v>
      </c>
      <c r="AC634" s="32" t="s">
        <v>3851</v>
      </c>
      <c r="AD634" s="261">
        <v>43052.0</v>
      </c>
      <c r="AE634" s="47"/>
      <c r="AF634" s="54" t="s">
        <v>80</v>
      </c>
      <c r="AG634" s="56" t="s">
        <v>3393</v>
      </c>
      <c r="AH634" s="139" t="s">
        <v>947</v>
      </c>
      <c r="AI634" s="41"/>
      <c r="AJ634" s="77"/>
      <c r="AK634" s="83">
        <v>42838.0</v>
      </c>
      <c r="AL634" s="63"/>
    </row>
    <row r="635" ht="22.5" customHeight="1">
      <c r="A635" s="286" t="s">
        <v>3852</v>
      </c>
      <c r="B635" s="57" t="s">
        <v>190</v>
      </c>
      <c r="C635" s="57" t="s">
        <v>3044</v>
      </c>
      <c r="D635" s="34" t="s">
        <v>192</v>
      </c>
      <c r="E635" s="57" t="s">
        <v>193</v>
      </c>
      <c r="F635" s="54" t="s">
        <v>93</v>
      </c>
      <c r="G635" s="54" t="s">
        <v>85</v>
      </c>
      <c r="H635" s="155">
        <v>43052.0</v>
      </c>
      <c r="I635" s="155">
        <v>43038.0</v>
      </c>
      <c r="J635" s="155">
        <v>43052.0</v>
      </c>
      <c r="K635" s="32" t="s">
        <v>70</v>
      </c>
      <c r="L635" s="34" t="s">
        <v>115</v>
      </c>
      <c r="M635" s="63" t="s">
        <v>88</v>
      </c>
      <c r="N635" s="32" t="s">
        <v>89</v>
      </c>
      <c r="O635" s="57" t="s">
        <v>116</v>
      </c>
      <c r="P635" s="32"/>
      <c r="Q635" s="57" t="s">
        <v>117</v>
      </c>
      <c r="R635" s="47"/>
      <c r="S635" s="57" t="s">
        <v>116</v>
      </c>
      <c r="T635" s="56" t="s">
        <v>198</v>
      </c>
      <c r="U635" s="67" t="s">
        <v>3853</v>
      </c>
      <c r="V635" s="34" t="s">
        <v>74</v>
      </c>
      <c r="W635" s="32" t="s">
        <v>201</v>
      </c>
      <c r="X635" s="32" t="s">
        <v>202</v>
      </c>
      <c r="Y635" s="45" t="s">
        <v>203</v>
      </c>
      <c r="Z635" s="32" t="s">
        <v>112</v>
      </c>
      <c r="AA635" s="47"/>
      <c r="AB635" s="32" t="s">
        <v>113</v>
      </c>
      <c r="AC635" s="60" t="s">
        <v>3854</v>
      </c>
      <c r="AD635" s="66">
        <v>41395.0</v>
      </c>
      <c r="AE635" s="57" t="s">
        <v>3855</v>
      </c>
      <c r="AF635" s="34" t="s">
        <v>80</v>
      </c>
      <c r="AG635" s="56" t="s">
        <v>206</v>
      </c>
      <c r="AH635" s="47"/>
      <c r="AI635" s="58"/>
      <c r="AJ635" s="41"/>
      <c r="AK635" s="58">
        <v>41215.0</v>
      </c>
      <c r="AL635" s="63"/>
    </row>
    <row r="636" ht="22.5" customHeight="1">
      <c r="A636" s="286" t="s">
        <v>3856</v>
      </c>
      <c r="B636" s="57" t="s">
        <v>3857</v>
      </c>
      <c r="C636" s="57" t="s">
        <v>3858</v>
      </c>
      <c r="D636" s="54" t="s">
        <v>75</v>
      </c>
      <c r="E636" s="57" t="s">
        <v>3859</v>
      </c>
      <c r="F636" s="54" t="s">
        <v>140</v>
      </c>
      <c r="G636" s="54" t="s">
        <v>85</v>
      </c>
      <c r="H636" s="155">
        <v>43035.0</v>
      </c>
      <c r="I636" s="65"/>
      <c r="J636" s="155">
        <v>43035.0</v>
      </c>
      <c r="K636" s="32" t="s">
        <v>86</v>
      </c>
      <c r="L636" s="54" t="s">
        <v>115</v>
      </c>
      <c r="M636" s="63" t="s">
        <v>313</v>
      </c>
      <c r="N636" s="32" t="s">
        <v>89</v>
      </c>
      <c r="O636" s="32" t="s">
        <v>1520</v>
      </c>
      <c r="P636" s="47"/>
      <c r="Q636" s="57" t="s">
        <v>3860</v>
      </c>
      <c r="R636" s="155">
        <v>43132.0</v>
      </c>
      <c r="S636" s="32" t="s">
        <v>1520</v>
      </c>
      <c r="T636" s="45" t="s">
        <v>3861</v>
      </c>
      <c r="U636" s="67" t="s">
        <v>3862</v>
      </c>
      <c r="V636" s="54" t="s">
        <v>80</v>
      </c>
      <c r="W636" s="57" t="s">
        <v>3863</v>
      </c>
      <c r="X636" s="57" t="s">
        <v>3864</v>
      </c>
      <c r="Y636" s="67" t="s">
        <v>3865</v>
      </c>
      <c r="Z636" s="32" t="s">
        <v>112</v>
      </c>
      <c r="AA636" s="47"/>
      <c r="AB636" s="57" t="s">
        <v>113</v>
      </c>
      <c r="AC636" s="60"/>
      <c r="AD636" s="261">
        <v>43070.0</v>
      </c>
      <c r="AE636" s="47"/>
      <c r="AF636" s="54" t="s">
        <v>74</v>
      </c>
      <c r="AG636" s="56" t="s">
        <v>3866</v>
      </c>
      <c r="AH636" s="47"/>
      <c r="AI636" s="41"/>
      <c r="AJ636" s="77"/>
      <c r="AK636" s="83">
        <v>42625.0</v>
      </c>
      <c r="AL636" s="56" t="s">
        <v>1530</v>
      </c>
    </row>
    <row r="637" ht="22.5" customHeight="1">
      <c r="A637" s="286" t="s">
        <v>3867</v>
      </c>
      <c r="B637" s="57" t="s">
        <v>888</v>
      </c>
      <c r="C637" s="149" t="s">
        <v>3555</v>
      </c>
      <c r="D637" s="41" t="s">
        <v>75</v>
      </c>
      <c r="E637" s="38" t="s">
        <v>1282</v>
      </c>
      <c r="F637" s="34" t="s">
        <v>140</v>
      </c>
      <c r="G637" s="34" t="s">
        <v>168</v>
      </c>
      <c r="H637" s="155">
        <v>43072.0</v>
      </c>
      <c r="I637" s="155">
        <v>43072.0</v>
      </c>
      <c r="J637" s="155">
        <v>43072.0</v>
      </c>
      <c r="K637" s="32" t="s">
        <v>70</v>
      </c>
      <c r="L637" s="41" t="s">
        <v>115</v>
      </c>
      <c r="M637" s="32" t="s">
        <v>88</v>
      </c>
      <c r="N637" s="38" t="s">
        <v>89</v>
      </c>
      <c r="O637" s="32" t="s">
        <v>142</v>
      </c>
      <c r="P637" s="57" t="s">
        <v>1050</v>
      </c>
      <c r="Q637" s="57" t="s">
        <v>2590</v>
      </c>
      <c r="R637" s="155"/>
      <c r="S637" s="32" t="s">
        <v>196</v>
      </c>
      <c r="T637" s="45" t="s">
        <v>1285</v>
      </c>
      <c r="U637" s="67" t="s">
        <v>3868</v>
      </c>
      <c r="V637" s="34" t="s">
        <v>80</v>
      </c>
      <c r="W637" s="32" t="s">
        <v>561</v>
      </c>
      <c r="X637" s="60" t="s">
        <v>1287</v>
      </c>
      <c r="Y637" s="45" t="s">
        <v>1288</v>
      </c>
      <c r="Z637" s="32" t="s">
        <v>112</v>
      </c>
      <c r="AA637" s="32"/>
      <c r="AB637" s="32" t="s">
        <v>113</v>
      </c>
      <c r="AC637" s="60"/>
      <c r="AD637" s="261"/>
      <c r="AE637" s="47"/>
      <c r="AF637" s="34" t="s">
        <v>80</v>
      </c>
      <c r="AG637" s="56" t="s">
        <v>900</v>
      </c>
      <c r="AH637" s="41"/>
      <c r="AI637" s="41"/>
      <c r="AJ637" s="41"/>
      <c r="AK637" s="155">
        <v>41770.0</v>
      </c>
      <c r="AL637" s="56" t="s">
        <v>262</v>
      </c>
    </row>
    <row r="638" ht="22.5" customHeight="1">
      <c r="A638" s="286" t="s">
        <v>3869</v>
      </c>
      <c r="B638" s="57" t="s">
        <v>951</v>
      </c>
      <c r="C638" s="57" t="s">
        <v>3870</v>
      </c>
      <c r="D638" s="54" t="s">
        <v>75</v>
      </c>
      <c r="E638" s="57" t="s">
        <v>3871</v>
      </c>
      <c r="F638" s="54" t="s">
        <v>140</v>
      </c>
      <c r="G638" s="54" t="s">
        <v>85</v>
      </c>
      <c r="H638" s="155">
        <v>43053.0</v>
      </c>
      <c r="I638" s="155">
        <v>43048.0</v>
      </c>
      <c r="J638" s="155">
        <v>43053.0</v>
      </c>
      <c r="K638" s="32" t="s">
        <v>70</v>
      </c>
      <c r="L638" s="54" t="s">
        <v>115</v>
      </c>
      <c r="M638" s="63" t="s">
        <v>218</v>
      </c>
      <c r="N638" s="32" t="s">
        <v>89</v>
      </c>
      <c r="O638" s="32" t="s">
        <v>402</v>
      </c>
      <c r="P638" s="47"/>
      <c r="Q638" s="57" t="s">
        <v>2324</v>
      </c>
      <c r="R638" s="47"/>
      <c r="S638" s="32" t="s">
        <v>402</v>
      </c>
      <c r="T638" s="45" t="s">
        <v>3872</v>
      </c>
      <c r="U638" s="67" t="s">
        <v>3873</v>
      </c>
      <c r="V638" s="54" t="s">
        <v>80</v>
      </c>
      <c r="W638" s="57" t="s">
        <v>3874</v>
      </c>
      <c r="X638" s="57" t="s">
        <v>3875</v>
      </c>
      <c r="Y638" s="67" t="s">
        <v>3876</v>
      </c>
      <c r="Z638" s="32" t="s">
        <v>112</v>
      </c>
      <c r="AA638" s="47"/>
      <c r="AB638" s="32" t="s">
        <v>481</v>
      </c>
      <c r="AC638" s="255" t="s">
        <v>3877</v>
      </c>
      <c r="AD638" s="261">
        <v>43073.0</v>
      </c>
      <c r="AE638" s="57"/>
      <c r="AF638" s="54" t="s">
        <v>80</v>
      </c>
      <c r="AG638" s="56" t="s">
        <v>3878</v>
      </c>
      <c r="AH638" s="63" t="s">
        <v>3879</v>
      </c>
      <c r="AI638" s="58"/>
      <c r="AJ638" s="77"/>
      <c r="AK638" s="83">
        <v>42495.0</v>
      </c>
      <c r="AL638" s="56" t="s">
        <v>1033</v>
      </c>
    </row>
    <row r="639" ht="22.5" customHeight="1">
      <c r="A639" s="286" t="s">
        <v>3880</v>
      </c>
      <c r="B639" s="57" t="s">
        <v>1693</v>
      </c>
      <c r="C639" s="32" t="s">
        <v>1694</v>
      </c>
      <c r="D639" s="41" t="s">
        <v>75</v>
      </c>
      <c r="E639" s="32" t="s">
        <v>1695</v>
      </c>
      <c r="F639" s="34" t="s">
        <v>140</v>
      </c>
      <c r="G639" s="34" t="s">
        <v>168</v>
      </c>
      <c r="H639" s="155">
        <v>43061.0</v>
      </c>
      <c r="I639" s="155">
        <v>43061.0</v>
      </c>
      <c r="J639" s="155">
        <v>43061.0</v>
      </c>
      <c r="K639" s="32" t="s">
        <v>70</v>
      </c>
      <c r="L639" s="41" t="s">
        <v>115</v>
      </c>
      <c r="M639" s="63" t="s">
        <v>218</v>
      </c>
      <c r="N639" s="38" t="s">
        <v>89</v>
      </c>
      <c r="O639" s="32" t="s">
        <v>830</v>
      </c>
      <c r="P639" s="47"/>
      <c r="Q639" s="57" t="s">
        <v>3121</v>
      </c>
      <c r="R639" s="47"/>
      <c r="S639" s="32" t="s">
        <v>1023</v>
      </c>
      <c r="T639" s="203" t="s">
        <v>1696</v>
      </c>
      <c r="U639" s="67" t="s">
        <v>3881</v>
      </c>
      <c r="V639" s="54" t="s">
        <v>74</v>
      </c>
      <c r="W639" s="60" t="s">
        <v>1699</v>
      </c>
      <c r="X639" s="109" t="s">
        <v>1700</v>
      </c>
      <c r="Y639" s="109" t="s">
        <v>1701</v>
      </c>
      <c r="Z639" s="32" t="s">
        <v>112</v>
      </c>
      <c r="AA639" s="32"/>
      <c r="AB639" s="60" t="s">
        <v>389</v>
      </c>
      <c r="AC639" s="255"/>
      <c r="AD639" s="261"/>
      <c r="AE639" s="57"/>
      <c r="AF639" s="54" t="s">
        <v>80</v>
      </c>
      <c r="AG639" s="56" t="s">
        <v>1703</v>
      </c>
      <c r="AH639" s="47"/>
      <c r="AI639" s="58"/>
      <c r="AJ639" s="77"/>
      <c r="AK639" s="58">
        <v>42103.0</v>
      </c>
      <c r="AL639" s="56" t="s">
        <v>851</v>
      </c>
    </row>
    <row r="640" ht="22.5" customHeight="1">
      <c r="A640" s="286" t="s">
        <v>3882</v>
      </c>
      <c r="B640" s="57" t="s">
        <v>987</v>
      </c>
      <c r="C640" s="32" t="s">
        <v>988</v>
      </c>
      <c r="D640" s="54" t="s">
        <v>75</v>
      </c>
      <c r="E640" s="57" t="s">
        <v>990</v>
      </c>
      <c r="F640" s="54" t="s">
        <v>93</v>
      </c>
      <c r="G640" s="54" t="s">
        <v>168</v>
      </c>
      <c r="H640" s="155">
        <v>43077.0</v>
      </c>
      <c r="I640" s="155"/>
      <c r="J640" s="155">
        <v>43077.0</v>
      </c>
      <c r="K640" s="32" t="s">
        <v>70</v>
      </c>
      <c r="L640" s="34" t="s">
        <v>115</v>
      </c>
      <c r="M640" s="63" t="s">
        <v>218</v>
      </c>
      <c r="N640" s="32" t="s">
        <v>89</v>
      </c>
      <c r="O640" s="57" t="s">
        <v>1023</v>
      </c>
      <c r="P640" s="57" t="s">
        <v>1024</v>
      </c>
      <c r="Q640" s="57" t="s">
        <v>3883</v>
      </c>
      <c r="R640" s="47"/>
      <c r="S640" s="32" t="s">
        <v>116</v>
      </c>
      <c r="T640" s="203" t="s">
        <v>997</v>
      </c>
      <c r="U640" s="67" t="s">
        <v>3884</v>
      </c>
      <c r="V640" s="34" t="s">
        <v>80</v>
      </c>
      <c r="W640" s="63" t="s">
        <v>1001</v>
      </c>
      <c r="X640" s="63" t="s">
        <v>1002</v>
      </c>
      <c r="Y640" s="56" t="s">
        <v>1003</v>
      </c>
      <c r="Z640" s="32" t="s">
        <v>112</v>
      </c>
      <c r="AA640" s="68"/>
      <c r="AB640" s="32" t="s">
        <v>113</v>
      </c>
      <c r="AC640" s="68"/>
      <c r="AD640" s="261"/>
      <c r="AE640" s="57"/>
      <c r="AF640" s="34" t="s">
        <v>80</v>
      </c>
      <c r="AG640" s="56" t="s">
        <v>1005</v>
      </c>
      <c r="AH640" s="47"/>
      <c r="AI640" s="58"/>
      <c r="AJ640" s="41"/>
      <c r="AK640" s="83">
        <v>41736.0</v>
      </c>
      <c r="AL640" s="56" t="s">
        <v>1028</v>
      </c>
    </row>
    <row r="641" ht="22.5" customHeight="1">
      <c r="A641" s="286" t="s">
        <v>3885</v>
      </c>
      <c r="B641" s="149" t="s">
        <v>2561</v>
      </c>
      <c r="C641" s="32" t="s">
        <v>2562</v>
      </c>
      <c r="D641" s="41" t="s">
        <v>75</v>
      </c>
      <c r="E641" s="149" t="s">
        <v>2563</v>
      </c>
      <c r="F641" s="34" t="s">
        <v>93</v>
      </c>
      <c r="G641" s="34" t="s">
        <v>168</v>
      </c>
      <c r="H641" s="155">
        <v>43083.0</v>
      </c>
      <c r="I641" s="155">
        <v>43083.0</v>
      </c>
      <c r="J641" s="155"/>
      <c r="K641" s="32" t="s">
        <v>70</v>
      </c>
      <c r="L641" s="41" t="s">
        <v>115</v>
      </c>
      <c r="M641" s="63" t="s">
        <v>218</v>
      </c>
      <c r="N641" s="38" t="s">
        <v>89</v>
      </c>
      <c r="O641" s="57" t="s">
        <v>1418</v>
      </c>
      <c r="P641" s="57" t="s">
        <v>3886</v>
      </c>
      <c r="Q641" s="57" t="s">
        <v>3887</v>
      </c>
      <c r="R641" s="47"/>
      <c r="S641" s="32" t="s">
        <v>116</v>
      </c>
      <c r="T641" s="56" t="s">
        <v>2564</v>
      </c>
      <c r="U641" s="67" t="s">
        <v>3888</v>
      </c>
      <c r="V641" s="34" t="s">
        <v>80</v>
      </c>
      <c r="W641" s="149" t="s">
        <v>2566</v>
      </c>
      <c r="X641" s="149" t="s">
        <v>2567</v>
      </c>
      <c r="Y641" s="152" t="s">
        <v>2568</v>
      </c>
      <c r="Z641" s="32" t="s">
        <v>112</v>
      </c>
      <c r="AA641" s="68"/>
      <c r="AB641" s="32" t="s">
        <v>113</v>
      </c>
      <c r="AC641" s="68"/>
      <c r="AD641" s="261"/>
      <c r="AE641" s="57"/>
      <c r="AF641" s="34" t="s">
        <v>80</v>
      </c>
      <c r="AG641" s="56" t="s">
        <v>2571</v>
      </c>
      <c r="AH641" s="47"/>
      <c r="AI641" s="58"/>
      <c r="AJ641" s="41"/>
      <c r="AK641" s="268">
        <v>42046.0</v>
      </c>
      <c r="AL641" s="56" t="s">
        <v>2952</v>
      </c>
    </row>
    <row r="642" ht="22.5" customHeight="1">
      <c r="A642" s="286" t="s">
        <v>3889</v>
      </c>
      <c r="B642" s="57" t="s">
        <v>1251</v>
      </c>
      <c r="C642" s="32" t="s">
        <v>2854</v>
      </c>
      <c r="D642" s="34" t="s">
        <v>91</v>
      </c>
      <c r="E642" s="32" t="s">
        <v>2855</v>
      </c>
      <c r="F642" s="34" t="s">
        <v>140</v>
      </c>
      <c r="G642" s="34" t="s">
        <v>168</v>
      </c>
      <c r="H642" s="155">
        <v>43082.0</v>
      </c>
      <c r="I642" s="155">
        <v>43082.0</v>
      </c>
      <c r="J642" s="155">
        <v>43082.0</v>
      </c>
      <c r="K642" s="32" t="s">
        <v>70</v>
      </c>
      <c r="L642" s="34" t="s">
        <v>115</v>
      </c>
      <c r="M642" s="63" t="s">
        <v>218</v>
      </c>
      <c r="N642" s="32" t="s">
        <v>89</v>
      </c>
      <c r="O642" s="32" t="s">
        <v>142</v>
      </c>
      <c r="P642" s="57" t="s">
        <v>3504</v>
      </c>
      <c r="Q642" s="57" t="s">
        <v>3505</v>
      </c>
      <c r="R642" s="155">
        <v>43696.0</v>
      </c>
      <c r="S642" s="32" t="s">
        <v>142</v>
      </c>
      <c r="T642" s="45" t="s">
        <v>2856</v>
      </c>
      <c r="U642" s="67" t="s">
        <v>3890</v>
      </c>
      <c r="V642" s="34" t="s">
        <v>80</v>
      </c>
      <c r="W642" s="32" t="s">
        <v>2858</v>
      </c>
      <c r="X642" s="32" t="s">
        <v>2859</v>
      </c>
      <c r="Y642" s="45" t="s">
        <v>2860</v>
      </c>
      <c r="Z642" s="32" t="s">
        <v>112</v>
      </c>
      <c r="AA642" s="68"/>
      <c r="AB642" s="32" t="s">
        <v>113</v>
      </c>
      <c r="AC642" s="68"/>
      <c r="AD642" s="261"/>
      <c r="AE642" s="57"/>
      <c r="AF642" s="34" t="s">
        <v>80</v>
      </c>
      <c r="AG642" s="56" t="s">
        <v>1269</v>
      </c>
      <c r="AH642" s="47"/>
      <c r="AI642" s="58"/>
      <c r="AJ642" s="41"/>
      <c r="AK642" s="58">
        <v>41789.0</v>
      </c>
      <c r="AL642" s="56" t="s">
        <v>262</v>
      </c>
    </row>
    <row r="643" ht="22.5" customHeight="1">
      <c r="A643" s="286" t="s">
        <v>3891</v>
      </c>
      <c r="B643" s="57" t="s">
        <v>888</v>
      </c>
      <c r="C643" s="149" t="s">
        <v>3555</v>
      </c>
      <c r="D643" s="41" t="s">
        <v>75</v>
      </c>
      <c r="E643" s="38" t="s">
        <v>1282</v>
      </c>
      <c r="F643" s="34" t="s">
        <v>140</v>
      </c>
      <c r="G643" s="34" t="s">
        <v>168</v>
      </c>
      <c r="H643" s="155">
        <v>43090.0</v>
      </c>
      <c r="I643" s="155">
        <v>43060.0</v>
      </c>
      <c r="J643" s="155">
        <v>43090.0</v>
      </c>
      <c r="K643" s="32" t="s">
        <v>86</v>
      </c>
      <c r="L643" s="34" t="s">
        <v>115</v>
      </c>
      <c r="M643" s="32" t="s">
        <v>88</v>
      </c>
      <c r="N643" s="32" t="s">
        <v>89</v>
      </c>
      <c r="O643" s="32" t="s">
        <v>1023</v>
      </c>
      <c r="P643" s="32" t="s">
        <v>3085</v>
      </c>
      <c r="Q643" s="57" t="s">
        <v>3086</v>
      </c>
      <c r="R643" s="155">
        <v>43244.0</v>
      </c>
      <c r="S643" s="32" t="s">
        <v>196</v>
      </c>
      <c r="T643" s="45" t="s">
        <v>1285</v>
      </c>
      <c r="U643" s="67" t="s">
        <v>3892</v>
      </c>
      <c r="V643" s="34" t="s">
        <v>80</v>
      </c>
      <c r="W643" s="32" t="s">
        <v>561</v>
      </c>
      <c r="X643" s="60" t="s">
        <v>1287</v>
      </c>
      <c r="Y643" s="45" t="s">
        <v>1288</v>
      </c>
      <c r="Z643" s="32" t="s">
        <v>112</v>
      </c>
      <c r="AA643" s="32"/>
      <c r="AB643" s="32" t="s">
        <v>113</v>
      </c>
      <c r="AC643" s="60"/>
      <c r="AD643" s="261"/>
      <c r="AE643" s="57"/>
      <c r="AF643" s="54" t="s">
        <v>80</v>
      </c>
      <c r="AG643" s="56" t="s">
        <v>900</v>
      </c>
      <c r="AH643" s="41"/>
      <c r="AI643" s="41"/>
      <c r="AJ643" s="41"/>
      <c r="AK643" s="290">
        <v>41770.0</v>
      </c>
      <c r="AL643" s="56" t="s">
        <v>1028</v>
      </c>
    </row>
    <row r="644" ht="22.5" customHeight="1">
      <c r="A644" s="286" t="s">
        <v>3893</v>
      </c>
      <c r="B644" s="57" t="s">
        <v>190</v>
      </c>
      <c r="C644" s="149" t="s">
        <v>3044</v>
      </c>
      <c r="D644" s="34" t="s">
        <v>752</v>
      </c>
      <c r="E644" s="57" t="s">
        <v>193</v>
      </c>
      <c r="F644" s="54" t="s">
        <v>93</v>
      </c>
      <c r="G644" s="54" t="s">
        <v>168</v>
      </c>
      <c r="H644" s="155">
        <v>43087.0</v>
      </c>
      <c r="I644" s="155">
        <v>43082.0</v>
      </c>
      <c r="J644" s="155">
        <v>43087.0</v>
      </c>
      <c r="K644" s="32" t="s">
        <v>70</v>
      </c>
      <c r="L644" s="34" t="s">
        <v>115</v>
      </c>
      <c r="M644" s="63" t="s">
        <v>88</v>
      </c>
      <c r="N644" s="32" t="s">
        <v>89</v>
      </c>
      <c r="O644" s="32" t="s">
        <v>989</v>
      </c>
      <c r="P644" s="32"/>
      <c r="Q644" s="57" t="s">
        <v>3894</v>
      </c>
      <c r="R644" s="155">
        <v>44183.0</v>
      </c>
      <c r="S644" s="57" t="s">
        <v>116</v>
      </c>
      <c r="T644" s="56" t="s">
        <v>198</v>
      </c>
      <c r="U644" s="67" t="s">
        <v>3895</v>
      </c>
      <c r="V644" s="34" t="s">
        <v>80</v>
      </c>
      <c r="W644" s="32" t="s">
        <v>201</v>
      </c>
      <c r="X644" s="32" t="s">
        <v>202</v>
      </c>
      <c r="Y644" s="45" t="s">
        <v>203</v>
      </c>
      <c r="Z644" s="32" t="s">
        <v>112</v>
      </c>
      <c r="AA644" s="47"/>
      <c r="AB644" s="32" t="s">
        <v>113</v>
      </c>
      <c r="AC644" s="60"/>
      <c r="AD644" s="261"/>
      <c r="AE644" s="57"/>
      <c r="AF644" s="34" t="s">
        <v>80</v>
      </c>
      <c r="AG644" s="56" t="s">
        <v>206</v>
      </c>
      <c r="AH644" s="47"/>
      <c r="AI644" s="58"/>
      <c r="AJ644" s="41"/>
      <c r="AK644" s="58">
        <v>41215.0</v>
      </c>
      <c r="AL644" s="56" t="s">
        <v>1004</v>
      </c>
    </row>
    <row r="645" ht="22.5" customHeight="1">
      <c r="A645" s="286" t="s">
        <v>3896</v>
      </c>
      <c r="B645" s="57" t="s">
        <v>190</v>
      </c>
      <c r="C645" s="149" t="s">
        <v>211</v>
      </c>
      <c r="D645" s="34" t="s">
        <v>752</v>
      </c>
      <c r="E645" s="32" t="s">
        <v>947</v>
      </c>
      <c r="F645" s="34" t="s">
        <v>93</v>
      </c>
      <c r="G645" s="54" t="s">
        <v>168</v>
      </c>
      <c r="H645" s="155">
        <v>43087.0</v>
      </c>
      <c r="I645" s="155">
        <v>43082.0</v>
      </c>
      <c r="J645" s="155">
        <v>43087.0</v>
      </c>
      <c r="K645" s="32" t="s">
        <v>70</v>
      </c>
      <c r="L645" s="34" t="s">
        <v>115</v>
      </c>
      <c r="M645" s="63" t="s">
        <v>218</v>
      </c>
      <c r="N645" s="32" t="s">
        <v>434</v>
      </c>
      <c r="O645" s="32" t="s">
        <v>989</v>
      </c>
      <c r="P645" s="32"/>
      <c r="Q645" s="57" t="s">
        <v>3894</v>
      </c>
      <c r="R645" s="155">
        <v>44183.0</v>
      </c>
      <c r="S645" s="32" t="s">
        <v>116</v>
      </c>
      <c r="T645" s="56" t="s">
        <v>2733</v>
      </c>
      <c r="U645" s="67" t="s">
        <v>3897</v>
      </c>
      <c r="V645" s="34" t="s">
        <v>80</v>
      </c>
      <c r="W645" s="32" t="s">
        <v>201</v>
      </c>
      <c r="X645" s="32" t="s">
        <v>202</v>
      </c>
      <c r="Y645" s="45" t="s">
        <v>203</v>
      </c>
      <c r="Z645" s="32" t="s">
        <v>112</v>
      </c>
      <c r="AA645" s="47"/>
      <c r="AB645" s="32" t="s">
        <v>113</v>
      </c>
      <c r="AC645" s="60"/>
      <c r="AD645" s="261"/>
      <c r="AE645" s="57"/>
      <c r="AF645" s="34" t="s">
        <v>80</v>
      </c>
      <c r="AG645" s="56" t="s">
        <v>206</v>
      </c>
      <c r="AH645" s="41"/>
      <c r="AI645" s="41"/>
      <c r="AJ645" s="83"/>
      <c r="AK645" s="58">
        <v>42212.0</v>
      </c>
      <c r="AL645" s="56" t="s">
        <v>1004</v>
      </c>
    </row>
    <row r="646" ht="22.5" customHeight="1">
      <c r="A646" s="286" t="s">
        <v>3898</v>
      </c>
      <c r="B646" s="57" t="s">
        <v>190</v>
      </c>
      <c r="C646" s="149" t="s">
        <v>3044</v>
      </c>
      <c r="D646" s="34" t="s">
        <v>752</v>
      </c>
      <c r="E646" s="57" t="s">
        <v>193</v>
      </c>
      <c r="F646" s="54" t="s">
        <v>93</v>
      </c>
      <c r="G646" s="54" t="s">
        <v>168</v>
      </c>
      <c r="H646" s="155">
        <v>43058.0</v>
      </c>
      <c r="I646" s="155"/>
      <c r="J646" s="155">
        <v>43058.0</v>
      </c>
      <c r="K646" s="32" t="s">
        <v>70</v>
      </c>
      <c r="L646" s="34" t="s">
        <v>115</v>
      </c>
      <c r="M646" s="63" t="s">
        <v>88</v>
      </c>
      <c r="N646" s="32" t="s">
        <v>89</v>
      </c>
      <c r="O646" s="32" t="s">
        <v>327</v>
      </c>
      <c r="P646" s="32" t="s">
        <v>328</v>
      </c>
      <c r="Q646" s="57" t="s">
        <v>3688</v>
      </c>
      <c r="R646" s="155"/>
      <c r="S646" s="57" t="s">
        <v>116</v>
      </c>
      <c r="T646" s="56" t="s">
        <v>198</v>
      </c>
      <c r="U646" s="67" t="s">
        <v>3899</v>
      </c>
      <c r="V646" s="34" t="s">
        <v>80</v>
      </c>
      <c r="W646" s="32" t="s">
        <v>201</v>
      </c>
      <c r="X646" s="32" t="s">
        <v>202</v>
      </c>
      <c r="Y646" s="45" t="s">
        <v>203</v>
      </c>
      <c r="Z646" s="32" t="s">
        <v>112</v>
      </c>
      <c r="AA646" s="47"/>
      <c r="AB646" s="32" t="s">
        <v>113</v>
      </c>
      <c r="AC646" s="60"/>
      <c r="AD646" s="261"/>
      <c r="AE646" s="57"/>
      <c r="AF646" s="34" t="s">
        <v>80</v>
      </c>
      <c r="AG646" s="56" t="s">
        <v>206</v>
      </c>
      <c r="AH646" s="41"/>
      <c r="AI646" s="41"/>
      <c r="AJ646" s="83"/>
      <c r="AK646" s="58">
        <v>41215.0</v>
      </c>
      <c r="AL646" s="56" t="s">
        <v>375</v>
      </c>
    </row>
    <row r="647" ht="22.5" customHeight="1">
      <c r="A647" s="286" t="s">
        <v>3900</v>
      </c>
      <c r="B647" s="57" t="s">
        <v>2375</v>
      </c>
      <c r="C647" s="57" t="s">
        <v>2376</v>
      </c>
      <c r="D647" s="142" t="s">
        <v>75</v>
      </c>
      <c r="E647" s="262" t="s">
        <v>2377</v>
      </c>
      <c r="F647" s="54" t="s">
        <v>140</v>
      </c>
      <c r="G647" s="34" t="s">
        <v>168</v>
      </c>
      <c r="H647" s="155">
        <v>43069.0</v>
      </c>
      <c r="I647" s="155">
        <v>43069.0</v>
      </c>
      <c r="J647" s="155"/>
      <c r="K647" s="32" t="s">
        <v>70</v>
      </c>
      <c r="L647" s="54" t="s">
        <v>115</v>
      </c>
      <c r="M647" s="63" t="s">
        <v>313</v>
      </c>
      <c r="N647" s="32" t="s">
        <v>89</v>
      </c>
      <c r="O647" s="32" t="s">
        <v>994</v>
      </c>
      <c r="P647" s="32"/>
      <c r="Q647" s="57" t="s">
        <v>2615</v>
      </c>
      <c r="R647" s="155">
        <v>44196.0</v>
      </c>
      <c r="S647" s="32" t="s">
        <v>327</v>
      </c>
      <c r="T647" s="45" t="s">
        <v>2379</v>
      </c>
      <c r="U647" s="67" t="s">
        <v>3901</v>
      </c>
      <c r="V647" s="54" t="s">
        <v>80</v>
      </c>
      <c r="W647" s="57" t="s">
        <v>2381</v>
      </c>
      <c r="X647" s="57" t="s">
        <v>2382</v>
      </c>
      <c r="Y647" s="263" t="s">
        <v>2383</v>
      </c>
      <c r="Z647" s="32" t="s">
        <v>112</v>
      </c>
      <c r="AA647" s="47"/>
      <c r="AB647" s="57" t="s">
        <v>481</v>
      </c>
      <c r="AC647" s="60"/>
      <c r="AD647" s="261"/>
      <c r="AE647" s="57"/>
      <c r="AF647" s="54" t="s">
        <v>80</v>
      </c>
      <c r="AG647" s="56" t="s">
        <v>2384</v>
      </c>
      <c r="AH647" s="47"/>
      <c r="AI647" s="58"/>
      <c r="AJ647" s="83"/>
      <c r="AK647" s="83">
        <v>42627.0</v>
      </c>
      <c r="AL647" s="56" t="s">
        <v>1006</v>
      </c>
    </row>
    <row r="648" ht="22.5" customHeight="1">
      <c r="A648" s="286" t="s">
        <v>3902</v>
      </c>
      <c r="B648" s="57" t="s">
        <v>355</v>
      </c>
      <c r="C648" s="32" t="s">
        <v>1345</v>
      </c>
      <c r="D648" s="34" t="s">
        <v>75</v>
      </c>
      <c r="E648" s="38" t="s">
        <v>1346</v>
      </c>
      <c r="F648" s="34" t="s">
        <v>140</v>
      </c>
      <c r="G648" s="34" t="s">
        <v>168</v>
      </c>
      <c r="H648" s="48">
        <v>43056.0</v>
      </c>
      <c r="I648" s="155">
        <v>43063.0</v>
      </c>
      <c r="J648" s="48">
        <v>43056.0</v>
      </c>
      <c r="K648" s="32" t="s">
        <v>70</v>
      </c>
      <c r="L648" s="41" t="s">
        <v>115</v>
      </c>
      <c r="M648" s="42" t="s">
        <v>313</v>
      </c>
      <c r="N648" s="38" t="s">
        <v>89</v>
      </c>
      <c r="O648" s="32" t="s">
        <v>954</v>
      </c>
      <c r="P648" s="32" t="s">
        <v>2512</v>
      </c>
      <c r="Q648" s="57" t="s">
        <v>3903</v>
      </c>
      <c r="R648" s="155">
        <v>43431.0</v>
      </c>
      <c r="S648" s="32" t="s">
        <v>402</v>
      </c>
      <c r="T648" s="56" t="s">
        <v>1349</v>
      </c>
      <c r="U648" s="67" t="s">
        <v>3904</v>
      </c>
      <c r="V648" s="34" t="s">
        <v>80</v>
      </c>
      <c r="W648" s="32" t="s">
        <v>1351</v>
      </c>
      <c r="X648" s="149" t="s">
        <v>1352</v>
      </c>
      <c r="Y648" s="152" t="s">
        <v>1353</v>
      </c>
      <c r="Z648" s="32" t="s">
        <v>112</v>
      </c>
      <c r="AA648" s="68"/>
      <c r="AB648" s="32" t="s">
        <v>113</v>
      </c>
      <c r="AC648" s="68"/>
      <c r="AD648" s="261"/>
      <c r="AE648" s="57"/>
      <c r="AF648" s="34" t="s">
        <v>80</v>
      </c>
      <c r="AG648" s="56" t="s">
        <v>1355</v>
      </c>
      <c r="AH648" s="41"/>
      <c r="AI648" s="41"/>
      <c r="AJ648" s="41"/>
      <c r="AK648" s="58">
        <v>41770.0</v>
      </c>
      <c r="AL648" s="56" t="s">
        <v>965</v>
      </c>
    </row>
    <row r="649" ht="22.5" customHeight="1">
      <c r="A649" s="286" t="s">
        <v>3905</v>
      </c>
      <c r="B649" s="57" t="s">
        <v>190</v>
      </c>
      <c r="C649" s="149" t="s">
        <v>3044</v>
      </c>
      <c r="D649" s="34" t="s">
        <v>752</v>
      </c>
      <c r="E649" s="57" t="s">
        <v>193</v>
      </c>
      <c r="F649" s="34" t="s">
        <v>140</v>
      </c>
      <c r="G649" s="34" t="s">
        <v>168</v>
      </c>
      <c r="H649" s="48">
        <v>43109.0</v>
      </c>
      <c r="I649" s="155">
        <v>43083.0</v>
      </c>
      <c r="J649" s="48">
        <v>43109.0</v>
      </c>
      <c r="K649" s="32" t="s">
        <v>70</v>
      </c>
      <c r="L649" s="41" t="s">
        <v>115</v>
      </c>
      <c r="M649" s="63" t="s">
        <v>88</v>
      </c>
      <c r="N649" s="38" t="s">
        <v>89</v>
      </c>
      <c r="O649" s="32" t="s">
        <v>954</v>
      </c>
      <c r="P649" s="32" t="s">
        <v>2512</v>
      </c>
      <c r="Q649" s="57" t="s">
        <v>3903</v>
      </c>
      <c r="R649" s="155">
        <v>43474.0</v>
      </c>
      <c r="S649" s="57" t="s">
        <v>116</v>
      </c>
      <c r="T649" s="56" t="s">
        <v>198</v>
      </c>
      <c r="U649" s="67" t="s">
        <v>3906</v>
      </c>
      <c r="V649" s="34" t="s">
        <v>80</v>
      </c>
      <c r="W649" s="32" t="s">
        <v>201</v>
      </c>
      <c r="X649" s="32" t="s">
        <v>202</v>
      </c>
      <c r="Y649" s="45" t="s">
        <v>203</v>
      </c>
      <c r="Z649" s="32" t="s">
        <v>112</v>
      </c>
      <c r="AA649" s="47"/>
      <c r="AB649" s="32" t="s">
        <v>113</v>
      </c>
      <c r="AC649" s="68"/>
      <c r="AD649" s="261"/>
      <c r="AE649" s="57"/>
      <c r="AF649" s="34" t="s">
        <v>80</v>
      </c>
      <c r="AG649" s="56" t="s">
        <v>206</v>
      </c>
      <c r="AH649" s="41"/>
      <c r="AI649" s="41"/>
      <c r="AJ649" s="41"/>
      <c r="AK649" s="58">
        <v>41215.0</v>
      </c>
      <c r="AL649" s="56" t="s">
        <v>965</v>
      </c>
    </row>
    <row r="650" ht="22.5" customHeight="1">
      <c r="A650" s="286" t="s">
        <v>3907</v>
      </c>
      <c r="B650" s="57" t="s">
        <v>987</v>
      </c>
      <c r="C650" s="149" t="s">
        <v>988</v>
      </c>
      <c r="D650" s="54" t="s">
        <v>75</v>
      </c>
      <c r="E650" s="57" t="s">
        <v>990</v>
      </c>
      <c r="F650" s="54" t="s">
        <v>93</v>
      </c>
      <c r="G650" s="54" t="s">
        <v>168</v>
      </c>
      <c r="H650" s="48">
        <v>43097.0</v>
      </c>
      <c r="I650" s="155"/>
      <c r="J650" s="48">
        <v>43097.0</v>
      </c>
      <c r="K650" s="32" t="s">
        <v>70</v>
      </c>
      <c r="L650" s="41" t="s">
        <v>115</v>
      </c>
      <c r="M650" s="63" t="s">
        <v>218</v>
      </c>
      <c r="N650" s="38" t="s">
        <v>89</v>
      </c>
      <c r="O650" s="32" t="s">
        <v>1640</v>
      </c>
      <c r="P650" s="32"/>
      <c r="Q650" s="57" t="s">
        <v>3908</v>
      </c>
      <c r="R650" s="155">
        <v>43462.0</v>
      </c>
      <c r="S650" s="32" t="s">
        <v>116</v>
      </c>
      <c r="T650" s="203" t="s">
        <v>997</v>
      </c>
      <c r="U650" s="67" t="s">
        <v>3909</v>
      </c>
      <c r="V650" s="34" t="s">
        <v>74</v>
      </c>
      <c r="W650" s="60" t="s">
        <v>1001</v>
      </c>
      <c r="X650" s="60" t="s">
        <v>1002</v>
      </c>
      <c r="Y650" s="109" t="s">
        <v>1003</v>
      </c>
      <c r="Z650" s="32" t="s">
        <v>112</v>
      </c>
      <c r="AA650" s="47"/>
      <c r="AB650" s="32" t="s">
        <v>113</v>
      </c>
      <c r="AC650" s="68"/>
      <c r="AD650" s="261"/>
      <c r="AE650" s="57"/>
      <c r="AF650" s="180" t="s">
        <v>80</v>
      </c>
      <c r="AG650" s="56" t="s">
        <v>1005</v>
      </c>
      <c r="AH650" s="41"/>
      <c r="AI650" s="41"/>
      <c r="AJ650" s="41"/>
      <c r="AK650" s="83">
        <v>41736.0</v>
      </c>
      <c r="AL650" s="56" t="s">
        <v>2352</v>
      </c>
    </row>
    <row r="651" ht="22.5" customHeight="1">
      <c r="A651" s="286" t="s">
        <v>3910</v>
      </c>
      <c r="B651" s="57" t="s">
        <v>411</v>
      </c>
      <c r="C651" s="32" t="s">
        <v>413</v>
      </c>
      <c r="D651" s="34" t="s">
        <v>752</v>
      </c>
      <c r="E651" s="38" t="s">
        <v>416</v>
      </c>
      <c r="F651" s="41" t="s">
        <v>93</v>
      </c>
      <c r="G651" s="34" t="s">
        <v>168</v>
      </c>
      <c r="H651" s="155">
        <v>43118.0</v>
      </c>
      <c r="I651" s="155"/>
      <c r="J651" s="155">
        <v>43118.0</v>
      </c>
      <c r="K651" s="32" t="s">
        <v>70</v>
      </c>
      <c r="L651" s="34" t="s">
        <v>115</v>
      </c>
      <c r="M651" s="32" t="s">
        <v>313</v>
      </c>
      <c r="N651" s="32" t="s">
        <v>89</v>
      </c>
      <c r="O651" s="32" t="s">
        <v>1864</v>
      </c>
      <c r="P651" s="32"/>
      <c r="Q651" s="57" t="s">
        <v>3911</v>
      </c>
      <c r="R651" s="155">
        <v>43848.0</v>
      </c>
      <c r="S651" s="32" t="s">
        <v>116</v>
      </c>
      <c r="T651" s="45" t="s">
        <v>436</v>
      </c>
      <c r="U651" s="67" t="s">
        <v>3912</v>
      </c>
      <c r="V651" s="34" t="s">
        <v>80</v>
      </c>
      <c r="W651" s="60" t="s">
        <v>444</v>
      </c>
      <c r="X651" s="32" t="s">
        <v>445</v>
      </c>
      <c r="Y651" s="109" t="s">
        <v>446</v>
      </c>
      <c r="Z651" s="32" t="s">
        <v>112</v>
      </c>
      <c r="AA651" s="47"/>
      <c r="AB651" s="32" t="s">
        <v>113</v>
      </c>
      <c r="AC651" s="68"/>
      <c r="AD651" s="261"/>
      <c r="AE651" s="57"/>
      <c r="AF651" s="34" t="s">
        <v>80</v>
      </c>
      <c r="AG651" s="56" t="s">
        <v>454</v>
      </c>
      <c r="AH651" s="41"/>
      <c r="AI651" s="41"/>
      <c r="AJ651" s="41"/>
      <c r="AK651" s="58">
        <v>42212.0</v>
      </c>
      <c r="AL651" s="56" t="s">
        <v>2588</v>
      </c>
    </row>
    <row r="652" ht="22.5" customHeight="1">
      <c r="A652" s="286" t="s">
        <v>3913</v>
      </c>
      <c r="B652" s="57" t="s">
        <v>2401</v>
      </c>
      <c r="C652" s="149" t="s">
        <v>2402</v>
      </c>
      <c r="D652" s="41" t="s">
        <v>75</v>
      </c>
      <c r="E652" s="149" t="s">
        <v>2403</v>
      </c>
      <c r="F652" s="34" t="s">
        <v>140</v>
      </c>
      <c r="G652" s="34" t="s">
        <v>168</v>
      </c>
      <c r="H652" s="155">
        <v>43110.0</v>
      </c>
      <c r="I652" s="155">
        <v>43110.0</v>
      </c>
      <c r="J652" s="155"/>
      <c r="K652" s="32" t="s">
        <v>70</v>
      </c>
      <c r="L652" s="41" t="s">
        <v>115</v>
      </c>
      <c r="M652" s="42" t="s">
        <v>88</v>
      </c>
      <c r="N652" s="38" t="s">
        <v>89</v>
      </c>
      <c r="O652" s="32" t="s">
        <v>994</v>
      </c>
      <c r="P652" s="32" t="s">
        <v>2280</v>
      </c>
      <c r="Q652" s="57" t="s">
        <v>3914</v>
      </c>
      <c r="R652" s="155"/>
      <c r="S652" s="32" t="s">
        <v>142</v>
      </c>
      <c r="T652" s="56" t="s">
        <v>2404</v>
      </c>
      <c r="U652" s="67" t="s">
        <v>3915</v>
      </c>
      <c r="V652" s="34" t="s">
        <v>80</v>
      </c>
      <c r="W652" s="149" t="s">
        <v>2406</v>
      </c>
      <c r="X652" s="198" t="s">
        <v>2407</v>
      </c>
      <c r="Y652" s="152" t="s">
        <v>2408</v>
      </c>
      <c r="Z652" s="32" t="s">
        <v>112</v>
      </c>
      <c r="AA652" s="47"/>
      <c r="AB652" s="60" t="s">
        <v>389</v>
      </c>
      <c r="AC652" s="68"/>
      <c r="AD652" s="261"/>
      <c r="AE652" s="57"/>
      <c r="AF652" s="34" t="s">
        <v>80</v>
      </c>
      <c r="AG652" s="56" t="s">
        <v>2409</v>
      </c>
      <c r="AH652" s="41"/>
      <c r="AI652" s="41"/>
      <c r="AJ652" s="41"/>
      <c r="AK652" s="132">
        <v>42012.0</v>
      </c>
      <c r="AL652" s="56" t="s">
        <v>1006</v>
      </c>
    </row>
    <row r="653" ht="22.5" customHeight="1">
      <c r="A653" s="286" t="s">
        <v>3916</v>
      </c>
      <c r="B653" s="57" t="s">
        <v>1321</v>
      </c>
      <c r="C653" s="149" t="s">
        <v>1322</v>
      </c>
      <c r="D653" s="34" t="s">
        <v>845</v>
      </c>
      <c r="E653" s="38" t="s">
        <v>1323</v>
      </c>
      <c r="F653" s="34" t="s">
        <v>140</v>
      </c>
      <c r="G653" s="34" t="s">
        <v>168</v>
      </c>
      <c r="H653" s="155">
        <v>43067.0</v>
      </c>
      <c r="I653" s="155"/>
      <c r="J653" s="155">
        <v>43067.0</v>
      </c>
      <c r="K653" s="32" t="s">
        <v>70</v>
      </c>
      <c r="L653" s="34" t="s">
        <v>115</v>
      </c>
      <c r="M653" s="32" t="s">
        <v>88</v>
      </c>
      <c r="N653" s="32" t="s">
        <v>89</v>
      </c>
      <c r="O653" s="32" t="s">
        <v>327</v>
      </c>
      <c r="P653" s="57" t="s">
        <v>1801</v>
      </c>
      <c r="Q653" s="57" t="s">
        <v>3591</v>
      </c>
      <c r="R653" s="155">
        <v>43432.0</v>
      </c>
      <c r="S653" s="32" t="s">
        <v>196</v>
      </c>
      <c r="T653" s="45" t="s">
        <v>1324</v>
      </c>
      <c r="U653" s="67" t="s">
        <v>3917</v>
      </c>
      <c r="V653" s="34" t="s">
        <v>80</v>
      </c>
      <c r="W653" s="32" t="s">
        <v>561</v>
      </c>
      <c r="X653" s="32" t="s">
        <v>1326</v>
      </c>
      <c r="Y653" s="109" t="s">
        <v>1327</v>
      </c>
      <c r="Z653" s="32" t="s">
        <v>112</v>
      </c>
      <c r="AA653" s="47"/>
      <c r="AB653" s="32" t="s">
        <v>113</v>
      </c>
      <c r="AC653" s="60"/>
      <c r="AD653" s="261"/>
      <c r="AE653" s="57"/>
      <c r="AF653" s="34" t="s">
        <v>80</v>
      </c>
      <c r="AG653" s="56" t="s">
        <v>1329</v>
      </c>
      <c r="AH653" s="41"/>
      <c r="AI653" s="41"/>
      <c r="AJ653" s="41"/>
      <c r="AK653" s="58">
        <v>41619.0</v>
      </c>
      <c r="AL653" s="56" t="s">
        <v>375</v>
      </c>
    </row>
    <row r="654" ht="22.5" customHeight="1">
      <c r="A654" s="286" t="s">
        <v>3918</v>
      </c>
      <c r="B654" s="57" t="s">
        <v>987</v>
      </c>
      <c r="C654" s="149" t="s">
        <v>988</v>
      </c>
      <c r="D654" s="54" t="s">
        <v>75</v>
      </c>
      <c r="E654" s="57" t="s">
        <v>990</v>
      </c>
      <c r="F654" s="54" t="s">
        <v>93</v>
      </c>
      <c r="G654" s="54" t="s">
        <v>168</v>
      </c>
      <c r="H654" s="155">
        <v>43128.0</v>
      </c>
      <c r="I654" s="155">
        <v>43128.0</v>
      </c>
      <c r="J654" s="155">
        <v>43128.0</v>
      </c>
      <c r="K654" s="32" t="s">
        <v>70</v>
      </c>
      <c r="L654" s="41" t="s">
        <v>115</v>
      </c>
      <c r="M654" s="63" t="s">
        <v>218</v>
      </c>
      <c r="N654" s="38" t="s">
        <v>89</v>
      </c>
      <c r="O654" s="32" t="s">
        <v>994</v>
      </c>
      <c r="P654" s="57" t="s">
        <v>3919</v>
      </c>
      <c r="Q654" s="57" t="s">
        <v>3920</v>
      </c>
      <c r="R654" s="155"/>
      <c r="S654" s="32" t="s">
        <v>116</v>
      </c>
      <c r="T654" s="203" t="s">
        <v>997</v>
      </c>
      <c r="U654" s="67" t="s">
        <v>3921</v>
      </c>
      <c r="V654" s="34" t="s">
        <v>80</v>
      </c>
      <c r="W654" s="63" t="s">
        <v>1001</v>
      </c>
      <c r="X654" s="63" t="s">
        <v>1002</v>
      </c>
      <c r="Y654" s="56" t="s">
        <v>1003</v>
      </c>
      <c r="Z654" s="32" t="s">
        <v>112</v>
      </c>
      <c r="AA654" s="68"/>
      <c r="AB654" s="32" t="s">
        <v>113</v>
      </c>
      <c r="AC654" s="68"/>
      <c r="AD654" s="261"/>
      <c r="AE654" s="57"/>
      <c r="AF654" s="180" t="s">
        <v>80</v>
      </c>
      <c r="AG654" s="56" t="s">
        <v>1005</v>
      </c>
      <c r="AH654" s="41"/>
      <c r="AI654" s="41"/>
      <c r="AJ654" s="41"/>
      <c r="AK654" s="83">
        <v>41736.0</v>
      </c>
      <c r="AL654" s="56" t="s">
        <v>1006</v>
      </c>
    </row>
    <row r="655" ht="22.5" customHeight="1">
      <c r="A655" s="286" t="s">
        <v>3922</v>
      </c>
      <c r="B655" s="57" t="s">
        <v>1321</v>
      </c>
      <c r="C655" s="149" t="s">
        <v>1322</v>
      </c>
      <c r="D655" s="34" t="s">
        <v>845</v>
      </c>
      <c r="E655" s="38" t="s">
        <v>1323</v>
      </c>
      <c r="F655" s="34" t="s">
        <v>140</v>
      </c>
      <c r="G655" s="34" t="s">
        <v>168</v>
      </c>
      <c r="H655" s="155">
        <v>43121.0</v>
      </c>
      <c r="I655" s="155">
        <v>43121.0</v>
      </c>
      <c r="J655" s="155">
        <v>43121.0</v>
      </c>
      <c r="K655" s="32" t="s">
        <v>70</v>
      </c>
      <c r="L655" s="41" t="s">
        <v>115</v>
      </c>
      <c r="M655" s="42" t="s">
        <v>88</v>
      </c>
      <c r="N655" s="38" t="s">
        <v>89</v>
      </c>
      <c r="O655" s="32" t="s">
        <v>142</v>
      </c>
      <c r="P655" s="38" t="s">
        <v>1050</v>
      </c>
      <c r="Q655" s="57" t="s">
        <v>2590</v>
      </c>
      <c r="R655" s="155">
        <v>44018.0</v>
      </c>
      <c r="S655" s="32" t="s">
        <v>196</v>
      </c>
      <c r="T655" s="45" t="s">
        <v>1324</v>
      </c>
      <c r="U655" s="67" t="s">
        <v>3923</v>
      </c>
      <c r="V655" s="34" t="s">
        <v>80</v>
      </c>
      <c r="W655" s="32" t="s">
        <v>561</v>
      </c>
      <c r="X655" s="32" t="s">
        <v>1326</v>
      </c>
      <c r="Y655" s="109" t="s">
        <v>1327</v>
      </c>
      <c r="Z655" s="32" t="s">
        <v>112</v>
      </c>
      <c r="AA655" s="68"/>
      <c r="AB655" s="32" t="s">
        <v>113</v>
      </c>
      <c r="AC655" s="60"/>
      <c r="AD655" s="261"/>
      <c r="AE655" s="57"/>
      <c r="AF655" s="34" t="s">
        <v>80</v>
      </c>
      <c r="AG655" s="56" t="s">
        <v>1329</v>
      </c>
      <c r="AH655" s="41"/>
      <c r="AI655" s="41"/>
      <c r="AJ655" s="41"/>
      <c r="AK655" s="58">
        <v>41619.0</v>
      </c>
      <c r="AL655" s="56" t="s">
        <v>262</v>
      </c>
    </row>
    <row r="656" ht="22.5" customHeight="1">
      <c r="A656" s="286" t="s">
        <v>3924</v>
      </c>
      <c r="B656" s="57" t="s">
        <v>2637</v>
      </c>
      <c r="C656" s="63" t="s">
        <v>2638</v>
      </c>
      <c r="D656" s="270" t="s">
        <v>75</v>
      </c>
      <c r="E656" s="63" t="s">
        <v>2639</v>
      </c>
      <c r="F656" s="34" t="s">
        <v>140</v>
      </c>
      <c r="G656" s="34" t="s">
        <v>168</v>
      </c>
      <c r="H656" s="155">
        <v>43133.0</v>
      </c>
      <c r="I656" s="155">
        <v>43133.0</v>
      </c>
      <c r="J656" s="155">
        <v>43133.0</v>
      </c>
      <c r="K656" s="32" t="s">
        <v>70</v>
      </c>
      <c r="L656" s="34" t="s">
        <v>115</v>
      </c>
      <c r="M656" s="32" t="s">
        <v>383</v>
      </c>
      <c r="N656" s="32" t="s">
        <v>89</v>
      </c>
      <c r="O656" s="32" t="s">
        <v>1023</v>
      </c>
      <c r="P656" s="32" t="s">
        <v>1024</v>
      </c>
      <c r="Q656" s="57" t="s">
        <v>3925</v>
      </c>
      <c r="R656" s="155"/>
      <c r="S656" s="32" t="s">
        <v>1195</v>
      </c>
      <c r="T656" s="56" t="s">
        <v>2640</v>
      </c>
      <c r="U656" s="67" t="s">
        <v>3926</v>
      </c>
      <c r="V656" s="34" t="s">
        <v>80</v>
      </c>
      <c r="W656" s="63" t="s">
        <v>2641</v>
      </c>
      <c r="X656" s="63" t="s">
        <v>2787</v>
      </c>
      <c r="Y656" s="56" t="s">
        <v>263</v>
      </c>
      <c r="Z656" s="32" t="s">
        <v>112</v>
      </c>
      <c r="AA656" s="68"/>
      <c r="AB656" s="60" t="s">
        <v>613</v>
      </c>
      <c r="AC656" s="60"/>
      <c r="AD656" s="261"/>
      <c r="AE656" s="57"/>
      <c r="AF656" s="34" t="s">
        <v>80</v>
      </c>
      <c r="AG656" s="56" t="s">
        <v>261</v>
      </c>
      <c r="AH656" s="41"/>
      <c r="AI656" s="41"/>
      <c r="AJ656" s="58">
        <v>42412.0</v>
      </c>
      <c r="AK656" s="58"/>
      <c r="AL656" s="56" t="s">
        <v>1028</v>
      </c>
    </row>
    <row r="657" ht="22.5" customHeight="1">
      <c r="A657" s="286" t="s">
        <v>3927</v>
      </c>
      <c r="B657" s="57" t="s">
        <v>3385</v>
      </c>
      <c r="C657" s="57" t="s">
        <v>3696</v>
      </c>
      <c r="D657" s="54" t="s">
        <v>75</v>
      </c>
      <c r="E657" s="57" t="s">
        <v>3697</v>
      </c>
      <c r="F657" s="54" t="s">
        <v>93</v>
      </c>
      <c r="G657" s="34" t="s">
        <v>168</v>
      </c>
      <c r="H657" s="155">
        <v>43112.0</v>
      </c>
      <c r="I657" s="155">
        <v>43109.0</v>
      </c>
      <c r="J657" s="155">
        <v>43112.0</v>
      </c>
      <c r="K657" s="32" t="s">
        <v>86</v>
      </c>
      <c r="L657" s="54" t="s">
        <v>115</v>
      </c>
      <c r="M657" s="63" t="s">
        <v>218</v>
      </c>
      <c r="N657" s="32" t="s">
        <v>89</v>
      </c>
      <c r="O657" s="32" t="s">
        <v>1023</v>
      </c>
      <c r="P657" s="32"/>
      <c r="Q657" s="57" t="s">
        <v>3928</v>
      </c>
      <c r="R657" s="155">
        <v>43293.0</v>
      </c>
      <c r="S657" s="57" t="s">
        <v>116</v>
      </c>
      <c r="T657" s="45" t="s">
        <v>3698</v>
      </c>
      <c r="U657" s="67" t="s">
        <v>3929</v>
      </c>
      <c r="V657" s="54" t="s">
        <v>80</v>
      </c>
      <c r="W657" s="57" t="s">
        <v>3390</v>
      </c>
      <c r="X657" s="57" t="s">
        <v>3391</v>
      </c>
      <c r="Y657" s="67" t="s">
        <v>3392</v>
      </c>
      <c r="Z657" s="32" t="s">
        <v>112</v>
      </c>
      <c r="AA657" s="68"/>
      <c r="AB657" s="32" t="s">
        <v>113</v>
      </c>
      <c r="AC657" s="32"/>
      <c r="AD657" s="261"/>
      <c r="AE657" s="57"/>
      <c r="AF657" s="54" t="s">
        <v>74</v>
      </c>
      <c r="AG657" s="56" t="s">
        <v>3393</v>
      </c>
      <c r="AH657" s="57"/>
      <c r="AI657" s="41"/>
      <c r="AJ657" s="58"/>
      <c r="AK657" s="83">
        <v>42838.0</v>
      </c>
      <c r="AL657" s="56" t="s">
        <v>1028</v>
      </c>
    </row>
    <row r="658" ht="22.5" customHeight="1">
      <c r="A658" s="286" t="s">
        <v>3930</v>
      </c>
      <c r="B658" s="57" t="s">
        <v>3385</v>
      </c>
      <c r="C658" s="57" t="s">
        <v>3696</v>
      </c>
      <c r="D658" s="54" t="s">
        <v>75</v>
      </c>
      <c r="E658" s="57" t="s">
        <v>3697</v>
      </c>
      <c r="F658" s="54" t="s">
        <v>93</v>
      </c>
      <c r="G658" s="34" t="s">
        <v>168</v>
      </c>
      <c r="H658" s="155">
        <v>43013.0</v>
      </c>
      <c r="I658" s="155">
        <v>43012.0</v>
      </c>
      <c r="J658" s="155">
        <v>43013.0</v>
      </c>
      <c r="K658" s="32" t="s">
        <v>70</v>
      </c>
      <c r="L658" s="54" t="s">
        <v>115</v>
      </c>
      <c r="M658" s="63" t="s">
        <v>218</v>
      </c>
      <c r="N658" s="32" t="s">
        <v>89</v>
      </c>
      <c r="O658" s="32" t="s">
        <v>402</v>
      </c>
      <c r="P658" s="32"/>
      <c r="Q658" s="57" t="s">
        <v>3528</v>
      </c>
      <c r="R658" s="155">
        <v>44109.0</v>
      </c>
      <c r="S658" s="57" t="s">
        <v>116</v>
      </c>
      <c r="T658" s="45" t="s">
        <v>3698</v>
      </c>
      <c r="U658" s="67" t="s">
        <v>3931</v>
      </c>
      <c r="V658" s="54" t="s">
        <v>80</v>
      </c>
      <c r="W658" s="57" t="s">
        <v>3390</v>
      </c>
      <c r="X658" s="57" t="s">
        <v>3391</v>
      </c>
      <c r="Y658" s="67" t="s">
        <v>3392</v>
      </c>
      <c r="Z658" s="32" t="s">
        <v>112</v>
      </c>
      <c r="AA658" s="68"/>
      <c r="AB658" s="32" t="s">
        <v>113</v>
      </c>
      <c r="AC658" s="32"/>
      <c r="AD658" s="261"/>
      <c r="AE658" s="57"/>
      <c r="AF658" s="54" t="s">
        <v>80</v>
      </c>
      <c r="AG658" s="56" t="s">
        <v>3393</v>
      </c>
      <c r="AH658" s="57"/>
      <c r="AI658" s="41"/>
      <c r="AJ658" s="58"/>
      <c r="AK658" s="83">
        <v>42838.0</v>
      </c>
      <c r="AL658" s="56" t="s">
        <v>1033</v>
      </c>
    </row>
    <row r="659" ht="22.5" customHeight="1">
      <c r="A659" s="286" t="s">
        <v>3932</v>
      </c>
      <c r="B659" s="57" t="s">
        <v>3385</v>
      </c>
      <c r="C659" s="57" t="s">
        <v>3696</v>
      </c>
      <c r="D659" s="54" t="s">
        <v>75</v>
      </c>
      <c r="E659" s="57" t="s">
        <v>3697</v>
      </c>
      <c r="F659" s="54" t="s">
        <v>93</v>
      </c>
      <c r="G659" s="34" t="s">
        <v>168</v>
      </c>
      <c r="H659" s="155">
        <v>43111.0</v>
      </c>
      <c r="I659" s="155">
        <v>43111.0</v>
      </c>
      <c r="J659" s="155"/>
      <c r="K659" s="32" t="s">
        <v>70</v>
      </c>
      <c r="L659" s="54" t="s">
        <v>115</v>
      </c>
      <c r="M659" s="63" t="s">
        <v>218</v>
      </c>
      <c r="N659" s="32" t="s">
        <v>89</v>
      </c>
      <c r="O659" s="32" t="s">
        <v>743</v>
      </c>
      <c r="P659" s="32"/>
      <c r="Q659" s="57" t="s">
        <v>3469</v>
      </c>
      <c r="R659" s="155">
        <v>44148.0</v>
      </c>
      <c r="S659" s="57" t="s">
        <v>116</v>
      </c>
      <c r="T659" s="45" t="s">
        <v>3698</v>
      </c>
      <c r="U659" s="67" t="s">
        <v>3933</v>
      </c>
      <c r="V659" s="54" t="s">
        <v>80</v>
      </c>
      <c r="W659" s="57" t="s">
        <v>3390</v>
      </c>
      <c r="X659" s="57" t="s">
        <v>3391</v>
      </c>
      <c r="Y659" s="67" t="s">
        <v>3392</v>
      </c>
      <c r="Z659" s="32" t="s">
        <v>112</v>
      </c>
      <c r="AA659" s="68"/>
      <c r="AB659" s="32" t="s">
        <v>113</v>
      </c>
      <c r="AC659" s="32"/>
      <c r="AD659" s="261"/>
      <c r="AE659" s="57"/>
      <c r="AF659" s="54" t="s">
        <v>80</v>
      </c>
      <c r="AG659" s="56" t="s">
        <v>3393</v>
      </c>
      <c r="AH659" s="57"/>
      <c r="AI659" s="41"/>
      <c r="AJ659" s="58"/>
      <c r="AK659" s="83">
        <v>42838.0</v>
      </c>
      <c r="AL659" s="56" t="s">
        <v>1953</v>
      </c>
    </row>
    <row r="660" ht="22.5" customHeight="1">
      <c r="A660" s="286" t="s">
        <v>3934</v>
      </c>
      <c r="B660" s="57" t="s">
        <v>3385</v>
      </c>
      <c r="C660" s="57" t="s">
        <v>3696</v>
      </c>
      <c r="D660" s="54" t="s">
        <v>75</v>
      </c>
      <c r="E660" s="57" t="s">
        <v>3697</v>
      </c>
      <c r="F660" s="54" t="s">
        <v>93</v>
      </c>
      <c r="G660" s="34" t="s">
        <v>168</v>
      </c>
      <c r="H660" s="155">
        <v>43133.0</v>
      </c>
      <c r="I660" s="155"/>
      <c r="J660" s="155"/>
      <c r="K660" s="32" t="s">
        <v>70</v>
      </c>
      <c r="L660" s="54" t="s">
        <v>115</v>
      </c>
      <c r="M660" s="63" t="s">
        <v>218</v>
      </c>
      <c r="N660" s="32" t="s">
        <v>89</v>
      </c>
      <c r="O660" s="32" t="s">
        <v>142</v>
      </c>
      <c r="P660" s="32" t="s">
        <v>3935</v>
      </c>
      <c r="Q660" s="57" t="s">
        <v>3936</v>
      </c>
      <c r="R660" s="155">
        <v>43373.0</v>
      </c>
      <c r="S660" s="57" t="s">
        <v>116</v>
      </c>
      <c r="T660" s="45" t="s">
        <v>3698</v>
      </c>
      <c r="U660" s="67" t="s">
        <v>3937</v>
      </c>
      <c r="V660" s="54" t="s">
        <v>80</v>
      </c>
      <c r="W660" s="57" t="s">
        <v>3390</v>
      </c>
      <c r="X660" s="57" t="s">
        <v>3391</v>
      </c>
      <c r="Y660" s="67" t="s">
        <v>3392</v>
      </c>
      <c r="Z660" s="32" t="s">
        <v>112</v>
      </c>
      <c r="AA660" s="68"/>
      <c r="AB660" s="32" t="s">
        <v>113</v>
      </c>
      <c r="AC660" s="32"/>
      <c r="AD660" s="261"/>
      <c r="AE660" s="57" t="s">
        <v>3938</v>
      </c>
      <c r="AF660" s="54" t="s">
        <v>80</v>
      </c>
      <c r="AG660" s="56" t="s">
        <v>3393</v>
      </c>
      <c r="AH660" s="57"/>
      <c r="AI660" s="41"/>
      <c r="AJ660" s="58"/>
      <c r="AK660" s="83">
        <v>42838.0</v>
      </c>
      <c r="AL660" s="56" t="s">
        <v>262</v>
      </c>
    </row>
    <row r="661" ht="22.5" customHeight="1">
      <c r="A661" s="286" t="s">
        <v>3939</v>
      </c>
      <c r="B661" s="57" t="s">
        <v>355</v>
      </c>
      <c r="C661" s="32" t="s">
        <v>1345</v>
      </c>
      <c r="D661" s="34" t="s">
        <v>75</v>
      </c>
      <c r="E661" s="38" t="s">
        <v>1346</v>
      </c>
      <c r="F661" s="34" t="s">
        <v>140</v>
      </c>
      <c r="G661" s="34" t="s">
        <v>168</v>
      </c>
      <c r="H661" s="155">
        <v>43117.0</v>
      </c>
      <c r="I661" s="155">
        <v>43117.0</v>
      </c>
      <c r="J661" s="155">
        <v>43117.0</v>
      </c>
      <c r="K661" s="32" t="s">
        <v>70</v>
      </c>
      <c r="L661" s="41" t="s">
        <v>115</v>
      </c>
      <c r="M661" s="42" t="s">
        <v>313</v>
      </c>
      <c r="N661" s="38" t="s">
        <v>89</v>
      </c>
      <c r="O661" s="32" t="s">
        <v>994</v>
      </c>
      <c r="P661" s="57" t="s">
        <v>3596</v>
      </c>
      <c r="Q661" s="57" t="s">
        <v>3597</v>
      </c>
      <c r="R661" s="155">
        <v>43484.0</v>
      </c>
      <c r="S661" s="32" t="s">
        <v>402</v>
      </c>
      <c r="T661" s="56" t="s">
        <v>1349</v>
      </c>
      <c r="U661" s="67" t="s">
        <v>3940</v>
      </c>
      <c r="V661" s="34" t="s">
        <v>80</v>
      </c>
      <c r="W661" s="32" t="s">
        <v>1351</v>
      </c>
      <c r="X661" s="149" t="s">
        <v>1352</v>
      </c>
      <c r="Y661" s="152" t="s">
        <v>1353</v>
      </c>
      <c r="Z661" s="32" t="s">
        <v>112</v>
      </c>
      <c r="AA661" s="68"/>
      <c r="AB661" s="32" t="s">
        <v>113</v>
      </c>
      <c r="AC661" s="32"/>
      <c r="AD661" s="261"/>
      <c r="AE661" s="57"/>
      <c r="AF661" s="34" t="s">
        <v>80</v>
      </c>
      <c r="AG661" s="56" t="s">
        <v>1355</v>
      </c>
      <c r="AH661" s="57"/>
      <c r="AI661" s="41"/>
      <c r="AJ661" s="58"/>
      <c r="AK661" s="58">
        <v>41770.0</v>
      </c>
      <c r="AL661" s="56" t="s">
        <v>1006</v>
      </c>
    </row>
    <row r="662" ht="22.5" customHeight="1">
      <c r="A662" s="286" t="s">
        <v>3941</v>
      </c>
      <c r="B662" s="57" t="s">
        <v>987</v>
      </c>
      <c r="C662" s="32" t="s">
        <v>988</v>
      </c>
      <c r="D662" s="54" t="s">
        <v>75</v>
      </c>
      <c r="E662" s="57" t="s">
        <v>990</v>
      </c>
      <c r="F662" s="54" t="s">
        <v>93</v>
      </c>
      <c r="G662" s="54" t="s">
        <v>168</v>
      </c>
      <c r="H662" s="155">
        <v>43133.0</v>
      </c>
      <c r="I662" s="155"/>
      <c r="J662" s="155">
        <v>43133.0</v>
      </c>
      <c r="K662" s="32" t="s">
        <v>70</v>
      </c>
      <c r="L662" s="41" t="s">
        <v>115</v>
      </c>
      <c r="M662" s="63" t="s">
        <v>218</v>
      </c>
      <c r="N662" s="38" t="s">
        <v>89</v>
      </c>
      <c r="O662" s="38" t="s">
        <v>220</v>
      </c>
      <c r="P662" s="57" t="s">
        <v>2097</v>
      </c>
      <c r="Q662" s="57" t="s">
        <v>3942</v>
      </c>
      <c r="R662" s="155">
        <v>44229.0</v>
      </c>
      <c r="S662" s="32" t="s">
        <v>116</v>
      </c>
      <c r="T662" s="203" t="s">
        <v>997</v>
      </c>
      <c r="U662" s="67" t="s">
        <v>3943</v>
      </c>
      <c r="V662" s="34" t="s">
        <v>80</v>
      </c>
      <c r="W662" s="63" t="s">
        <v>1001</v>
      </c>
      <c r="X662" s="63" t="s">
        <v>1002</v>
      </c>
      <c r="Y662" s="56" t="s">
        <v>1003</v>
      </c>
      <c r="Z662" s="32" t="s">
        <v>112</v>
      </c>
      <c r="AA662" s="68"/>
      <c r="AB662" s="32" t="s">
        <v>113</v>
      </c>
      <c r="AC662" s="32"/>
      <c r="AD662" s="261"/>
      <c r="AE662" s="57"/>
      <c r="AF662" s="180" t="s">
        <v>80</v>
      </c>
      <c r="AG662" s="56" t="s">
        <v>1005</v>
      </c>
      <c r="AH662" s="41"/>
      <c r="AI662" s="41"/>
      <c r="AJ662" s="41"/>
      <c r="AK662" s="83">
        <v>41736.0</v>
      </c>
      <c r="AL662" s="56" t="s">
        <v>232</v>
      </c>
    </row>
    <row r="663" ht="22.5" customHeight="1">
      <c r="A663" s="286" t="s">
        <v>3944</v>
      </c>
      <c r="B663" s="57" t="s">
        <v>3812</v>
      </c>
      <c r="C663" s="57" t="s">
        <v>3813</v>
      </c>
      <c r="D663" s="54" t="s">
        <v>75</v>
      </c>
      <c r="E663" s="57" t="s">
        <v>3814</v>
      </c>
      <c r="F663" s="54" t="s">
        <v>140</v>
      </c>
      <c r="G663" s="54" t="s">
        <v>168</v>
      </c>
      <c r="H663" s="155">
        <v>43143.0</v>
      </c>
      <c r="I663" s="155">
        <v>43131.0</v>
      </c>
      <c r="J663" s="155">
        <v>43143.0</v>
      </c>
      <c r="K663" s="32" t="s">
        <v>70</v>
      </c>
      <c r="L663" s="54" t="s">
        <v>115</v>
      </c>
      <c r="M663" s="63" t="s">
        <v>218</v>
      </c>
      <c r="N663" s="32" t="s">
        <v>89</v>
      </c>
      <c r="O663" s="32" t="s">
        <v>196</v>
      </c>
      <c r="P663" s="57" t="s">
        <v>1837</v>
      </c>
      <c r="Q663" s="57" t="s">
        <v>2434</v>
      </c>
      <c r="R663" s="155"/>
      <c r="S663" s="32" t="s">
        <v>402</v>
      </c>
      <c r="T663" s="45" t="s">
        <v>3815</v>
      </c>
      <c r="U663" s="67" t="s">
        <v>3945</v>
      </c>
      <c r="V663" s="54" t="s">
        <v>80</v>
      </c>
      <c r="W663" s="57" t="s">
        <v>3817</v>
      </c>
      <c r="X663" s="57" t="s">
        <v>3818</v>
      </c>
      <c r="Y663" s="67" t="s">
        <v>3819</v>
      </c>
      <c r="Z663" s="32" t="s">
        <v>112</v>
      </c>
      <c r="AA663" s="47"/>
      <c r="AB663" s="60" t="s">
        <v>647</v>
      </c>
      <c r="AC663" s="32"/>
      <c r="AD663" s="261"/>
      <c r="AE663" s="57"/>
      <c r="AF663" s="54" t="s">
        <v>80</v>
      </c>
      <c r="AG663" s="56" t="s">
        <v>3821</v>
      </c>
      <c r="AH663" s="41"/>
      <c r="AI663" s="41"/>
      <c r="AJ663" s="83">
        <v>42929.0</v>
      </c>
      <c r="AK663" s="83">
        <v>42941.0</v>
      </c>
      <c r="AL663" s="56" t="s">
        <v>208</v>
      </c>
    </row>
    <row r="664" ht="22.5" customHeight="1">
      <c r="A664" s="286" t="s">
        <v>3946</v>
      </c>
      <c r="B664" s="57" t="s">
        <v>3857</v>
      </c>
      <c r="C664" s="57" t="s">
        <v>3858</v>
      </c>
      <c r="D664" s="54" t="s">
        <v>75</v>
      </c>
      <c r="E664" s="57" t="s">
        <v>3859</v>
      </c>
      <c r="F664" s="54" t="s">
        <v>140</v>
      </c>
      <c r="G664" s="54" t="s">
        <v>85</v>
      </c>
      <c r="H664" s="155">
        <v>43137.0</v>
      </c>
      <c r="I664" s="155"/>
      <c r="J664" s="155">
        <v>43137.0</v>
      </c>
      <c r="K664" s="32" t="s">
        <v>70</v>
      </c>
      <c r="L664" s="54" t="s">
        <v>115</v>
      </c>
      <c r="M664" s="63" t="s">
        <v>313</v>
      </c>
      <c r="N664" s="32" t="s">
        <v>89</v>
      </c>
      <c r="O664" s="32" t="s">
        <v>1520</v>
      </c>
      <c r="P664" s="57"/>
      <c r="Q664" s="57" t="s">
        <v>3860</v>
      </c>
      <c r="R664" s="155">
        <v>43502.0</v>
      </c>
      <c r="S664" s="32" t="s">
        <v>1520</v>
      </c>
      <c r="T664" s="45" t="s">
        <v>3861</v>
      </c>
      <c r="U664" s="67" t="s">
        <v>3947</v>
      </c>
      <c r="V664" s="54" t="s">
        <v>80</v>
      </c>
      <c r="W664" s="57" t="s">
        <v>3863</v>
      </c>
      <c r="X664" s="57" t="s">
        <v>3864</v>
      </c>
      <c r="Y664" s="67" t="s">
        <v>3865</v>
      </c>
      <c r="Z664" s="32" t="s">
        <v>112</v>
      </c>
      <c r="AA664" s="47"/>
      <c r="AB664" s="57" t="s">
        <v>113</v>
      </c>
      <c r="AC664" s="60" t="s">
        <v>3948</v>
      </c>
      <c r="AD664" s="261">
        <v>43070.0</v>
      </c>
      <c r="AE664" s="57" t="s">
        <v>3949</v>
      </c>
      <c r="AF664" s="54" t="s">
        <v>80</v>
      </c>
      <c r="AG664" s="56" t="s">
        <v>3866</v>
      </c>
      <c r="AH664" s="47"/>
      <c r="AI664" s="41"/>
      <c r="AJ664" s="77"/>
      <c r="AK664" s="83">
        <v>42625.0</v>
      </c>
      <c r="AL664" s="56" t="s">
        <v>1530</v>
      </c>
    </row>
    <row r="665" ht="22.5" customHeight="1">
      <c r="A665" s="286" t="s">
        <v>3950</v>
      </c>
      <c r="B665" s="57" t="s">
        <v>808</v>
      </c>
      <c r="C665" s="57" t="s">
        <v>3951</v>
      </c>
      <c r="D665" s="54" t="s">
        <v>75</v>
      </c>
      <c r="E665" s="57" t="s">
        <v>3952</v>
      </c>
      <c r="F665" s="54" t="s">
        <v>140</v>
      </c>
      <c r="G665" s="54" t="s">
        <v>85</v>
      </c>
      <c r="H665" s="155">
        <v>42916.0</v>
      </c>
      <c r="I665" s="155">
        <v>42916.0</v>
      </c>
      <c r="J665" s="155">
        <v>42916.0</v>
      </c>
      <c r="K665" s="32" t="s">
        <v>86</v>
      </c>
      <c r="L665" s="54" t="s">
        <v>115</v>
      </c>
      <c r="M665" s="63" t="s">
        <v>383</v>
      </c>
      <c r="N665" s="32" t="s">
        <v>89</v>
      </c>
      <c r="O665" s="57" t="s">
        <v>2125</v>
      </c>
      <c r="P665" s="32"/>
      <c r="Q665" s="47"/>
      <c r="R665" s="155">
        <v>43281.0</v>
      </c>
      <c r="S665" s="57" t="s">
        <v>2125</v>
      </c>
      <c r="T665" s="45" t="s">
        <v>3953</v>
      </c>
      <c r="U665" s="67" t="s">
        <v>3954</v>
      </c>
      <c r="V665" s="54" t="s">
        <v>74</v>
      </c>
      <c r="W665" s="57" t="s">
        <v>561</v>
      </c>
      <c r="X665" s="57" t="s">
        <v>3955</v>
      </c>
      <c r="Y665" s="67" t="s">
        <v>813</v>
      </c>
      <c r="Z665" s="32" t="s">
        <v>112</v>
      </c>
      <c r="AA665" s="47"/>
      <c r="AB665" s="60" t="s">
        <v>315</v>
      </c>
      <c r="AC665" s="60"/>
      <c r="AD665" s="261"/>
      <c r="AE665" s="47"/>
      <c r="AF665" s="54" t="s">
        <v>74</v>
      </c>
      <c r="AG665" s="56" t="s">
        <v>3956</v>
      </c>
      <c r="AH665" s="139"/>
      <c r="AI665" s="41"/>
      <c r="AJ665" s="77"/>
      <c r="AK665" s="83">
        <v>42759.0</v>
      </c>
      <c r="AL665" s="56" t="s">
        <v>2373</v>
      </c>
    </row>
    <row r="666" ht="22.5" customHeight="1">
      <c r="A666" s="286" t="s">
        <v>3957</v>
      </c>
      <c r="B666" s="57" t="s">
        <v>987</v>
      </c>
      <c r="C666" s="57" t="s">
        <v>988</v>
      </c>
      <c r="D666" s="41" t="s">
        <v>75</v>
      </c>
      <c r="E666" s="63" t="s">
        <v>990</v>
      </c>
      <c r="F666" s="34" t="s">
        <v>93</v>
      </c>
      <c r="G666" s="34" t="s">
        <v>168</v>
      </c>
      <c r="H666" s="155">
        <v>43143.0</v>
      </c>
      <c r="I666" s="155">
        <v>43143.0</v>
      </c>
      <c r="J666" s="155"/>
      <c r="K666" s="32" t="s">
        <v>70</v>
      </c>
      <c r="L666" s="34" t="s">
        <v>115</v>
      </c>
      <c r="M666" s="63" t="s">
        <v>218</v>
      </c>
      <c r="N666" s="32" t="s">
        <v>89</v>
      </c>
      <c r="O666" s="38" t="s">
        <v>220</v>
      </c>
      <c r="P666" s="57" t="s">
        <v>2816</v>
      </c>
      <c r="Q666" s="57" t="s">
        <v>2817</v>
      </c>
      <c r="R666" s="47"/>
      <c r="S666" s="32" t="s">
        <v>116</v>
      </c>
      <c r="T666" s="203" t="s">
        <v>997</v>
      </c>
      <c r="U666" s="67" t="s">
        <v>3958</v>
      </c>
      <c r="V666" s="34" t="s">
        <v>80</v>
      </c>
      <c r="W666" s="63" t="s">
        <v>1001</v>
      </c>
      <c r="X666" s="63" t="s">
        <v>1002</v>
      </c>
      <c r="Y666" s="56" t="s">
        <v>1003</v>
      </c>
      <c r="Z666" s="32" t="s">
        <v>112</v>
      </c>
      <c r="AA666" s="47"/>
      <c r="AB666" s="32" t="s">
        <v>113</v>
      </c>
      <c r="AC666" s="60"/>
      <c r="AD666" s="261"/>
      <c r="AE666" s="47"/>
      <c r="AF666" s="54" t="s">
        <v>80</v>
      </c>
      <c r="AG666" s="56" t="s">
        <v>1005</v>
      </c>
      <c r="AH666" s="57"/>
      <c r="AI666" s="41"/>
      <c r="AJ666" s="77"/>
      <c r="AK666" s="83">
        <v>41736.0</v>
      </c>
      <c r="AL666" s="56" t="s">
        <v>232</v>
      </c>
    </row>
    <row r="667" ht="22.5" customHeight="1">
      <c r="A667" s="286" t="s">
        <v>3959</v>
      </c>
      <c r="B667" s="57" t="s">
        <v>1321</v>
      </c>
      <c r="C667" s="57" t="s">
        <v>1322</v>
      </c>
      <c r="D667" s="34" t="s">
        <v>845</v>
      </c>
      <c r="E667" s="38" t="s">
        <v>1323</v>
      </c>
      <c r="F667" s="34" t="s">
        <v>140</v>
      </c>
      <c r="G667" s="34" t="s">
        <v>168</v>
      </c>
      <c r="H667" s="155">
        <v>43081.0</v>
      </c>
      <c r="I667" s="155">
        <v>43080.0</v>
      </c>
      <c r="J667" s="155">
        <v>43081.0</v>
      </c>
      <c r="K667" s="32" t="s">
        <v>70</v>
      </c>
      <c r="L667" s="41" t="s">
        <v>115</v>
      </c>
      <c r="M667" s="42" t="s">
        <v>88</v>
      </c>
      <c r="N667" s="38" t="s">
        <v>89</v>
      </c>
      <c r="O667" s="57" t="s">
        <v>1610</v>
      </c>
      <c r="P667" s="57"/>
      <c r="Q667" s="57" t="s">
        <v>2293</v>
      </c>
      <c r="R667" s="155">
        <v>44176.0</v>
      </c>
      <c r="S667" s="32" t="s">
        <v>196</v>
      </c>
      <c r="T667" s="45" t="s">
        <v>1324</v>
      </c>
      <c r="U667" s="67" t="s">
        <v>3960</v>
      </c>
      <c r="V667" s="34" t="s">
        <v>80</v>
      </c>
      <c r="W667" s="32" t="s">
        <v>561</v>
      </c>
      <c r="X667" s="32" t="s">
        <v>1326</v>
      </c>
      <c r="Y667" s="109" t="s">
        <v>1327</v>
      </c>
      <c r="Z667" s="32" t="s">
        <v>112</v>
      </c>
      <c r="AA667" s="68"/>
      <c r="AB667" s="32" t="s">
        <v>113</v>
      </c>
      <c r="AC667" s="60"/>
      <c r="AD667" s="261"/>
      <c r="AE667" s="47"/>
      <c r="AF667" s="34" t="s">
        <v>80</v>
      </c>
      <c r="AG667" s="56" t="s">
        <v>1329</v>
      </c>
      <c r="AH667" s="41"/>
      <c r="AI667" s="41"/>
      <c r="AJ667" s="41"/>
      <c r="AK667" s="58">
        <v>41619.0</v>
      </c>
      <c r="AL667" s="56" t="s">
        <v>1745</v>
      </c>
    </row>
    <row r="668" ht="22.5" customHeight="1">
      <c r="A668" s="286" t="s">
        <v>3961</v>
      </c>
      <c r="B668" s="57" t="s">
        <v>3385</v>
      </c>
      <c r="C668" s="57" t="s">
        <v>3696</v>
      </c>
      <c r="D668" s="54" t="s">
        <v>75</v>
      </c>
      <c r="E668" s="57" t="s">
        <v>3697</v>
      </c>
      <c r="F668" s="54" t="s">
        <v>93</v>
      </c>
      <c r="G668" s="34" t="s">
        <v>168</v>
      </c>
      <c r="H668" s="155">
        <v>43146.0</v>
      </c>
      <c r="I668" s="155">
        <v>43146.0</v>
      </c>
      <c r="J668" s="155"/>
      <c r="K668" s="32" t="s">
        <v>70</v>
      </c>
      <c r="L668" s="54" t="s">
        <v>115</v>
      </c>
      <c r="M668" s="63" t="s">
        <v>218</v>
      </c>
      <c r="N668" s="32" t="s">
        <v>89</v>
      </c>
      <c r="O668" s="57" t="s">
        <v>3962</v>
      </c>
      <c r="P668" s="57"/>
      <c r="Q668" s="57" t="s">
        <v>3963</v>
      </c>
      <c r="R668" s="155">
        <v>43677.0</v>
      </c>
      <c r="S668" s="57" t="s">
        <v>116</v>
      </c>
      <c r="T668" s="45" t="s">
        <v>3698</v>
      </c>
      <c r="U668" s="67" t="s">
        <v>3964</v>
      </c>
      <c r="V668" s="34" t="s">
        <v>74</v>
      </c>
      <c r="W668" s="57" t="s">
        <v>3390</v>
      </c>
      <c r="X668" s="57" t="s">
        <v>3391</v>
      </c>
      <c r="Y668" s="67" t="s">
        <v>3392</v>
      </c>
      <c r="Z668" s="32" t="s">
        <v>112</v>
      </c>
      <c r="AA668" s="68"/>
      <c r="AB668" s="32" t="s">
        <v>113</v>
      </c>
      <c r="AC668" s="32"/>
      <c r="AD668" s="261"/>
      <c r="AE668" s="47"/>
      <c r="AF668" s="54" t="s">
        <v>80</v>
      </c>
      <c r="AG668" s="56" t="s">
        <v>3393</v>
      </c>
      <c r="AH668" s="57"/>
      <c r="AI668" s="41"/>
      <c r="AJ668" s="41"/>
      <c r="AK668" s="83">
        <v>42838.0</v>
      </c>
      <c r="AL668" s="56" t="s">
        <v>3965</v>
      </c>
    </row>
    <row r="669" ht="22.5" customHeight="1">
      <c r="A669" s="286" t="s">
        <v>3966</v>
      </c>
      <c r="B669" s="57" t="s">
        <v>987</v>
      </c>
      <c r="C669" s="57" t="s">
        <v>988</v>
      </c>
      <c r="D669" s="54" t="s">
        <v>75</v>
      </c>
      <c r="E669" s="57" t="s">
        <v>990</v>
      </c>
      <c r="F669" s="54" t="s">
        <v>93</v>
      </c>
      <c r="G669" s="34" t="s">
        <v>168</v>
      </c>
      <c r="H669" s="155">
        <v>43089.0</v>
      </c>
      <c r="I669" s="155"/>
      <c r="J669" s="155">
        <v>43089.0</v>
      </c>
      <c r="K669" s="32" t="s">
        <v>70</v>
      </c>
      <c r="L669" s="34" t="s">
        <v>115</v>
      </c>
      <c r="M669" s="63" t="s">
        <v>218</v>
      </c>
      <c r="N669" s="32" t="s">
        <v>89</v>
      </c>
      <c r="O669" s="57" t="s">
        <v>1570</v>
      </c>
      <c r="P669" s="57"/>
      <c r="Q669" s="57" t="s">
        <v>2047</v>
      </c>
      <c r="R669" s="155"/>
      <c r="S669" s="32" t="s">
        <v>116</v>
      </c>
      <c r="T669" s="203" t="s">
        <v>997</v>
      </c>
      <c r="U669" s="67" t="s">
        <v>3967</v>
      </c>
      <c r="V669" s="34" t="s">
        <v>74</v>
      </c>
      <c r="W669" s="63" t="s">
        <v>1001</v>
      </c>
      <c r="X669" s="63" t="s">
        <v>1002</v>
      </c>
      <c r="Y669" s="56" t="s">
        <v>1003</v>
      </c>
      <c r="Z669" s="32" t="s">
        <v>112</v>
      </c>
      <c r="AA669" s="68"/>
      <c r="AB669" s="32" t="s">
        <v>113</v>
      </c>
      <c r="AC669" s="32"/>
      <c r="AD669" s="261"/>
      <c r="AE669" s="47"/>
      <c r="AF669" s="54" t="s">
        <v>80</v>
      </c>
      <c r="AG669" s="56" t="s">
        <v>1005</v>
      </c>
      <c r="AH669" s="57"/>
      <c r="AI669" s="41"/>
      <c r="AJ669" s="77"/>
      <c r="AK669" s="83">
        <v>41736.0</v>
      </c>
      <c r="AL669" s="109" t="s">
        <v>2055</v>
      </c>
    </row>
    <row r="670" ht="22.5" customHeight="1">
      <c r="A670" s="286" t="s">
        <v>3968</v>
      </c>
      <c r="B670" s="57" t="s">
        <v>987</v>
      </c>
      <c r="C670" s="57" t="s">
        <v>988</v>
      </c>
      <c r="D670" s="54" t="s">
        <v>75</v>
      </c>
      <c r="E670" s="57" t="s">
        <v>990</v>
      </c>
      <c r="F670" s="54" t="s">
        <v>93</v>
      </c>
      <c r="G670" s="34" t="s">
        <v>168</v>
      </c>
      <c r="H670" s="155">
        <v>43125.0</v>
      </c>
      <c r="I670" s="155">
        <v>43125.0</v>
      </c>
      <c r="J670" s="155"/>
      <c r="K670" s="32" t="s">
        <v>70</v>
      </c>
      <c r="L670" s="34" t="s">
        <v>115</v>
      </c>
      <c r="M670" s="63" t="s">
        <v>218</v>
      </c>
      <c r="N670" s="32" t="s">
        <v>89</v>
      </c>
      <c r="O670" s="57" t="s">
        <v>969</v>
      </c>
      <c r="P670" s="57" t="s">
        <v>2286</v>
      </c>
      <c r="Q670" s="57" t="s">
        <v>2875</v>
      </c>
      <c r="R670" s="155">
        <v>44221.0</v>
      </c>
      <c r="S670" s="32" t="s">
        <v>116</v>
      </c>
      <c r="T670" s="203" t="s">
        <v>997</v>
      </c>
      <c r="U670" s="67" t="s">
        <v>3969</v>
      </c>
      <c r="V670" s="34" t="s">
        <v>80</v>
      </c>
      <c r="W670" s="63" t="s">
        <v>1001</v>
      </c>
      <c r="X670" s="63" t="s">
        <v>1002</v>
      </c>
      <c r="Y670" s="56" t="s">
        <v>1003</v>
      </c>
      <c r="Z670" s="32" t="s">
        <v>112</v>
      </c>
      <c r="AA670" s="68"/>
      <c r="AB670" s="32" t="s">
        <v>113</v>
      </c>
      <c r="AC670" s="32"/>
      <c r="AD670" s="261"/>
      <c r="AE670" s="47"/>
      <c r="AF670" s="54" t="s">
        <v>80</v>
      </c>
      <c r="AG670" s="56" t="s">
        <v>1005</v>
      </c>
      <c r="AH670" s="57"/>
      <c r="AI670" s="41"/>
      <c r="AJ670" s="77"/>
      <c r="AK670" s="83">
        <v>41736.0</v>
      </c>
      <c r="AL670" s="56" t="s">
        <v>1043</v>
      </c>
    </row>
    <row r="671" ht="22.5" customHeight="1">
      <c r="A671" s="286" t="s">
        <v>3970</v>
      </c>
      <c r="B671" s="57" t="s">
        <v>2963</v>
      </c>
      <c r="C671" s="57" t="s">
        <v>2964</v>
      </c>
      <c r="D671" s="54" t="s">
        <v>75</v>
      </c>
      <c r="E671" s="57" t="s">
        <v>2965</v>
      </c>
      <c r="F671" s="54" t="s">
        <v>140</v>
      </c>
      <c r="G671" s="34" t="s">
        <v>168</v>
      </c>
      <c r="H671" s="155">
        <v>43091.0</v>
      </c>
      <c r="I671" s="155">
        <v>43090.0</v>
      </c>
      <c r="J671" s="155">
        <v>43091.0</v>
      </c>
      <c r="K671" s="32" t="s">
        <v>70</v>
      </c>
      <c r="L671" s="54" t="s">
        <v>115</v>
      </c>
      <c r="M671" s="63" t="s">
        <v>218</v>
      </c>
      <c r="N671" s="32" t="s">
        <v>89</v>
      </c>
      <c r="O671" s="57" t="s">
        <v>1908</v>
      </c>
      <c r="P671" s="57"/>
      <c r="Q671" s="57" t="s">
        <v>3657</v>
      </c>
      <c r="R671" s="155">
        <v>44187.0</v>
      </c>
      <c r="S671" s="32" t="s">
        <v>954</v>
      </c>
      <c r="T671" s="45" t="s">
        <v>2967</v>
      </c>
      <c r="U671" s="67" t="s">
        <v>3971</v>
      </c>
      <c r="V671" s="54" t="s">
        <v>80</v>
      </c>
      <c r="W671" s="57" t="s">
        <v>2969</v>
      </c>
      <c r="X671" s="57" t="s">
        <v>2970</v>
      </c>
      <c r="Y671" s="67" t="s">
        <v>2971</v>
      </c>
      <c r="Z671" s="32" t="s">
        <v>112</v>
      </c>
      <c r="AA671" s="68"/>
      <c r="AB671" s="123" t="s">
        <v>113</v>
      </c>
      <c r="AC671" s="32"/>
      <c r="AD671" s="261"/>
      <c r="AE671" s="47"/>
      <c r="AF671" s="54" t="s">
        <v>80</v>
      </c>
      <c r="AG671" s="56" t="s">
        <v>2972</v>
      </c>
      <c r="AH671" s="57"/>
      <c r="AI671" s="41"/>
      <c r="AJ671" s="77"/>
      <c r="AK671" s="83">
        <v>42466.0</v>
      </c>
      <c r="AL671" s="56" t="s">
        <v>2432</v>
      </c>
    </row>
    <row r="672" ht="22.5" customHeight="1">
      <c r="A672" s="286" t="s">
        <v>3972</v>
      </c>
      <c r="B672" s="57" t="s">
        <v>951</v>
      </c>
      <c r="C672" s="57" t="s">
        <v>3552</v>
      </c>
      <c r="D672" s="54" t="s">
        <v>75</v>
      </c>
      <c r="E672" s="57" t="s">
        <v>953</v>
      </c>
      <c r="F672" s="54" t="s">
        <v>140</v>
      </c>
      <c r="G672" s="54" t="s">
        <v>168</v>
      </c>
      <c r="H672" s="155">
        <v>43158.0</v>
      </c>
      <c r="I672" s="155">
        <v>43157.0</v>
      </c>
      <c r="J672" s="155">
        <v>43158.0</v>
      </c>
      <c r="K672" s="32" t="s">
        <v>70</v>
      </c>
      <c r="L672" s="34" t="s">
        <v>115</v>
      </c>
      <c r="M672" s="63" t="s">
        <v>88</v>
      </c>
      <c r="N672" s="32" t="s">
        <v>89</v>
      </c>
      <c r="O672" s="57" t="s">
        <v>994</v>
      </c>
      <c r="P672" s="57" t="s">
        <v>3596</v>
      </c>
      <c r="Q672" s="57" t="s">
        <v>3597</v>
      </c>
      <c r="R672" s="155">
        <v>44253.0</v>
      </c>
      <c r="S672" s="32" t="s">
        <v>196</v>
      </c>
      <c r="T672" s="45" t="s">
        <v>957</v>
      </c>
      <c r="U672" s="67" t="s">
        <v>3973</v>
      </c>
      <c r="V672" s="54" t="s">
        <v>80</v>
      </c>
      <c r="W672" s="57" t="s">
        <v>959</v>
      </c>
      <c r="X672" s="57" t="s">
        <v>960</v>
      </c>
      <c r="Y672" s="67" t="s">
        <v>961</v>
      </c>
      <c r="Z672" s="32" t="s">
        <v>112</v>
      </c>
      <c r="AA672" s="47"/>
      <c r="AB672" s="60" t="s">
        <v>481</v>
      </c>
      <c r="AC672" s="32"/>
      <c r="AD672" s="261"/>
      <c r="AE672" s="47"/>
      <c r="AF672" s="54" t="s">
        <v>80</v>
      </c>
      <c r="AG672" s="56" t="s">
        <v>964</v>
      </c>
      <c r="AH672" s="57"/>
      <c r="AI672" s="58"/>
      <c r="AJ672" s="83"/>
      <c r="AK672" s="83">
        <v>42117.0</v>
      </c>
      <c r="AL672" s="56" t="s">
        <v>1006</v>
      </c>
    </row>
    <row r="673" ht="22.5" customHeight="1">
      <c r="A673" s="286" t="s">
        <v>3974</v>
      </c>
      <c r="B673" s="57" t="s">
        <v>2924</v>
      </c>
      <c r="C673" s="32" t="s">
        <v>1167</v>
      </c>
      <c r="D673" s="41" t="s">
        <v>75</v>
      </c>
      <c r="E673" s="38" t="s">
        <v>1169</v>
      </c>
      <c r="F673" s="34" t="s">
        <v>93</v>
      </c>
      <c r="G673" s="34" t="s">
        <v>168</v>
      </c>
      <c r="H673" s="155">
        <v>43147.0</v>
      </c>
      <c r="I673" s="155">
        <v>43143.0</v>
      </c>
      <c r="J673" s="155">
        <v>43147.0</v>
      </c>
      <c r="K673" s="32" t="s">
        <v>70</v>
      </c>
      <c r="L673" s="34" t="s">
        <v>115</v>
      </c>
      <c r="M673" s="63" t="s">
        <v>218</v>
      </c>
      <c r="N673" s="32" t="s">
        <v>89</v>
      </c>
      <c r="O673" s="57" t="s">
        <v>327</v>
      </c>
      <c r="P673" s="57"/>
      <c r="Q673" s="57" t="s">
        <v>3975</v>
      </c>
      <c r="R673" s="155">
        <v>44243.0</v>
      </c>
      <c r="S673" s="32" t="s">
        <v>116</v>
      </c>
      <c r="T673" s="45" t="s">
        <v>1174</v>
      </c>
      <c r="U673" s="67" t="s">
        <v>3976</v>
      </c>
      <c r="V673" s="34" t="s">
        <v>80</v>
      </c>
      <c r="W673" s="60" t="s">
        <v>1180</v>
      </c>
      <c r="X673" s="60" t="s">
        <v>1181</v>
      </c>
      <c r="Y673" s="109" t="s">
        <v>1182</v>
      </c>
      <c r="Z673" s="32" t="s">
        <v>112</v>
      </c>
      <c r="AA673" s="47"/>
      <c r="AB673" s="60" t="s">
        <v>1183</v>
      </c>
      <c r="AC673" s="60"/>
      <c r="AD673" s="261"/>
      <c r="AE673" s="47"/>
      <c r="AF673" s="34" t="s">
        <v>80</v>
      </c>
      <c r="AG673" s="56" t="s">
        <v>1187</v>
      </c>
      <c r="AH673" s="57"/>
      <c r="AI673" s="58"/>
      <c r="AJ673" s="83"/>
      <c r="AK673" s="58">
        <v>41451.0</v>
      </c>
      <c r="AL673" s="56" t="s">
        <v>375</v>
      </c>
    </row>
    <row r="674" ht="22.5" customHeight="1">
      <c r="A674" s="286" t="s">
        <v>3977</v>
      </c>
      <c r="B674" s="57" t="s">
        <v>888</v>
      </c>
      <c r="C674" s="149" t="s">
        <v>3555</v>
      </c>
      <c r="D674" s="41" t="s">
        <v>75</v>
      </c>
      <c r="E674" s="38" t="s">
        <v>1282</v>
      </c>
      <c r="F674" s="34" t="s">
        <v>140</v>
      </c>
      <c r="G674" s="34" t="s">
        <v>168</v>
      </c>
      <c r="H674" s="155">
        <v>43095.0</v>
      </c>
      <c r="I674" s="155">
        <v>43088.0</v>
      </c>
      <c r="J674" s="155">
        <v>43095.0</v>
      </c>
      <c r="K674" s="32" t="s">
        <v>70</v>
      </c>
      <c r="L674" s="34" t="s">
        <v>115</v>
      </c>
      <c r="M674" s="32" t="s">
        <v>88</v>
      </c>
      <c r="N674" s="32" t="s">
        <v>89</v>
      </c>
      <c r="O674" s="57" t="s">
        <v>1195</v>
      </c>
      <c r="P674" s="57"/>
      <c r="Q674" s="57" t="s">
        <v>3978</v>
      </c>
      <c r="R674" s="155">
        <v>44184.0</v>
      </c>
      <c r="S674" s="32" t="s">
        <v>196</v>
      </c>
      <c r="T674" s="45" t="s">
        <v>1285</v>
      </c>
      <c r="U674" s="67" t="s">
        <v>3979</v>
      </c>
      <c r="V674" s="34" t="s">
        <v>80</v>
      </c>
      <c r="W674" s="32" t="s">
        <v>561</v>
      </c>
      <c r="X674" s="60" t="s">
        <v>1287</v>
      </c>
      <c r="Y674" s="45" t="s">
        <v>1288</v>
      </c>
      <c r="Z674" s="32" t="s">
        <v>112</v>
      </c>
      <c r="AA674" s="47"/>
      <c r="AB674" s="32" t="s">
        <v>113</v>
      </c>
      <c r="AC674" s="60"/>
      <c r="AD674" s="261"/>
      <c r="AE674" s="47"/>
      <c r="AF674" s="34" t="s">
        <v>80</v>
      </c>
      <c r="AG674" s="56" t="s">
        <v>900</v>
      </c>
      <c r="AH674" s="57"/>
      <c r="AI674" s="58"/>
      <c r="AJ674" s="83"/>
      <c r="AK674" s="155">
        <v>41770.0</v>
      </c>
      <c r="AL674" s="56" t="s">
        <v>1215</v>
      </c>
    </row>
    <row r="675" ht="22.5" customHeight="1">
      <c r="A675" s="286" t="s">
        <v>3980</v>
      </c>
      <c r="B675" s="57" t="s">
        <v>1251</v>
      </c>
      <c r="C675" s="149" t="s">
        <v>1832</v>
      </c>
      <c r="D675" s="41" t="s">
        <v>75</v>
      </c>
      <c r="E675" s="103" t="s">
        <v>1833</v>
      </c>
      <c r="F675" s="34" t="s">
        <v>93</v>
      </c>
      <c r="G675" s="34" t="s">
        <v>168</v>
      </c>
      <c r="H675" s="155">
        <v>43095.0</v>
      </c>
      <c r="I675" s="155">
        <v>43088.0</v>
      </c>
      <c r="J675" s="155">
        <v>43095.0</v>
      </c>
      <c r="K675" s="32" t="s">
        <v>70</v>
      </c>
      <c r="L675" s="34" t="s">
        <v>115</v>
      </c>
      <c r="M675" s="32" t="s">
        <v>88</v>
      </c>
      <c r="N675" s="32" t="s">
        <v>89</v>
      </c>
      <c r="O675" s="57" t="s">
        <v>1195</v>
      </c>
      <c r="P675" s="57"/>
      <c r="Q675" s="57" t="s">
        <v>3978</v>
      </c>
      <c r="R675" s="155">
        <v>44184.0</v>
      </c>
      <c r="S675" s="32" t="s">
        <v>116</v>
      </c>
      <c r="T675" s="45" t="s">
        <v>1835</v>
      </c>
      <c r="U675" s="67" t="s">
        <v>3981</v>
      </c>
      <c r="V675" s="34" t="s">
        <v>80</v>
      </c>
      <c r="W675" s="60" t="s">
        <v>1838</v>
      </c>
      <c r="X675" s="60" t="s">
        <v>1839</v>
      </c>
      <c r="Y675" s="109" t="s">
        <v>1841</v>
      </c>
      <c r="Z675" s="32" t="s">
        <v>112</v>
      </c>
      <c r="AA675" s="68"/>
      <c r="AB675" s="123" t="s">
        <v>113</v>
      </c>
      <c r="AC675" s="60"/>
      <c r="AD675" s="261"/>
      <c r="AE675" s="47"/>
      <c r="AF675" s="34" t="s">
        <v>80</v>
      </c>
      <c r="AG675" s="56" t="s">
        <v>1845</v>
      </c>
      <c r="AH675" s="53"/>
      <c r="AI675" s="77"/>
      <c r="AJ675" s="41"/>
      <c r="AK675" s="58">
        <v>41340.0</v>
      </c>
      <c r="AL675" s="56" t="s">
        <v>1215</v>
      </c>
    </row>
    <row r="676" ht="22.5" customHeight="1">
      <c r="A676" s="286" t="s">
        <v>3982</v>
      </c>
      <c r="B676" s="57" t="s">
        <v>190</v>
      </c>
      <c r="C676" s="149" t="s">
        <v>211</v>
      </c>
      <c r="D676" s="34" t="s">
        <v>752</v>
      </c>
      <c r="E676" s="32" t="s">
        <v>947</v>
      </c>
      <c r="F676" s="34" t="s">
        <v>93</v>
      </c>
      <c r="G676" s="54" t="s">
        <v>168</v>
      </c>
      <c r="H676" s="155">
        <v>43159.0</v>
      </c>
      <c r="I676" s="155">
        <v>43137.0</v>
      </c>
      <c r="J676" s="155">
        <v>43159.0</v>
      </c>
      <c r="K676" s="32" t="s">
        <v>70</v>
      </c>
      <c r="L676" s="34" t="s">
        <v>115</v>
      </c>
      <c r="M676" s="63" t="s">
        <v>218</v>
      </c>
      <c r="N676" s="32" t="s">
        <v>434</v>
      </c>
      <c r="O676" s="57" t="s">
        <v>175</v>
      </c>
      <c r="P676" s="57" t="s">
        <v>3682</v>
      </c>
      <c r="Q676" s="57" t="s">
        <v>3983</v>
      </c>
      <c r="R676" s="155"/>
      <c r="S676" s="32" t="s">
        <v>116</v>
      </c>
      <c r="T676" s="56" t="s">
        <v>2733</v>
      </c>
      <c r="U676" s="67" t="s">
        <v>3984</v>
      </c>
      <c r="V676" s="34" t="s">
        <v>80</v>
      </c>
      <c r="W676" s="32" t="s">
        <v>201</v>
      </c>
      <c r="X676" s="32" t="s">
        <v>202</v>
      </c>
      <c r="Y676" s="45" t="s">
        <v>203</v>
      </c>
      <c r="Z676" s="32" t="s">
        <v>112</v>
      </c>
      <c r="AA676" s="68"/>
      <c r="AB676" s="32" t="s">
        <v>113</v>
      </c>
      <c r="AC676" s="60"/>
      <c r="AD676" s="261"/>
      <c r="AE676" s="47"/>
      <c r="AF676" s="34" t="s">
        <v>80</v>
      </c>
      <c r="AG676" s="56" t="s">
        <v>206</v>
      </c>
      <c r="AH676" s="53"/>
      <c r="AI676" s="77"/>
      <c r="AJ676" s="41"/>
      <c r="AK676" s="58">
        <v>42212.0</v>
      </c>
      <c r="AL676" s="56" t="s">
        <v>188</v>
      </c>
    </row>
    <row r="677" ht="22.5" customHeight="1">
      <c r="A677" s="286" t="s">
        <v>3985</v>
      </c>
      <c r="B677" s="57" t="s">
        <v>843</v>
      </c>
      <c r="C677" s="149" t="s">
        <v>844</v>
      </c>
      <c r="D677" s="34" t="s">
        <v>845</v>
      </c>
      <c r="E677" s="38" t="s">
        <v>846</v>
      </c>
      <c r="F677" s="34" t="s">
        <v>140</v>
      </c>
      <c r="G677" s="34" t="s">
        <v>168</v>
      </c>
      <c r="H677" s="155">
        <v>43158.0</v>
      </c>
      <c r="I677" s="155">
        <v>43158.0</v>
      </c>
      <c r="J677" s="155">
        <v>43158.0</v>
      </c>
      <c r="K677" s="32" t="s">
        <v>70</v>
      </c>
      <c r="L677" s="41" t="s">
        <v>115</v>
      </c>
      <c r="M677" s="42" t="s">
        <v>88</v>
      </c>
      <c r="N677" s="38" t="s">
        <v>89</v>
      </c>
      <c r="O677" s="32" t="s">
        <v>2125</v>
      </c>
      <c r="P677" s="57"/>
      <c r="Q677" s="57" t="s">
        <v>3355</v>
      </c>
      <c r="R677" s="155"/>
      <c r="S677" s="32" t="s">
        <v>220</v>
      </c>
      <c r="T677" s="45" t="s">
        <v>855</v>
      </c>
      <c r="U677" s="67" t="s">
        <v>3986</v>
      </c>
      <c r="V677" s="34" t="s">
        <v>80</v>
      </c>
      <c r="W677" s="32" t="s">
        <v>561</v>
      </c>
      <c r="X677" s="32" t="s">
        <v>561</v>
      </c>
      <c r="Y677" s="45" t="s">
        <v>859</v>
      </c>
      <c r="Z677" s="32" t="s">
        <v>112</v>
      </c>
      <c r="AA677" s="47"/>
      <c r="AB677" s="60" t="s">
        <v>860</v>
      </c>
      <c r="AC677" s="60"/>
      <c r="AD677" s="261"/>
      <c r="AE677" s="47"/>
      <c r="AF677" s="34" t="s">
        <v>80</v>
      </c>
      <c r="AG677" s="56" t="s">
        <v>865</v>
      </c>
      <c r="AH677" s="47"/>
      <c r="AI677" s="58"/>
      <c r="AJ677" s="58">
        <v>41779.0</v>
      </c>
      <c r="AK677" s="58">
        <v>41612.0</v>
      </c>
      <c r="AL677" s="56" t="s">
        <v>2373</v>
      </c>
    </row>
    <row r="678" ht="22.5" customHeight="1">
      <c r="A678" s="286" t="s">
        <v>3987</v>
      </c>
      <c r="B678" s="57" t="s">
        <v>2924</v>
      </c>
      <c r="C678" s="149" t="s">
        <v>1167</v>
      </c>
      <c r="D678" s="41" t="s">
        <v>75</v>
      </c>
      <c r="E678" s="38" t="s">
        <v>1169</v>
      </c>
      <c r="F678" s="34" t="s">
        <v>93</v>
      </c>
      <c r="G678" s="34" t="s">
        <v>168</v>
      </c>
      <c r="H678" s="155">
        <v>43159.0</v>
      </c>
      <c r="I678" s="155">
        <v>43158.0</v>
      </c>
      <c r="J678" s="155">
        <v>43159.0</v>
      </c>
      <c r="K678" s="32" t="s">
        <v>70</v>
      </c>
      <c r="L678" s="34" t="s">
        <v>115</v>
      </c>
      <c r="M678" s="63" t="s">
        <v>218</v>
      </c>
      <c r="N678" s="32" t="s">
        <v>89</v>
      </c>
      <c r="O678" s="32" t="s">
        <v>2125</v>
      </c>
      <c r="P678" s="57"/>
      <c r="Q678" s="32" t="s">
        <v>2994</v>
      </c>
      <c r="R678" s="155">
        <v>43524.0</v>
      </c>
      <c r="S678" s="32" t="s">
        <v>116</v>
      </c>
      <c r="T678" s="45" t="s">
        <v>1174</v>
      </c>
      <c r="U678" s="67" t="s">
        <v>3988</v>
      </c>
      <c r="V678" s="34" t="s">
        <v>74</v>
      </c>
      <c r="W678" s="60" t="s">
        <v>1180</v>
      </c>
      <c r="X678" s="60" t="s">
        <v>1181</v>
      </c>
      <c r="Y678" s="109" t="s">
        <v>1182</v>
      </c>
      <c r="Z678" s="32" t="s">
        <v>112</v>
      </c>
      <c r="AA678" s="32"/>
      <c r="AB678" s="60" t="s">
        <v>1183</v>
      </c>
      <c r="AC678" s="60"/>
      <c r="AD678" s="261"/>
      <c r="AE678" s="47"/>
      <c r="AF678" s="34" t="s">
        <v>80</v>
      </c>
      <c r="AG678" s="56" t="s">
        <v>1187</v>
      </c>
      <c r="AH678" s="41"/>
      <c r="AI678" s="41"/>
      <c r="AJ678" s="41"/>
      <c r="AK678" s="58">
        <v>41451.0</v>
      </c>
      <c r="AL678" s="56" t="s">
        <v>2373</v>
      </c>
    </row>
    <row r="679" ht="22.5" customHeight="1">
      <c r="A679" s="286" t="s">
        <v>3989</v>
      </c>
      <c r="B679" s="57" t="s">
        <v>2501</v>
      </c>
      <c r="C679" s="32" t="s">
        <v>2502</v>
      </c>
      <c r="D679" s="34" t="s">
        <v>75</v>
      </c>
      <c r="E679" s="32" t="s">
        <v>2503</v>
      </c>
      <c r="F679" s="34" t="s">
        <v>140</v>
      </c>
      <c r="G679" s="34" t="s">
        <v>85</v>
      </c>
      <c r="H679" s="48">
        <v>43168.0</v>
      </c>
      <c r="I679" s="48"/>
      <c r="J679" s="48">
        <v>43168.0</v>
      </c>
      <c r="K679" s="32" t="s">
        <v>70</v>
      </c>
      <c r="L679" s="34" t="s">
        <v>115</v>
      </c>
      <c r="M679" s="32" t="s">
        <v>313</v>
      </c>
      <c r="N679" s="32" t="s">
        <v>89</v>
      </c>
      <c r="O679" s="38" t="s">
        <v>220</v>
      </c>
      <c r="P679" s="38"/>
      <c r="Q679" s="32" t="s">
        <v>3990</v>
      </c>
      <c r="R679" s="155">
        <v>44993.0</v>
      </c>
      <c r="S679" s="32" t="s">
        <v>220</v>
      </c>
      <c r="T679" s="56" t="s">
        <v>2504</v>
      </c>
      <c r="U679" s="67" t="s">
        <v>3991</v>
      </c>
      <c r="V679" s="34" t="s">
        <v>80</v>
      </c>
      <c r="W679" s="32" t="s">
        <v>2506</v>
      </c>
      <c r="X679" s="32" t="s">
        <v>2507</v>
      </c>
      <c r="Y679" s="45" t="s">
        <v>2508</v>
      </c>
      <c r="Z679" s="32" t="s">
        <v>112</v>
      </c>
      <c r="AA679" s="32"/>
      <c r="AB679" s="32" t="s">
        <v>113</v>
      </c>
      <c r="AC679" s="32" t="s">
        <v>3992</v>
      </c>
      <c r="AD679" s="192">
        <v>42887.0</v>
      </c>
      <c r="AE679" s="47"/>
      <c r="AF679" s="180" t="s">
        <v>80</v>
      </c>
      <c r="AG679" s="56" t="s">
        <v>2510</v>
      </c>
      <c r="AH679" s="139" t="s">
        <v>193</v>
      </c>
      <c r="AI679" s="41"/>
      <c r="AJ679" s="41"/>
      <c r="AK679" s="58">
        <v>42485.0</v>
      </c>
      <c r="AL679" s="56" t="s">
        <v>232</v>
      </c>
    </row>
    <row r="680" ht="22.5" customHeight="1">
      <c r="A680" s="286" t="s">
        <v>3993</v>
      </c>
      <c r="B680" s="57" t="s">
        <v>1321</v>
      </c>
      <c r="C680" s="32" t="s">
        <v>1322</v>
      </c>
      <c r="D680" s="34" t="s">
        <v>845</v>
      </c>
      <c r="E680" s="38" t="s">
        <v>1323</v>
      </c>
      <c r="F680" s="34" t="s">
        <v>140</v>
      </c>
      <c r="G680" s="34" t="s">
        <v>168</v>
      </c>
      <c r="H680" s="48">
        <v>43168.0</v>
      </c>
      <c r="I680" s="48"/>
      <c r="J680" s="48">
        <v>43168.0</v>
      </c>
      <c r="K680" s="32" t="s">
        <v>70</v>
      </c>
      <c r="L680" s="41" t="s">
        <v>115</v>
      </c>
      <c r="M680" s="42" t="s">
        <v>88</v>
      </c>
      <c r="N680" s="38" t="s">
        <v>89</v>
      </c>
      <c r="O680" s="38" t="s">
        <v>220</v>
      </c>
      <c r="P680" s="38"/>
      <c r="Q680" s="32" t="s">
        <v>3990</v>
      </c>
      <c r="R680" s="155">
        <v>44992.0</v>
      </c>
      <c r="S680" s="32" t="s">
        <v>196</v>
      </c>
      <c r="T680" s="45" t="s">
        <v>1324</v>
      </c>
      <c r="U680" s="67" t="s">
        <v>3994</v>
      </c>
      <c r="V680" s="34" t="s">
        <v>80</v>
      </c>
      <c r="W680" s="32" t="s">
        <v>561</v>
      </c>
      <c r="X680" s="32" t="s">
        <v>1326</v>
      </c>
      <c r="Y680" s="109" t="s">
        <v>1327</v>
      </c>
      <c r="Z680" s="32" t="s">
        <v>112</v>
      </c>
      <c r="AA680" s="32"/>
      <c r="AB680" s="32" t="s">
        <v>113</v>
      </c>
      <c r="AC680" s="60"/>
      <c r="AD680" s="192"/>
      <c r="AE680" s="47"/>
      <c r="AF680" s="180" t="s">
        <v>80</v>
      </c>
      <c r="AG680" s="56" t="s">
        <v>1329</v>
      </c>
      <c r="AH680" s="57"/>
      <c r="AI680" s="41"/>
      <c r="AJ680" s="41"/>
      <c r="AK680" s="58">
        <v>41619.0</v>
      </c>
      <c r="AL680" s="56" t="s">
        <v>232</v>
      </c>
    </row>
    <row r="681" ht="22.5" customHeight="1">
      <c r="A681" s="286" t="s">
        <v>3995</v>
      </c>
      <c r="B681" s="57" t="s">
        <v>3162</v>
      </c>
      <c r="C681" s="198" t="s">
        <v>3163</v>
      </c>
      <c r="D681" s="34" t="s">
        <v>584</v>
      </c>
      <c r="E681" s="32" t="s">
        <v>3164</v>
      </c>
      <c r="F681" s="34" t="s">
        <v>93</v>
      </c>
      <c r="G681" s="34" t="s">
        <v>168</v>
      </c>
      <c r="H681" s="48">
        <v>43138.0</v>
      </c>
      <c r="I681" s="48">
        <v>43138.0</v>
      </c>
      <c r="J681" s="48">
        <v>43138.0</v>
      </c>
      <c r="K681" s="32" t="s">
        <v>70</v>
      </c>
      <c r="L681" s="34" t="s">
        <v>115</v>
      </c>
      <c r="M681" s="32" t="s">
        <v>218</v>
      </c>
      <c r="N681" s="32" t="s">
        <v>89</v>
      </c>
      <c r="O681" s="32" t="s">
        <v>1610</v>
      </c>
      <c r="P681" s="38"/>
      <c r="Q681" s="32" t="s">
        <v>2761</v>
      </c>
      <c r="R681" s="155">
        <v>44142.0</v>
      </c>
      <c r="S681" s="32" t="s">
        <v>116</v>
      </c>
      <c r="T681" s="56" t="s">
        <v>3165</v>
      </c>
      <c r="U681" s="67" t="s">
        <v>3996</v>
      </c>
      <c r="V681" s="34" t="s">
        <v>80</v>
      </c>
      <c r="W681" s="32" t="s">
        <v>561</v>
      </c>
      <c r="X681" s="32" t="s">
        <v>3167</v>
      </c>
      <c r="Y681" s="45" t="s">
        <v>3168</v>
      </c>
      <c r="Z681" s="32" t="s">
        <v>112</v>
      </c>
      <c r="AA681" s="32"/>
      <c r="AB681" s="32" t="s">
        <v>113</v>
      </c>
      <c r="AC681" s="60"/>
      <c r="AD681" s="192"/>
      <c r="AE681" s="47"/>
      <c r="AF681" s="180" t="s">
        <v>80</v>
      </c>
      <c r="AG681" s="56" t="s">
        <v>3170</v>
      </c>
      <c r="AH681" s="57"/>
      <c r="AI681" s="41"/>
      <c r="AJ681" s="83">
        <v>42510.0</v>
      </c>
      <c r="AK681" s="83">
        <v>42591.0</v>
      </c>
      <c r="AL681" s="56" t="s">
        <v>1745</v>
      </c>
    </row>
    <row r="682" ht="22.5" customHeight="1">
      <c r="A682" s="286" t="s">
        <v>3997</v>
      </c>
      <c r="B682" s="57" t="s">
        <v>901</v>
      </c>
      <c r="C682" s="57" t="s">
        <v>3523</v>
      </c>
      <c r="D682" s="54" t="s">
        <v>91</v>
      </c>
      <c r="E682" s="57" t="s">
        <v>2002</v>
      </c>
      <c r="F682" s="54" t="s">
        <v>93</v>
      </c>
      <c r="G682" s="54" t="s">
        <v>85</v>
      </c>
      <c r="H682" s="48">
        <v>43173.0</v>
      </c>
      <c r="I682" s="48">
        <v>43154.0</v>
      </c>
      <c r="J682" s="48">
        <v>43173.0</v>
      </c>
      <c r="K682" s="32" t="s">
        <v>70</v>
      </c>
      <c r="L682" s="54" t="s">
        <v>115</v>
      </c>
      <c r="M682" s="63" t="s">
        <v>218</v>
      </c>
      <c r="N682" s="32" t="s">
        <v>434</v>
      </c>
      <c r="O682" s="32" t="s">
        <v>116</v>
      </c>
      <c r="P682" s="38"/>
      <c r="Q682" s="32"/>
      <c r="R682" s="155"/>
      <c r="S682" s="32" t="s">
        <v>116</v>
      </c>
      <c r="T682" s="45" t="s">
        <v>3524</v>
      </c>
      <c r="U682" s="67" t="s">
        <v>3998</v>
      </c>
      <c r="V682" s="54" t="s">
        <v>74</v>
      </c>
      <c r="W682" s="60" t="s">
        <v>904</v>
      </c>
      <c r="X682" s="57" t="s">
        <v>905</v>
      </c>
      <c r="Y682" s="67" t="s">
        <v>906</v>
      </c>
      <c r="Z682" s="32" t="s">
        <v>112</v>
      </c>
      <c r="AA682" s="32"/>
      <c r="AB682" s="123" t="s">
        <v>113</v>
      </c>
      <c r="AC682" s="32" t="s">
        <v>3526</v>
      </c>
      <c r="AD682" s="261">
        <v>42647.0</v>
      </c>
      <c r="AE682" s="47"/>
      <c r="AF682" s="54" t="s">
        <v>80</v>
      </c>
      <c r="AG682" s="56" t="s">
        <v>911</v>
      </c>
      <c r="AH682" s="57"/>
      <c r="AI682" s="41"/>
      <c r="AJ682" s="83"/>
      <c r="AK682" s="83">
        <v>42272.0</v>
      </c>
      <c r="AL682" s="63"/>
    </row>
    <row r="683" ht="22.5" customHeight="1">
      <c r="A683" s="286" t="s">
        <v>3999</v>
      </c>
      <c r="B683" s="57" t="s">
        <v>888</v>
      </c>
      <c r="C683" s="32" t="s">
        <v>1956</v>
      </c>
      <c r="D683" s="41" t="s">
        <v>75</v>
      </c>
      <c r="E683" s="38" t="s">
        <v>1957</v>
      </c>
      <c r="F683" s="34" t="s">
        <v>93</v>
      </c>
      <c r="G683" s="34" t="s">
        <v>85</v>
      </c>
      <c r="H683" s="48">
        <v>43173.0</v>
      </c>
      <c r="I683" s="48">
        <v>43154.0</v>
      </c>
      <c r="J683" s="48">
        <v>43173.0</v>
      </c>
      <c r="K683" s="32" t="s">
        <v>70</v>
      </c>
      <c r="L683" s="41" t="s">
        <v>115</v>
      </c>
      <c r="M683" s="63" t="s">
        <v>218</v>
      </c>
      <c r="N683" s="32" t="s">
        <v>434</v>
      </c>
      <c r="O683" s="32" t="s">
        <v>116</v>
      </c>
      <c r="P683" s="38"/>
      <c r="Q683" s="32"/>
      <c r="R683" s="155"/>
      <c r="S683" s="32" t="s">
        <v>116</v>
      </c>
      <c r="T683" s="45" t="s">
        <v>1959</v>
      </c>
      <c r="U683" s="67" t="s">
        <v>4000</v>
      </c>
      <c r="V683" s="34" t="s">
        <v>74</v>
      </c>
      <c r="W683" s="60" t="s">
        <v>1961</v>
      </c>
      <c r="X683" s="198" t="s">
        <v>1962</v>
      </c>
      <c r="Y683" s="109" t="s">
        <v>1963</v>
      </c>
      <c r="Z683" s="32" t="s">
        <v>112</v>
      </c>
      <c r="AA683" s="32"/>
      <c r="AB683" s="32" t="s">
        <v>113</v>
      </c>
      <c r="AC683" s="68" t="s">
        <v>4001</v>
      </c>
      <c r="AD683" s="261">
        <v>42647.0</v>
      </c>
      <c r="AE683" s="47"/>
      <c r="AF683" s="34" t="s">
        <v>80</v>
      </c>
      <c r="AG683" s="56" t="s">
        <v>900</v>
      </c>
      <c r="AH683" s="60" t="s">
        <v>2746</v>
      </c>
      <c r="AI683" s="41"/>
      <c r="AJ683" s="83"/>
      <c r="AK683" s="155">
        <v>42138.0</v>
      </c>
      <c r="AL683" s="63"/>
    </row>
    <row r="684" ht="22.5" customHeight="1">
      <c r="A684" s="286" t="s">
        <v>4002</v>
      </c>
      <c r="B684" s="57" t="s">
        <v>190</v>
      </c>
      <c r="C684" s="149" t="s">
        <v>3044</v>
      </c>
      <c r="D684" s="34" t="s">
        <v>752</v>
      </c>
      <c r="E684" s="57" t="s">
        <v>193</v>
      </c>
      <c r="F684" s="34" t="s">
        <v>140</v>
      </c>
      <c r="G684" s="34" t="s">
        <v>168</v>
      </c>
      <c r="H684" s="48">
        <v>43168.0</v>
      </c>
      <c r="I684" s="48">
        <v>43167.0</v>
      </c>
      <c r="J684" s="48">
        <v>43168.0</v>
      </c>
      <c r="K684" s="32" t="s">
        <v>70</v>
      </c>
      <c r="L684" s="41" t="s">
        <v>115</v>
      </c>
      <c r="M684" s="63" t="s">
        <v>88</v>
      </c>
      <c r="N684" s="38" t="s">
        <v>89</v>
      </c>
      <c r="O684" s="32" t="s">
        <v>2119</v>
      </c>
      <c r="P684" s="38"/>
      <c r="Q684" s="32" t="s">
        <v>4003</v>
      </c>
      <c r="R684" s="155"/>
      <c r="S684" s="57" t="s">
        <v>116</v>
      </c>
      <c r="T684" s="56" t="s">
        <v>198</v>
      </c>
      <c r="U684" s="67" t="s">
        <v>4004</v>
      </c>
      <c r="V684" s="34" t="s">
        <v>80</v>
      </c>
      <c r="W684" s="32" t="s">
        <v>201</v>
      </c>
      <c r="X684" s="32" t="s">
        <v>202</v>
      </c>
      <c r="Y684" s="45" t="s">
        <v>203</v>
      </c>
      <c r="Z684" s="32" t="s">
        <v>112</v>
      </c>
      <c r="AA684" s="32"/>
      <c r="AB684" s="32" t="s">
        <v>113</v>
      </c>
      <c r="AC684" s="68"/>
      <c r="AD684" s="261"/>
      <c r="AE684" s="47"/>
      <c r="AF684" s="34" t="s">
        <v>80</v>
      </c>
      <c r="AG684" s="56" t="s">
        <v>206</v>
      </c>
      <c r="AH684" s="60"/>
      <c r="AI684" s="41"/>
      <c r="AJ684" s="83"/>
      <c r="AK684" s="58">
        <v>41215.0</v>
      </c>
      <c r="AL684" s="56" t="s">
        <v>4005</v>
      </c>
    </row>
    <row r="685" ht="22.5" customHeight="1">
      <c r="A685" s="286" t="s">
        <v>4006</v>
      </c>
      <c r="B685" s="57" t="s">
        <v>843</v>
      </c>
      <c r="C685" s="149" t="s">
        <v>844</v>
      </c>
      <c r="D685" s="34" t="s">
        <v>845</v>
      </c>
      <c r="E685" s="38" t="s">
        <v>846</v>
      </c>
      <c r="F685" s="34" t="s">
        <v>140</v>
      </c>
      <c r="G685" s="34" t="s">
        <v>168</v>
      </c>
      <c r="H685" s="48">
        <v>43172.0</v>
      </c>
      <c r="I685" s="48">
        <v>43172.0</v>
      </c>
      <c r="J685" s="48"/>
      <c r="K685" s="32" t="s">
        <v>70</v>
      </c>
      <c r="L685" s="41" t="s">
        <v>115</v>
      </c>
      <c r="M685" s="42" t="s">
        <v>88</v>
      </c>
      <c r="N685" s="38" t="s">
        <v>89</v>
      </c>
      <c r="O685" s="32" t="s">
        <v>1012</v>
      </c>
      <c r="P685" s="38"/>
      <c r="Q685" s="32" t="s">
        <v>4007</v>
      </c>
      <c r="R685" s="155">
        <v>44268.0</v>
      </c>
      <c r="S685" s="32" t="s">
        <v>220</v>
      </c>
      <c r="T685" s="45" t="s">
        <v>855</v>
      </c>
      <c r="U685" s="67" t="s">
        <v>4008</v>
      </c>
      <c r="V685" s="34" t="s">
        <v>80</v>
      </c>
      <c r="W685" s="32" t="s">
        <v>561</v>
      </c>
      <c r="X685" s="32" t="s">
        <v>561</v>
      </c>
      <c r="Y685" s="45" t="s">
        <v>859</v>
      </c>
      <c r="Z685" s="32" t="s">
        <v>112</v>
      </c>
      <c r="AA685" s="47"/>
      <c r="AB685" s="60" t="s">
        <v>860</v>
      </c>
      <c r="AC685" s="60"/>
      <c r="AD685" s="261"/>
      <c r="AE685" s="47"/>
      <c r="AF685" s="34" t="s">
        <v>80</v>
      </c>
      <c r="AG685" s="56" t="s">
        <v>865</v>
      </c>
      <c r="AH685" s="47"/>
      <c r="AI685" s="58"/>
      <c r="AJ685" s="58">
        <v>41779.0</v>
      </c>
      <c r="AK685" s="58">
        <v>41612.0</v>
      </c>
      <c r="AL685" s="56" t="s">
        <v>1021</v>
      </c>
    </row>
    <row r="686" ht="22.5" customHeight="1">
      <c r="A686" s="286" t="s">
        <v>4009</v>
      </c>
      <c r="B686" s="57" t="s">
        <v>1321</v>
      </c>
      <c r="C686" s="149" t="s">
        <v>1322</v>
      </c>
      <c r="D686" s="34" t="s">
        <v>845</v>
      </c>
      <c r="E686" s="38" t="s">
        <v>1323</v>
      </c>
      <c r="F686" s="34" t="s">
        <v>140</v>
      </c>
      <c r="G686" s="34" t="s">
        <v>168</v>
      </c>
      <c r="H686" s="48">
        <v>43168.0</v>
      </c>
      <c r="I686" s="48"/>
      <c r="J686" s="48">
        <v>43168.0</v>
      </c>
      <c r="K686" s="32" t="s">
        <v>70</v>
      </c>
      <c r="L686" s="34" t="s">
        <v>115</v>
      </c>
      <c r="M686" s="42" t="s">
        <v>88</v>
      </c>
      <c r="N686" s="32" t="s">
        <v>89</v>
      </c>
      <c r="O686" s="32" t="s">
        <v>850</v>
      </c>
      <c r="P686" s="38"/>
      <c r="Q686" s="57" t="s">
        <v>3443</v>
      </c>
      <c r="R686" s="155"/>
      <c r="S686" s="32" t="s">
        <v>196</v>
      </c>
      <c r="T686" s="45" t="s">
        <v>1324</v>
      </c>
      <c r="U686" s="67" t="s">
        <v>4010</v>
      </c>
      <c r="V686" s="54" t="s">
        <v>80</v>
      </c>
      <c r="W686" s="32" t="s">
        <v>561</v>
      </c>
      <c r="X686" s="32" t="s">
        <v>1326</v>
      </c>
      <c r="Y686" s="109" t="s">
        <v>1327</v>
      </c>
      <c r="Z686" s="32" t="s">
        <v>112</v>
      </c>
      <c r="AA686" s="47"/>
      <c r="AB686" s="32" t="s">
        <v>113</v>
      </c>
      <c r="AC686" s="60"/>
      <c r="AD686" s="261"/>
      <c r="AE686" s="47"/>
      <c r="AF686" s="34" t="s">
        <v>80</v>
      </c>
      <c r="AG686" s="56" t="s">
        <v>1329</v>
      </c>
      <c r="AH686" s="47"/>
      <c r="AI686" s="58"/>
      <c r="AJ686" s="58"/>
      <c r="AK686" s="58">
        <v>41619.0</v>
      </c>
      <c r="AL686" s="56" t="s">
        <v>870</v>
      </c>
    </row>
    <row r="687" ht="22.5" customHeight="1">
      <c r="A687" s="286" t="s">
        <v>4011</v>
      </c>
      <c r="B687" s="298" t="s">
        <v>355</v>
      </c>
      <c r="C687" s="298" t="s">
        <v>4012</v>
      </c>
      <c r="D687" s="295" t="s">
        <v>4013</v>
      </c>
      <c r="E687" s="87" t="s">
        <v>4014</v>
      </c>
      <c r="F687" s="300" t="s">
        <v>93</v>
      </c>
      <c r="G687" s="300" t="s">
        <v>85</v>
      </c>
      <c r="H687" s="48">
        <v>43173.0</v>
      </c>
      <c r="I687" s="48">
        <v>43154.0</v>
      </c>
      <c r="J687" s="48">
        <v>43173.0</v>
      </c>
      <c r="K687" s="296" t="s">
        <v>70</v>
      </c>
      <c r="L687" s="300" t="s">
        <v>115</v>
      </c>
      <c r="M687" s="92" t="s">
        <v>88</v>
      </c>
      <c r="N687" s="296" t="s">
        <v>89</v>
      </c>
      <c r="O687" s="298" t="s">
        <v>4015</v>
      </c>
      <c r="P687" s="91"/>
      <c r="Q687" s="298"/>
      <c r="R687" s="308"/>
      <c r="S687" s="298" t="s">
        <v>4015</v>
      </c>
      <c r="T687" s="304" t="s">
        <v>4016</v>
      </c>
      <c r="U687" s="309" t="s">
        <v>4017</v>
      </c>
      <c r="V687" s="300" t="s">
        <v>74</v>
      </c>
      <c r="W687" s="296" t="s">
        <v>1351</v>
      </c>
      <c r="X687" s="310" t="s">
        <v>1352</v>
      </c>
      <c r="Y687" s="309" t="s">
        <v>4018</v>
      </c>
      <c r="Z687" s="296" t="s">
        <v>112</v>
      </c>
      <c r="AA687" s="91"/>
      <c r="AB687" s="296" t="s">
        <v>113</v>
      </c>
      <c r="AC687" s="311" t="s">
        <v>4019</v>
      </c>
      <c r="AD687" s="312">
        <v>43173.0</v>
      </c>
      <c r="AE687" s="91"/>
      <c r="AF687" s="300" t="s">
        <v>80</v>
      </c>
      <c r="AG687" s="304" t="s">
        <v>1355</v>
      </c>
      <c r="AH687" s="91"/>
      <c r="AI687" s="303"/>
      <c r="AJ687" s="303"/>
      <c r="AK687" s="98">
        <v>43056.0</v>
      </c>
      <c r="AL687" s="296"/>
    </row>
    <row r="688" ht="22.5" customHeight="1">
      <c r="A688" s="286" t="s">
        <v>4020</v>
      </c>
      <c r="B688" s="294" t="s">
        <v>355</v>
      </c>
      <c r="C688" s="294" t="s">
        <v>1345</v>
      </c>
      <c r="D688" s="34" t="s">
        <v>75</v>
      </c>
      <c r="E688" s="38" t="s">
        <v>1346</v>
      </c>
      <c r="F688" s="41" t="s">
        <v>140</v>
      </c>
      <c r="G688" s="34" t="s">
        <v>85</v>
      </c>
      <c r="H688" s="48">
        <v>43186.0</v>
      </c>
      <c r="I688" s="48">
        <v>43186.0</v>
      </c>
      <c r="J688" s="48">
        <v>43186.0</v>
      </c>
      <c r="K688" s="32" t="s">
        <v>70</v>
      </c>
      <c r="L688" s="41" t="s">
        <v>115</v>
      </c>
      <c r="M688" s="42" t="s">
        <v>313</v>
      </c>
      <c r="N688" s="38" t="s">
        <v>89</v>
      </c>
      <c r="O688" s="38" t="s">
        <v>402</v>
      </c>
      <c r="P688" s="91"/>
      <c r="Q688" s="294" t="s">
        <v>2324</v>
      </c>
      <c r="R688" s="308"/>
      <c r="S688" s="32" t="s">
        <v>402</v>
      </c>
      <c r="T688" s="56" t="s">
        <v>1349</v>
      </c>
      <c r="U688" s="299" t="s">
        <v>4021</v>
      </c>
      <c r="V688" s="34" t="s">
        <v>80</v>
      </c>
      <c r="W688" s="32" t="s">
        <v>1351</v>
      </c>
      <c r="X688" s="149" t="s">
        <v>1352</v>
      </c>
      <c r="Y688" s="152" t="s">
        <v>1353</v>
      </c>
      <c r="Z688" s="32" t="s">
        <v>112</v>
      </c>
      <c r="AA688" s="68"/>
      <c r="AB688" s="32" t="s">
        <v>113</v>
      </c>
      <c r="AC688" s="68" t="s">
        <v>4022</v>
      </c>
      <c r="AD688" s="261">
        <v>42391.0</v>
      </c>
      <c r="AE688" s="313" t="s">
        <v>4023</v>
      </c>
      <c r="AF688" s="34" t="s">
        <v>80</v>
      </c>
      <c r="AG688" s="56" t="s">
        <v>1355</v>
      </c>
      <c r="AH688" s="314" t="s">
        <v>4014</v>
      </c>
      <c r="AI688" s="41"/>
      <c r="AJ688" s="58"/>
      <c r="AK688" s="58">
        <v>41770.0</v>
      </c>
      <c r="AL688" s="56" t="s">
        <v>1033</v>
      </c>
    </row>
    <row r="689" ht="22.5" customHeight="1">
      <c r="A689" s="286" t="s">
        <v>4024</v>
      </c>
      <c r="B689" s="294" t="s">
        <v>2401</v>
      </c>
      <c r="C689" s="294" t="s">
        <v>2402</v>
      </c>
      <c r="D689" s="41" t="s">
        <v>75</v>
      </c>
      <c r="E689" s="149" t="s">
        <v>2403</v>
      </c>
      <c r="F689" s="34" t="s">
        <v>140</v>
      </c>
      <c r="G689" s="34" t="s">
        <v>168</v>
      </c>
      <c r="H689" s="58">
        <v>43076.0</v>
      </c>
      <c r="I689" s="48"/>
      <c r="J689" s="58">
        <v>43076.0</v>
      </c>
      <c r="K689" s="32" t="s">
        <v>70</v>
      </c>
      <c r="L689" s="41" t="s">
        <v>115</v>
      </c>
      <c r="M689" s="42" t="s">
        <v>88</v>
      </c>
      <c r="N689" s="38" t="s">
        <v>89</v>
      </c>
      <c r="O689" s="32" t="s">
        <v>1570</v>
      </c>
      <c r="P689" s="91"/>
      <c r="Q689" s="294" t="s">
        <v>2047</v>
      </c>
      <c r="R689" s="308"/>
      <c r="S689" s="32" t="s">
        <v>142</v>
      </c>
      <c r="T689" s="56" t="s">
        <v>2404</v>
      </c>
      <c r="U689" s="299" t="s">
        <v>4025</v>
      </c>
      <c r="V689" s="34" t="s">
        <v>74</v>
      </c>
      <c r="W689" s="149" t="s">
        <v>2406</v>
      </c>
      <c r="X689" s="198" t="s">
        <v>2407</v>
      </c>
      <c r="Y689" s="152" t="s">
        <v>2408</v>
      </c>
      <c r="Z689" s="32" t="s">
        <v>112</v>
      </c>
      <c r="AA689" s="68"/>
      <c r="AB689" s="60" t="s">
        <v>389</v>
      </c>
      <c r="AC689" s="68"/>
      <c r="AD689" s="261"/>
      <c r="AE689" s="313"/>
      <c r="AF689" s="34" t="s">
        <v>80</v>
      </c>
      <c r="AG689" s="56" t="s">
        <v>2409</v>
      </c>
      <c r="AH689" s="87"/>
      <c r="AI689" s="41"/>
      <c r="AJ689" s="58"/>
      <c r="AK689" s="132">
        <v>42012.0</v>
      </c>
      <c r="AL689" s="109" t="s">
        <v>2055</v>
      </c>
    </row>
    <row r="690" ht="22.5" customHeight="1">
      <c r="A690" s="286" t="s">
        <v>4026</v>
      </c>
      <c r="B690" s="294" t="s">
        <v>3300</v>
      </c>
      <c r="C690" s="294" t="s">
        <v>3301</v>
      </c>
      <c r="D690" s="41" t="s">
        <v>75</v>
      </c>
      <c r="E690" s="103" t="s">
        <v>3302</v>
      </c>
      <c r="F690" s="41" t="s">
        <v>140</v>
      </c>
      <c r="G690" s="34" t="s">
        <v>168</v>
      </c>
      <c r="H690" s="58">
        <v>43076.0</v>
      </c>
      <c r="I690" s="48"/>
      <c r="J690" s="58">
        <v>43076.0</v>
      </c>
      <c r="K690" s="32" t="s">
        <v>70</v>
      </c>
      <c r="L690" s="34" t="s">
        <v>115</v>
      </c>
      <c r="M690" s="63" t="s">
        <v>218</v>
      </c>
      <c r="N690" s="32" t="s">
        <v>89</v>
      </c>
      <c r="O690" s="32" t="s">
        <v>1570</v>
      </c>
      <c r="P690" s="91"/>
      <c r="Q690" s="294" t="s">
        <v>2047</v>
      </c>
      <c r="R690" s="308"/>
      <c r="S690" s="38" t="s">
        <v>969</v>
      </c>
      <c r="T690" s="56" t="s">
        <v>3303</v>
      </c>
      <c r="U690" s="299" t="s">
        <v>4027</v>
      </c>
      <c r="V690" s="34" t="s">
        <v>74</v>
      </c>
      <c r="W690" s="149" t="s">
        <v>3305</v>
      </c>
      <c r="X690" s="32" t="s">
        <v>3306</v>
      </c>
      <c r="Y690" s="152" t="s">
        <v>3307</v>
      </c>
      <c r="Z690" s="32" t="s">
        <v>112</v>
      </c>
      <c r="AA690" s="68"/>
      <c r="AB690" s="60" t="s">
        <v>389</v>
      </c>
      <c r="AC690" s="68"/>
      <c r="AD690" s="261"/>
      <c r="AE690" s="313"/>
      <c r="AF690" s="34" t="s">
        <v>80</v>
      </c>
      <c r="AG690" s="56" t="s">
        <v>3308</v>
      </c>
      <c r="AH690" s="87"/>
      <c r="AI690" s="41"/>
      <c r="AJ690" s="58"/>
      <c r="AK690" s="58">
        <v>42355.0</v>
      </c>
      <c r="AL690" s="109" t="s">
        <v>2055</v>
      </c>
    </row>
    <row r="691" ht="22.5" customHeight="1">
      <c r="A691" s="286" t="s">
        <v>4028</v>
      </c>
      <c r="B691" s="294" t="s">
        <v>2550</v>
      </c>
      <c r="C691" s="294" t="s">
        <v>2551</v>
      </c>
      <c r="D691" s="34" t="s">
        <v>584</v>
      </c>
      <c r="E691" s="149" t="s">
        <v>2552</v>
      </c>
      <c r="F691" s="34" t="s">
        <v>140</v>
      </c>
      <c r="G691" s="54" t="s">
        <v>168</v>
      </c>
      <c r="H691" s="58">
        <v>43182.0</v>
      </c>
      <c r="I691" s="48">
        <v>43181.0</v>
      </c>
      <c r="J691" s="58">
        <v>43182.0</v>
      </c>
      <c r="K691" s="32" t="s">
        <v>70</v>
      </c>
      <c r="L691" s="34" t="s">
        <v>115</v>
      </c>
      <c r="M691" s="42" t="s">
        <v>88</v>
      </c>
      <c r="N691" s="32" t="s">
        <v>89</v>
      </c>
      <c r="O691" s="32" t="s">
        <v>2125</v>
      </c>
      <c r="P691" s="91"/>
      <c r="Q691" s="57" t="s">
        <v>3570</v>
      </c>
      <c r="R691" s="315">
        <v>43547.0</v>
      </c>
      <c r="S691" s="32" t="s">
        <v>1023</v>
      </c>
      <c r="T691" s="56" t="s">
        <v>2553</v>
      </c>
      <c r="U691" s="299" t="s">
        <v>4029</v>
      </c>
      <c r="V691" s="34" t="s">
        <v>74</v>
      </c>
      <c r="W691" s="149" t="s">
        <v>2555</v>
      </c>
      <c r="X691" s="149" t="s">
        <v>2556</v>
      </c>
      <c r="Y691" s="152" t="s">
        <v>2557</v>
      </c>
      <c r="Z691" s="32" t="s">
        <v>112</v>
      </c>
      <c r="AA691" s="68"/>
      <c r="AB691" s="60" t="s">
        <v>389</v>
      </c>
      <c r="AC691" s="68"/>
      <c r="AD691" s="261"/>
      <c r="AE691" s="313"/>
      <c r="AF691" s="54" t="s">
        <v>80</v>
      </c>
      <c r="AG691" s="56" t="s">
        <v>2559</v>
      </c>
      <c r="AH691" s="87"/>
      <c r="AI691" s="41"/>
      <c r="AJ691" s="58"/>
      <c r="AK691" s="268">
        <v>41770.0</v>
      </c>
      <c r="AL691" s="56" t="s">
        <v>2373</v>
      </c>
    </row>
    <row r="692" ht="22.5" customHeight="1">
      <c r="A692" s="286" t="s">
        <v>4030</v>
      </c>
      <c r="B692" s="149" t="s">
        <v>461</v>
      </c>
      <c r="C692" s="149" t="s">
        <v>2575</v>
      </c>
      <c r="D692" s="34" t="s">
        <v>752</v>
      </c>
      <c r="E692" s="149" t="s">
        <v>2576</v>
      </c>
      <c r="F692" s="34" t="s">
        <v>93</v>
      </c>
      <c r="G692" s="54" t="s">
        <v>168</v>
      </c>
      <c r="H692" s="58">
        <v>43193.0</v>
      </c>
      <c r="I692" s="58">
        <v>43193.0</v>
      </c>
      <c r="J692" s="58">
        <v>43193.0</v>
      </c>
      <c r="K692" s="32" t="s">
        <v>70</v>
      </c>
      <c r="L692" s="41" t="s">
        <v>115</v>
      </c>
      <c r="M692" s="63" t="s">
        <v>218</v>
      </c>
      <c r="N692" s="38" t="s">
        <v>89</v>
      </c>
      <c r="O692" s="32" t="s">
        <v>142</v>
      </c>
      <c r="P692" s="313" t="s">
        <v>4031</v>
      </c>
      <c r="Q692" s="57" t="s">
        <v>4032</v>
      </c>
      <c r="R692" s="315"/>
      <c r="S692" s="32" t="s">
        <v>116</v>
      </c>
      <c r="T692" s="56" t="s">
        <v>2577</v>
      </c>
      <c r="U692" s="299" t="s">
        <v>4033</v>
      </c>
      <c r="V692" s="34" t="s">
        <v>80</v>
      </c>
      <c r="W692" s="149" t="s">
        <v>803</v>
      </c>
      <c r="X692" s="32" t="s">
        <v>806</v>
      </c>
      <c r="Y692" s="152" t="s">
        <v>2579</v>
      </c>
      <c r="Z692" s="32" t="s">
        <v>112</v>
      </c>
      <c r="AA692" s="38"/>
      <c r="AB692" s="149" t="s">
        <v>113</v>
      </c>
      <c r="AC692" s="68"/>
      <c r="AD692" s="261"/>
      <c r="AE692" s="313"/>
      <c r="AF692" s="34" t="s">
        <v>80</v>
      </c>
      <c r="AG692" s="56" t="s">
        <v>817</v>
      </c>
      <c r="AH692" s="87"/>
      <c r="AI692" s="41"/>
      <c r="AJ692" s="58"/>
      <c r="AK692" s="268">
        <v>41850.0</v>
      </c>
      <c r="AL692" s="56" t="s">
        <v>262</v>
      </c>
    </row>
    <row r="693" ht="22.5" customHeight="1">
      <c r="A693" s="286" t="s">
        <v>4034</v>
      </c>
      <c r="B693" s="149" t="s">
        <v>355</v>
      </c>
      <c r="C693" s="32" t="s">
        <v>1345</v>
      </c>
      <c r="D693" s="34" t="s">
        <v>75</v>
      </c>
      <c r="E693" s="38" t="s">
        <v>1346</v>
      </c>
      <c r="F693" s="34" t="s">
        <v>140</v>
      </c>
      <c r="G693" s="34" t="s">
        <v>168</v>
      </c>
      <c r="H693" s="58">
        <v>43189.0</v>
      </c>
      <c r="I693" s="58">
        <v>43189.0</v>
      </c>
      <c r="J693" s="58">
        <v>43189.0</v>
      </c>
      <c r="K693" s="32" t="s">
        <v>70</v>
      </c>
      <c r="L693" s="41" t="s">
        <v>115</v>
      </c>
      <c r="M693" s="42" t="s">
        <v>313</v>
      </c>
      <c r="N693" s="38" t="s">
        <v>89</v>
      </c>
      <c r="O693" s="32" t="s">
        <v>954</v>
      </c>
      <c r="P693" s="313" t="s">
        <v>1987</v>
      </c>
      <c r="Q693" s="32" t="s">
        <v>3279</v>
      </c>
      <c r="R693" s="315">
        <v>43556.0</v>
      </c>
      <c r="S693" s="32" t="s">
        <v>402</v>
      </c>
      <c r="T693" s="56" t="s">
        <v>1349</v>
      </c>
      <c r="U693" s="299" t="s">
        <v>4035</v>
      </c>
      <c r="V693" s="34" t="s">
        <v>80</v>
      </c>
      <c r="W693" s="32" t="s">
        <v>1351</v>
      </c>
      <c r="X693" s="149" t="s">
        <v>1352</v>
      </c>
      <c r="Y693" s="152" t="s">
        <v>1353</v>
      </c>
      <c r="Z693" s="32" t="s">
        <v>112</v>
      </c>
      <c r="AA693" s="68"/>
      <c r="AB693" s="32" t="s">
        <v>113</v>
      </c>
      <c r="AC693" s="68"/>
      <c r="AD693" s="261"/>
      <c r="AE693" s="313"/>
      <c r="AF693" s="34" t="s">
        <v>80</v>
      </c>
      <c r="AG693" s="56" t="s">
        <v>1355</v>
      </c>
      <c r="AH693" s="41"/>
      <c r="AI693" s="41"/>
      <c r="AJ693" s="41"/>
      <c r="AK693" s="58">
        <v>41770.0</v>
      </c>
      <c r="AL693" s="56" t="s">
        <v>965</v>
      </c>
    </row>
    <row r="694" ht="22.5" customHeight="1">
      <c r="A694" s="286" t="s">
        <v>4036</v>
      </c>
      <c r="B694" s="149" t="s">
        <v>1251</v>
      </c>
      <c r="C694" s="149" t="s">
        <v>1832</v>
      </c>
      <c r="D694" s="41" t="s">
        <v>75</v>
      </c>
      <c r="E694" s="103" t="s">
        <v>1833</v>
      </c>
      <c r="F694" s="34" t="s">
        <v>93</v>
      </c>
      <c r="G694" s="34" t="s">
        <v>168</v>
      </c>
      <c r="H694" s="58">
        <v>43189.0</v>
      </c>
      <c r="I694" s="58">
        <v>43189.0</v>
      </c>
      <c r="J694" s="58">
        <v>43189.0</v>
      </c>
      <c r="K694" s="32" t="s">
        <v>70</v>
      </c>
      <c r="L694" s="41" t="s">
        <v>115</v>
      </c>
      <c r="M694" s="103" t="s">
        <v>88</v>
      </c>
      <c r="N694" s="38" t="s">
        <v>89</v>
      </c>
      <c r="O694" s="32" t="s">
        <v>954</v>
      </c>
      <c r="P694" s="313" t="s">
        <v>1987</v>
      </c>
      <c r="Q694" s="32" t="s">
        <v>3279</v>
      </c>
      <c r="R694" s="315">
        <v>43556.0</v>
      </c>
      <c r="S694" s="32" t="s">
        <v>116</v>
      </c>
      <c r="T694" s="45" t="s">
        <v>1835</v>
      </c>
      <c r="U694" s="299" t="s">
        <v>4037</v>
      </c>
      <c r="V694" s="34" t="s">
        <v>80</v>
      </c>
      <c r="W694" s="60" t="s">
        <v>1838</v>
      </c>
      <c r="X694" s="60" t="s">
        <v>1839</v>
      </c>
      <c r="Y694" s="109" t="s">
        <v>1841</v>
      </c>
      <c r="Z694" s="32" t="s">
        <v>112</v>
      </c>
      <c r="AA694" s="68"/>
      <c r="AB694" s="123" t="s">
        <v>113</v>
      </c>
      <c r="AC694" s="60"/>
      <c r="AD694" s="261"/>
      <c r="AE694" s="313"/>
      <c r="AF694" s="34" t="s">
        <v>80</v>
      </c>
      <c r="AG694" s="56" t="s">
        <v>1845</v>
      </c>
      <c r="AH694" s="53"/>
      <c r="AI694" s="77"/>
      <c r="AJ694" s="41"/>
      <c r="AK694" s="58">
        <v>41340.0</v>
      </c>
      <c r="AL694" s="56" t="s">
        <v>965</v>
      </c>
    </row>
    <row r="695" ht="22.5" customHeight="1">
      <c r="A695" s="286" t="s">
        <v>4038</v>
      </c>
      <c r="B695" s="149" t="s">
        <v>987</v>
      </c>
      <c r="C695" s="57" t="s">
        <v>988</v>
      </c>
      <c r="D695" s="54" t="s">
        <v>75</v>
      </c>
      <c r="E695" s="57" t="s">
        <v>990</v>
      </c>
      <c r="F695" s="54" t="s">
        <v>93</v>
      </c>
      <c r="G695" s="34" t="s">
        <v>168</v>
      </c>
      <c r="H695" s="58">
        <v>43189.0</v>
      </c>
      <c r="I695" s="58">
        <v>43189.0</v>
      </c>
      <c r="J695" s="58">
        <v>43189.0</v>
      </c>
      <c r="K695" s="32" t="s">
        <v>70</v>
      </c>
      <c r="L695" s="41" t="s">
        <v>115</v>
      </c>
      <c r="M695" s="63" t="s">
        <v>218</v>
      </c>
      <c r="N695" s="38" t="s">
        <v>89</v>
      </c>
      <c r="O695" s="32" t="s">
        <v>954</v>
      </c>
      <c r="P695" s="313" t="s">
        <v>1987</v>
      </c>
      <c r="Q695" s="32" t="s">
        <v>3279</v>
      </c>
      <c r="R695" s="315">
        <v>43556.0</v>
      </c>
      <c r="S695" s="32" t="s">
        <v>116</v>
      </c>
      <c r="T695" s="203" t="s">
        <v>997</v>
      </c>
      <c r="U695" s="299" t="s">
        <v>4039</v>
      </c>
      <c r="V695" s="34" t="s">
        <v>80</v>
      </c>
      <c r="W695" s="63" t="s">
        <v>1001</v>
      </c>
      <c r="X695" s="63" t="s">
        <v>1002</v>
      </c>
      <c r="Y695" s="56" t="s">
        <v>1003</v>
      </c>
      <c r="Z695" s="32" t="s">
        <v>112</v>
      </c>
      <c r="AA695" s="38"/>
      <c r="AB695" s="32" t="s">
        <v>113</v>
      </c>
      <c r="AC695" s="68"/>
      <c r="AD695" s="261"/>
      <c r="AE695" s="313"/>
      <c r="AF695" s="34" t="s">
        <v>80</v>
      </c>
      <c r="AG695" s="56" t="s">
        <v>1005</v>
      </c>
      <c r="AH695" s="87"/>
      <c r="AI695" s="41"/>
      <c r="AJ695" s="58"/>
      <c r="AK695" s="83">
        <v>41736.0</v>
      </c>
      <c r="AL695" s="56" t="s">
        <v>965</v>
      </c>
    </row>
    <row r="696" ht="22.5" customHeight="1">
      <c r="A696" s="286" t="s">
        <v>4040</v>
      </c>
      <c r="B696" s="149" t="s">
        <v>2664</v>
      </c>
      <c r="C696" s="149" t="s">
        <v>2665</v>
      </c>
      <c r="D696" s="270" t="s">
        <v>75</v>
      </c>
      <c r="E696" s="149" t="s">
        <v>2666</v>
      </c>
      <c r="F696" s="34" t="s">
        <v>140</v>
      </c>
      <c r="G696" s="34" t="s">
        <v>168</v>
      </c>
      <c r="H696" s="58">
        <v>43189.0</v>
      </c>
      <c r="I696" s="58">
        <v>43189.0</v>
      </c>
      <c r="J696" s="58">
        <v>43189.0</v>
      </c>
      <c r="K696" s="32" t="s">
        <v>70</v>
      </c>
      <c r="L696" s="41" t="s">
        <v>115</v>
      </c>
      <c r="M696" s="32" t="s">
        <v>313</v>
      </c>
      <c r="N696" s="38" t="s">
        <v>89</v>
      </c>
      <c r="O696" s="32" t="s">
        <v>954</v>
      </c>
      <c r="P696" s="313" t="s">
        <v>1987</v>
      </c>
      <c r="Q696" s="32" t="s">
        <v>3279</v>
      </c>
      <c r="R696" s="315">
        <v>43556.0</v>
      </c>
      <c r="S696" s="63" t="s">
        <v>954</v>
      </c>
      <c r="T696" s="56" t="s">
        <v>2667</v>
      </c>
      <c r="U696" s="299" t="s">
        <v>4041</v>
      </c>
      <c r="V696" s="34" t="s">
        <v>80</v>
      </c>
      <c r="W696" s="63" t="s">
        <v>2668</v>
      </c>
      <c r="X696" s="63" t="s">
        <v>2669</v>
      </c>
      <c r="Y696" s="56" t="s">
        <v>2670</v>
      </c>
      <c r="Z696" s="32" t="s">
        <v>112</v>
      </c>
      <c r="AA696" s="38"/>
      <c r="AB696" s="149" t="s">
        <v>481</v>
      </c>
      <c r="AC696" s="68"/>
      <c r="AD696" s="261"/>
      <c r="AE696" s="313"/>
      <c r="AF696" s="34" t="s">
        <v>80</v>
      </c>
      <c r="AG696" s="56" t="s">
        <v>2671</v>
      </c>
      <c r="AH696" s="87"/>
      <c r="AI696" s="41"/>
      <c r="AJ696" s="268">
        <v>42480.0</v>
      </c>
      <c r="AK696" s="58">
        <v>42825.0</v>
      </c>
      <c r="AL696" s="56" t="s">
        <v>965</v>
      </c>
    </row>
    <row r="697" ht="22.5" customHeight="1">
      <c r="A697" s="286" t="s">
        <v>4042</v>
      </c>
      <c r="B697" s="30" t="s">
        <v>4043</v>
      </c>
      <c r="C697" s="32" t="s">
        <v>4044</v>
      </c>
      <c r="D697" s="34" t="s">
        <v>75</v>
      </c>
      <c r="E697" s="32" t="s">
        <v>4045</v>
      </c>
      <c r="F697" s="34" t="s">
        <v>93</v>
      </c>
      <c r="G697" s="34" t="s">
        <v>85</v>
      </c>
      <c r="H697" s="48">
        <v>43193.0</v>
      </c>
      <c r="I697" s="48">
        <v>43182.0</v>
      </c>
      <c r="J697" s="48">
        <v>43193.0</v>
      </c>
      <c r="K697" s="32" t="s">
        <v>70</v>
      </c>
      <c r="L697" s="41" t="s">
        <v>115</v>
      </c>
      <c r="M697" s="32" t="s">
        <v>218</v>
      </c>
      <c r="N697" s="32" t="s">
        <v>89</v>
      </c>
      <c r="O697" s="32" t="s">
        <v>116</v>
      </c>
      <c r="P697" s="38"/>
      <c r="Q697" s="38"/>
      <c r="R697" s="36"/>
      <c r="S697" s="32" t="s">
        <v>116</v>
      </c>
      <c r="T697" s="56" t="s">
        <v>4046</v>
      </c>
      <c r="U697" s="45" t="s">
        <v>4047</v>
      </c>
      <c r="V697" s="34" t="s">
        <v>74</v>
      </c>
      <c r="W697" s="32" t="s">
        <v>4048</v>
      </c>
      <c r="X697" s="32" t="s">
        <v>4049</v>
      </c>
      <c r="Y697" s="45" t="s">
        <v>4050</v>
      </c>
      <c r="Z697" s="32" t="s">
        <v>112</v>
      </c>
      <c r="AA697" s="47"/>
      <c r="AB697" s="32" t="s">
        <v>113</v>
      </c>
      <c r="AC697" s="32" t="s">
        <v>4051</v>
      </c>
      <c r="AD697" s="192">
        <v>43193.0</v>
      </c>
      <c r="AE697" s="53"/>
      <c r="AF697" s="180" t="s">
        <v>80</v>
      </c>
      <c r="AG697" s="56" t="s">
        <v>4052</v>
      </c>
      <c r="AH697" s="139" t="s">
        <v>947</v>
      </c>
      <c r="AI697" s="58"/>
      <c r="AJ697" s="58">
        <v>42762.0</v>
      </c>
      <c r="AK697" s="58">
        <v>43088.0</v>
      </c>
      <c r="AL697" s="63"/>
    </row>
    <row r="698" ht="22.5" customHeight="1">
      <c r="A698" s="286" t="s">
        <v>4053</v>
      </c>
      <c r="B698" s="30" t="s">
        <v>1650</v>
      </c>
      <c r="C698" s="32" t="s">
        <v>1651</v>
      </c>
      <c r="D698" s="41" t="s">
        <v>584</v>
      </c>
      <c r="E698" s="38" t="s">
        <v>1652</v>
      </c>
      <c r="F698" s="34" t="s">
        <v>140</v>
      </c>
      <c r="G698" s="34" t="s">
        <v>168</v>
      </c>
      <c r="H698" s="48">
        <v>43185.0</v>
      </c>
      <c r="I698" s="48">
        <v>43185.0</v>
      </c>
      <c r="J698" s="48">
        <v>43185.0</v>
      </c>
      <c r="K698" s="32" t="s">
        <v>70</v>
      </c>
      <c r="L698" s="41" t="s">
        <v>115</v>
      </c>
      <c r="M698" s="42" t="s">
        <v>313</v>
      </c>
      <c r="N698" s="38" t="s">
        <v>89</v>
      </c>
      <c r="O698" s="32" t="s">
        <v>605</v>
      </c>
      <c r="P698" s="38"/>
      <c r="Q698" s="32" t="s">
        <v>4054</v>
      </c>
      <c r="R698" s="36"/>
      <c r="S698" s="32" t="s">
        <v>994</v>
      </c>
      <c r="T698" s="45" t="s">
        <v>1655</v>
      </c>
      <c r="U698" s="45" t="s">
        <v>4055</v>
      </c>
      <c r="V698" s="34" t="s">
        <v>80</v>
      </c>
      <c r="W698" s="32" t="s">
        <v>561</v>
      </c>
      <c r="X698" s="60" t="s">
        <v>1657</v>
      </c>
      <c r="Y698" s="109" t="s">
        <v>1658</v>
      </c>
      <c r="Z698" s="32" t="s">
        <v>112</v>
      </c>
      <c r="AA698" s="47"/>
      <c r="AB698" s="60" t="s">
        <v>66</v>
      </c>
      <c r="AC698" s="32"/>
      <c r="AD698" s="192"/>
      <c r="AE698" s="53"/>
      <c r="AF698" s="180" t="s">
        <v>74</v>
      </c>
      <c r="AG698" s="56" t="s">
        <v>1661</v>
      </c>
      <c r="AH698" s="57"/>
      <c r="AI698" s="58"/>
      <c r="AJ698" s="58"/>
      <c r="AK698" s="132">
        <v>41963.0</v>
      </c>
      <c r="AL698" s="56" t="s">
        <v>631</v>
      </c>
    </row>
    <row r="699" ht="22.5" customHeight="1">
      <c r="A699" s="286" t="s">
        <v>4056</v>
      </c>
      <c r="B699" s="30" t="s">
        <v>1693</v>
      </c>
      <c r="C699" s="32" t="s">
        <v>1694</v>
      </c>
      <c r="D699" s="41" t="s">
        <v>75</v>
      </c>
      <c r="E699" s="32" t="s">
        <v>1695</v>
      </c>
      <c r="F699" s="34" t="s">
        <v>140</v>
      </c>
      <c r="G699" s="34" t="s">
        <v>168</v>
      </c>
      <c r="H699" s="48">
        <v>43194.0</v>
      </c>
      <c r="I699" s="48">
        <v>43181.0</v>
      </c>
      <c r="J699" s="48">
        <v>43194.0</v>
      </c>
      <c r="K699" s="32" t="s">
        <v>70</v>
      </c>
      <c r="L699" s="41" t="s">
        <v>115</v>
      </c>
      <c r="M699" s="63" t="s">
        <v>218</v>
      </c>
      <c r="N699" s="38" t="s">
        <v>89</v>
      </c>
      <c r="O699" s="32" t="s">
        <v>196</v>
      </c>
      <c r="P699" s="32" t="s">
        <v>1837</v>
      </c>
      <c r="Q699" s="32" t="s">
        <v>4057</v>
      </c>
      <c r="R699" s="36"/>
      <c r="S699" s="32" t="s">
        <v>1023</v>
      </c>
      <c r="T699" s="203" t="s">
        <v>1696</v>
      </c>
      <c r="U699" s="45" t="s">
        <v>4058</v>
      </c>
      <c r="V699" s="34" t="s">
        <v>80</v>
      </c>
      <c r="W699" s="60" t="s">
        <v>1699</v>
      </c>
      <c r="X699" s="109" t="s">
        <v>1700</v>
      </c>
      <c r="Y699" s="109" t="s">
        <v>1701</v>
      </c>
      <c r="Z699" s="32" t="s">
        <v>112</v>
      </c>
      <c r="AA699" s="47"/>
      <c r="AB699" s="60" t="s">
        <v>389</v>
      </c>
      <c r="AC699" s="32"/>
      <c r="AD699" s="192"/>
      <c r="AE699" s="53"/>
      <c r="AF699" s="54" t="s">
        <v>80</v>
      </c>
      <c r="AG699" s="56" t="s">
        <v>1703</v>
      </c>
      <c r="AH699" s="57"/>
      <c r="AI699" s="58"/>
      <c r="AJ699" s="58"/>
      <c r="AK699" s="58">
        <v>42103.0</v>
      </c>
      <c r="AL699" s="56" t="s">
        <v>208</v>
      </c>
    </row>
    <row r="700" ht="22.5" customHeight="1">
      <c r="A700" s="286" t="s">
        <v>4059</v>
      </c>
      <c r="B700" s="149" t="s">
        <v>2241</v>
      </c>
      <c r="C700" s="149" t="s">
        <v>2242</v>
      </c>
      <c r="D700" s="41" t="s">
        <v>75</v>
      </c>
      <c r="E700" s="149" t="s">
        <v>2243</v>
      </c>
      <c r="F700" s="34" t="s">
        <v>140</v>
      </c>
      <c r="G700" s="34" t="s">
        <v>168</v>
      </c>
      <c r="H700" s="48">
        <v>43194.0</v>
      </c>
      <c r="I700" s="48">
        <v>43181.0</v>
      </c>
      <c r="J700" s="48">
        <v>43194.0</v>
      </c>
      <c r="K700" s="32" t="s">
        <v>70</v>
      </c>
      <c r="L700" s="41" t="s">
        <v>115</v>
      </c>
      <c r="M700" s="63" t="s">
        <v>88</v>
      </c>
      <c r="N700" s="38" t="s">
        <v>89</v>
      </c>
      <c r="O700" s="32" t="s">
        <v>196</v>
      </c>
      <c r="P700" s="32" t="s">
        <v>1837</v>
      </c>
      <c r="Q700" s="32" t="s">
        <v>4057</v>
      </c>
      <c r="R700" s="36"/>
      <c r="S700" s="38" t="s">
        <v>175</v>
      </c>
      <c r="T700" s="56" t="s">
        <v>2244</v>
      </c>
      <c r="U700" s="45" t="s">
        <v>4060</v>
      </c>
      <c r="V700" s="34" t="s">
        <v>80</v>
      </c>
      <c r="W700" s="149" t="s">
        <v>2246</v>
      </c>
      <c r="X700" s="32" t="s">
        <v>2247</v>
      </c>
      <c r="Y700" s="152" t="s">
        <v>2248</v>
      </c>
      <c r="Z700" s="32" t="s">
        <v>112</v>
      </c>
      <c r="AA700" s="47"/>
      <c r="AB700" s="60" t="s">
        <v>2249</v>
      </c>
      <c r="AC700" s="60" t="s">
        <v>2250</v>
      </c>
      <c r="AD700" s="192"/>
      <c r="AE700" s="53"/>
      <c r="AF700" s="54" t="s">
        <v>80</v>
      </c>
      <c r="AG700" s="56" t="s">
        <v>2251</v>
      </c>
      <c r="AH700" s="57"/>
      <c r="AI700" s="58"/>
      <c r="AJ700" s="58"/>
      <c r="AK700" s="58">
        <v>41164.0</v>
      </c>
      <c r="AL700" s="56" t="s">
        <v>208</v>
      </c>
    </row>
    <row r="701" ht="22.5" customHeight="1">
      <c r="A701" s="286" t="s">
        <v>4061</v>
      </c>
      <c r="B701" s="30" t="s">
        <v>2664</v>
      </c>
      <c r="C701" s="149" t="s">
        <v>2665</v>
      </c>
      <c r="D701" s="270" t="s">
        <v>75</v>
      </c>
      <c r="E701" s="149" t="s">
        <v>2666</v>
      </c>
      <c r="F701" s="34" t="s">
        <v>140</v>
      </c>
      <c r="G701" s="34" t="s">
        <v>168</v>
      </c>
      <c r="H701" s="48">
        <v>43187.0</v>
      </c>
      <c r="I701" s="48">
        <v>43181.0</v>
      </c>
      <c r="J701" s="48">
        <v>43187.0</v>
      </c>
      <c r="K701" s="32" t="s">
        <v>70</v>
      </c>
      <c r="L701" s="41" t="s">
        <v>115</v>
      </c>
      <c r="M701" s="32" t="s">
        <v>313</v>
      </c>
      <c r="N701" s="38" t="s">
        <v>89</v>
      </c>
      <c r="O701" s="32" t="s">
        <v>196</v>
      </c>
      <c r="P701" s="32" t="s">
        <v>1837</v>
      </c>
      <c r="Q701" s="32" t="s">
        <v>4057</v>
      </c>
      <c r="R701" s="36"/>
      <c r="S701" s="63" t="s">
        <v>954</v>
      </c>
      <c r="T701" s="56" t="s">
        <v>2667</v>
      </c>
      <c r="U701" s="45" t="s">
        <v>4062</v>
      </c>
      <c r="V701" s="34" t="s">
        <v>80</v>
      </c>
      <c r="W701" s="63" t="s">
        <v>2668</v>
      </c>
      <c r="X701" s="63" t="s">
        <v>2669</v>
      </c>
      <c r="Y701" s="56" t="s">
        <v>2670</v>
      </c>
      <c r="Z701" s="32" t="s">
        <v>112</v>
      </c>
      <c r="AA701" s="47"/>
      <c r="AB701" s="149" t="s">
        <v>481</v>
      </c>
      <c r="AC701" s="32"/>
      <c r="AD701" s="192"/>
      <c r="AE701" s="53"/>
      <c r="AF701" s="54" t="s">
        <v>80</v>
      </c>
      <c r="AG701" s="56" t="s">
        <v>2671</v>
      </c>
      <c r="AH701" s="57"/>
      <c r="AI701" s="58"/>
      <c r="AJ701" s="268">
        <v>42480.0</v>
      </c>
      <c r="AK701" s="58">
        <v>42825.0</v>
      </c>
      <c r="AL701" s="56" t="s">
        <v>208</v>
      </c>
    </row>
    <row r="702" ht="22.5" customHeight="1">
      <c r="A702" s="286" t="s">
        <v>4063</v>
      </c>
      <c r="B702" s="57" t="s">
        <v>3385</v>
      </c>
      <c r="C702" s="57" t="s">
        <v>3696</v>
      </c>
      <c r="D702" s="54" t="s">
        <v>75</v>
      </c>
      <c r="E702" s="57" t="s">
        <v>3697</v>
      </c>
      <c r="F702" s="54" t="s">
        <v>93</v>
      </c>
      <c r="G702" s="34" t="s">
        <v>168</v>
      </c>
      <c r="H702" s="48">
        <v>43161.0</v>
      </c>
      <c r="I702" s="48"/>
      <c r="J702" s="48">
        <v>43161.0</v>
      </c>
      <c r="K702" s="32" t="s">
        <v>86</v>
      </c>
      <c r="L702" s="54" t="s">
        <v>115</v>
      </c>
      <c r="M702" s="63" t="s">
        <v>218</v>
      </c>
      <c r="N702" s="32" t="s">
        <v>89</v>
      </c>
      <c r="O702" s="32" t="s">
        <v>1520</v>
      </c>
      <c r="P702" s="32"/>
      <c r="Q702" s="32" t="s">
        <v>3764</v>
      </c>
      <c r="R702" s="48">
        <v>43250.0</v>
      </c>
      <c r="S702" s="57" t="s">
        <v>116</v>
      </c>
      <c r="T702" s="45" t="s">
        <v>3698</v>
      </c>
      <c r="U702" s="45" t="s">
        <v>4064</v>
      </c>
      <c r="V702" s="34" t="s">
        <v>80</v>
      </c>
      <c r="W702" s="57" t="s">
        <v>3390</v>
      </c>
      <c r="X702" s="57" t="s">
        <v>3391</v>
      </c>
      <c r="Y702" s="67" t="s">
        <v>3392</v>
      </c>
      <c r="Z702" s="32" t="s">
        <v>112</v>
      </c>
      <c r="AA702" s="47"/>
      <c r="AB702" s="32" t="s">
        <v>113</v>
      </c>
      <c r="AC702" s="32"/>
      <c r="AD702" s="192"/>
      <c r="AE702" s="53"/>
      <c r="AF702" s="54" t="s">
        <v>80</v>
      </c>
      <c r="AG702" s="56" t="s">
        <v>3393</v>
      </c>
      <c r="AH702" s="57"/>
      <c r="AI702" s="58"/>
      <c r="AJ702" s="268"/>
      <c r="AK702" s="83">
        <v>42838.0</v>
      </c>
      <c r="AL702" s="56" t="s">
        <v>1530</v>
      </c>
    </row>
    <row r="703" ht="22.5" customHeight="1">
      <c r="A703" s="286" t="s">
        <v>4065</v>
      </c>
      <c r="B703" s="57" t="s">
        <v>843</v>
      </c>
      <c r="C703" s="57" t="s">
        <v>844</v>
      </c>
      <c r="D703" s="34" t="s">
        <v>845</v>
      </c>
      <c r="E703" s="38" t="s">
        <v>846</v>
      </c>
      <c r="F703" s="34" t="s">
        <v>140</v>
      </c>
      <c r="G703" s="34" t="s">
        <v>168</v>
      </c>
      <c r="H703" s="48">
        <v>43124.0</v>
      </c>
      <c r="I703" s="48">
        <v>43124.0</v>
      </c>
      <c r="J703" s="48">
        <v>43124.0</v>
      </c>
      <c r="K703" s="32" t="s">
        <v>70</v>
      </c>
      <c r="L703" s="41" t="s">
        <v>115</v>
      </c>
      <c r="M703" s="42" t="s">
        <v>88</v>
      </c>
      <c r="N703" s="38" t="s">
        <v>89</v>
      </c>
      <c r="O703" s="32" t="s">
        <v>1195</v>
      </c>
      <c r="P703" s="32" t="s">
        <v>1884</v>
      </c>
      <c r="Q703" s="38" t="s">
        <v>1885</v>
      </c>
      <c r="R703" s="48">
        <v>44219.0</v>
      </c>
      <c r="S703" s="32" t="s">
        <v>220</v>
      </c>
      <c r="T703" s="45" t="s">
        <v>855</v>
      </c>
      <c r="U703" s="45" t="s">
        <v>4066</v>
      </c>
      <c r="V703" s="34" t="s">
        <v>80</v>
      </c>
      <c r="W703" s="32" t="s">
        <v>561</v>
      </c>
      <c r="X703" s="32" t="s">
        <v>561</v>
      </c>
      <c r="Y703" s="45" t="s">
        <v>859</v>
      </c>
      <c r="Z703" s="32" t="s">
        <v>112</v>
      </c>
      <c r="AA703" s="47"/>
      <c r="AB703" s="60" t="s">
        <v>860</v>
      </c>
      <c r="AC703" s="32"/>
      <c r="AD703" s="192"/>
      <c r="AE703" s="53"/>
      <c r="AF703" s="34" t="s">
        <v>80</v>
      </c>
      <c r="AG703" s="56" t="s">
        <v>865</v>
      </c>
      <c r="AH703" s="57"/>
      <c r="AI703" s="58"/>
      <c r="AJ703" s="58">
        <v>41779.0</v>
      </c>
      <c r="AK703" s="58">
        <v>41612.0</v>
      </c>
      <c r="AL703" s="56" t="s">
        <v>1215</v>
      </c>
    </row>
    <row r="704" ht="22.5" customHeight="1">
      <c r="A704" s="286" t="s">
        <v>4067</v>
      </c>
      <c r="B704" s="57" t="s">
        <v>4043</v>
      </c>
      <c r="C704" s="32" t="s">
        <v>4044</v>
      </c>
      <c r="D704" s="34" t="s">
        <v>75</v>
      </c>
      <c r="E704" s="32" t="s">
        <v>4045</v>
      </c>
      <c r="F704" s="34" t="s">
        <v>93</v>
      </c>
      <c r="G704" s="34" t="s">
        <v>168</v>
      </c>
      <c r="H704" s="58">
        <v>43110.0</v>
      </c>
      <c r="I704" s="48">
        <v>43104.0</v>
      </c>
      <c r="J704" s="48">
        <v>43110.0</v>
      </c>
      <c r="K704" s="32" t="s">
        <v>70</v>
      </c>
      <c r="L704" s="41" t="s">
        <v>115</v>
      </c>
      <c r="M704" s="32" t="s">
        <v>218</v>
      </c>
      <c r="N704" s="32" t="s">
        <v>89</v>
      </c>
      <c r="O704" s="32" t="s">
        <v>989</v>
      </c>
      <c r="P704" s="32"/>
      <c r="Q704" s="32" t="s">
        <v>4068</v>
      </c>
      <c r="R704" s="48">
        <v>43475.0</v>
      </c>
      <c r="S704" s="32" t="s">
        <v>116</v>
      </c>
      <c r="T704" s="56" t="s">
        <v>4046</v>
      </c>
      <c r="U704" s="45" t="s">
        <v>4069</v>
      </c>
      <c r="V704" s="34" t="s">
        <v>80</v>
      </c>
      <c r="W704" s="32" t="s">
        <v>4048</v>
      </c>
      <c r="X704" s="32" t="s">
        <v>4049</v>
      </c>
      <c r="Y704" s="45" t="s">
        <v>4050</v>
      </c>
      <c r="Z704" s="32" t="s">
        <v>112</v>
      </c>
      <c r="AA704" s="47"/>
      <c r="AB704" s="32" t="s">
        <v>113</v>
      </c>
      <c r="AC704" s="32"/>
      <c r="AD704" s="192"/>
      <c r="AE704" s="53"/>
      <c r="AF704" s="180" t="s">
        <v>80</v>
      </c>
      <c r="AG704" s="56" t="s">
        <v>4052</v>
      </c>
      <c r="AH704" s="57"/>
      <c r="AI704" s="58"/>
      <c r="AJ704" s="58">
        <v>42762.0</v>
      </c>
      <c r="AK704" s="58">
        <v>43088.0</v>
      </c>
      <c r="AL704" s="56" t="s">
        <v>1004</v>
      </c>
    </row>
    <row r="705" ht="22.5" customHeight="1">
      <c r="A705" s="286" t="s">
        <v>4070</v>
      </c>
      <c r="B705" s="57" t="s">
        <v>3413</v>
      </c>
      <c r="C705" s="32" t="s">
        <v>3414</v>
      </c>
      <c r="D705" s="54" t="s">
        <v>75</v>
      </c>
      <c r="E705" s="57" t="s">
        <v>3415</v>
      </c>
      <c r="F705" s="54" t="s">
        <v>140</v>
      </c>
      <c r="G705" s="34" t="s">
        <v>168</v>
      </c>
      <c r="H705" s="58">
        <v>43210.0</v>
      </c>
      <c r="I705" s="58">
        <v>43210.0</v>
      </c>
      <c r="J705" s="58">
        <v>43210.0</v>
      </c>
      <c r="K705" s="32" t="s">
        <v>70</v>
      </c>
      <c r="L705" s="54" t="s">
        <v>115</v>
      </c>
      <c r="M705" s="63" t="s">
        <v>383</v>
      </c>
      <c r="N705" s="32" t="s">
        <v>89</v>
      </c>
      <c r="O705" s="32" t="s">
        <v>2187</v>
      </c>
      <c r="P705" s="32"/>
      <c r="Q705" s="32" t="s">
        <v>4071</v>
      </c>
      <c r="R705" s="48"/>
      <c r="S705" s="32" t="s">
        <v>1864</v>
      </c>
      <c r="T705" s="45" t="s">
        <v>3417</v>
      </c>
      <c r="U705" s="45" t="s">
        <v>4072</v>
      </c>
      <c r="V705" s="54" t="s">
        <v>74</v>
      </c>
      <c r="W705" s="57" t="s">
        <v>3419</v>
      </c>
      <c r="X705" s="57" t="s">
        <v>3420</v>
      </c>
      <c r="Y705" s="67" t="s">
        <v>3421</v>
      </c>
      <c r="Z705" s="32" t="s">
        <v>112</v>
      </c>
      <c r="AA705" s="47"/>
      <c r="AB705" s="57" t="s">
        <v>134</v>
      </c>
      <c r="AC705" s="32"/>
      <c r="AD705" s="192"/>
      <c r="AE705" s="53"/>
      <c r="AF705" s="54" t="s">
        <v>80</v>
      </c>
      <c r="AG705" s="56" t="s">
        <v>3423</v>
      </c>
      <c r="AH705" s="57"/>
      <c r="AI705" s="58"/>
      <c r="AJ705" s="58"/>
      <c r="AK705" s="83">
        <v>42536.0</v>
      </c>
      <c r="AL705" s="56" t="s">
        <v>2687</v>
      </c>
    </row>
    <row r="706" ht="22.5" customHeight="1">
      <c r="A706" s="286" t="s">
        <v>4073</v>
      </c>
      <c r="B706" s="57" t="s">
        <v>888</v>
      </c>
      <c r="C706" s="32" t="s">
        <v>1956</v>
      </c>
      <c r="D706" s="41" t="s">
        <v>75</v>
      </c>
      <c r="E706" s="38" t="s">
        <v>1957</v>
      </c>
      <c r="F706" s="34" t="s">
        <v>93</v>
      </c>
      <c r="G706" s="34" t="s">
        <v>168</v>
      </c>
      <c r="H706" s="58">
        <v>43126.0</v>
      </c>
      <c r="I706" s="58"/>
      <c r="J706" s="58">
        <v>43126.0</v>
      </c>
      <c r="K706" s="32" t="s">
        <v>70</v>
      </c>
      <c r="L706" s="41" t="s">
        <v>115</v>
      </c>
      <c r="M706" s="63" t="s">
        <v>218</v>
      </c>
      <c r="N706" s="32" t="s">
        <v>434</v>
      </c>
      <c r="O706" s="32" t="s">
        <v>850</v>
      </c>
      <c r="P706" s="32"/>
      <c r="Q706" s="32" t="s">
        <v>3443</v>
      </c>
      <c r="R706" s="48"/>
      <c r="S706" s="32" t="s">
        <v>116</v>
      </c>
      <c r="T706" s="45" t="s">
        <v>1959</v>
      </c>
      <c r="U706" s="45" t="s">
        <v>4074</v>
      </c>
      <c r="V706" s="54" t="s">
        <v>80</v>
      </c>
      <c r="W706" s="60" t="s">
        <v>1961</v>
      </c>
      <c r="X706" s="198" t="s">
        <v>1962</v>
      </c>
      <c r="Y706" s="109" t="s">
        <v>1963</v>
      </c>
      <c r="Z706" s="32" t="s">
        <v>112</v>
      </c>
      <c r="AA706" s="47"/>
      <c r="AB706" s="32" t="s">
        <v>113</v>
      </c>
      <c r="AC706" s="32"/>
      <c r="AD706" s="192"/>
      <c r="AE706" s="53"/>
      <c r="AF706" s="34" t="s">
        <v>80</v>
      </c>
      <c r="AG706" s="56" t="s">
        <v>900</v>
      </c>
      <c r="AH706" s="57"/>
      <c r="AI706" s="58"/>
      <c r="AJ706" s="58"/>
      <c r="AK706" s="155">
        <v>42138.0</v>
      </c>
      <c r="AL706" s="56" t="s">
        <v>870</v>
      </c>
    </row>
    <row r="707" ht="22.5" customHeight="1">
      <c r="A707" s="286" t="s">
        <v>4075</v>
      </c>
      <c r="B707" s="57" t="s">
        <v>1251</v>
      </c>
      <c r="C707" s="57" t="s">
        <v>4076</v>
      </c>
      <c r="D707" s="54" t="s">
        <v>75</v>
      </c>
      <c r="E707" s="57" t="s">
        <v>4077</v>
      </c>
      <c r="F707" s="54" t="s">
        <v>140</v>
      </c>
      <c r="G707" s="54" t="s">
        <v>85</v>
      </c>
      <c r="H707" s="155">
        <v>43103.0</v>
      </c>
      <c r="I707" s="155">
        <v>43103.0</v>
      </c>
      <c r="J707" s="47"/>
      <c r="K707" s="32" t="s">
        <v>70</v>
      </c>
      <c r="L707" s="41" t="s">
        <v>115</v>
      </c>
      <c r="M707" s="63" t="s">
        <v>218</v>
      </c>
      <c r="N707" s="32" t="s">
        <v>89</v>
      </c>
      <c r="O707" s="32" t="s">
        <v>2119</v>
      </c>
      <c r="P707" s="47"/>
      <c r="Q707" s="57" t="s">
        <v>4003</v>
      </c>
      <c r="R707" s="47"/>
      <c r="S707" s="32" t="s">
        <v>2119</v>
      </c>
      <c r="T707" s="45" t="s">
        <v>4078</v>
      </c>
      <c r="U707" s="67" t="s">
        <v>4079</v>
      </c>
      <c r="V707" s="54" t="s">
        <v>74</v>
      </c>
      <c r="W707" s="57" t="s">
        <v>4080</v>
      </c>
      <c r="X707" s="57" t="s">
        <v>4081</v>
      </c>
      <c r="Y707" s="152" t="s">
        <v>4082</v>
      </c>
      <c r="Z707" s="32" t="s">
        <v>112</v>
      </c>
      <c r="AA707" s="47"/>
      <c r="AB707" s="60" t="s">
        <v>113</v>
      </c>
      <c r="AC707" s="32" t="s">
        <v>4083</v>
      </c>
      <c r="AD707" s="261">
        <v>43214.0</v>
      </c>
      <c r="AE707" s="47"/>
      <c r="AF707" s="54" t="s">
        <v>80</v>
      </c>
      <c r="AG707" s="56" t="s">
        <v>1269</v>
      </c>
      <c r="AH707" s="139" t="s">
        <v>2046</v>
      </c>
      <c r="AI707" s="58"/>
      <c r="AJ707" s="83"/>
      <c r="AK707" s="83">
        <v>42902.0</v>
      </c>
      <c r="AL707" s="56" t="s">
        <v>4005</v>
      </c>
    </row>
    <row r="708" ht="22.5" customHeight="1">
      <c r="A708" s="286" t="s">
        <v>4084</v>
      </c>
      <c r="B708" s="57" t="s">
        <v>3162</v>
      </c>
      <c r="C708" s="198" t="s">
        <v>3163</v>
      </c>
      <c r="D708" s="34" t="s">
        <v>584</v>
      </c>
      <c r="E708" s="32" t="s">
        <v>3164</v>
      </c>
      <c r="F708" s="34" t="s">
        <v>93</v>
      </c>
      <c r="G708" s="34" t="s">
        <v>168</v>
      </c>
      <c r="H708" s="155">
        <v>43213.0</v>
      </c>
      <c r="I708" s="155"/>
      <c r="J708" s="155">
        <v>43213.0</v>
      </c>
      <c r="K708" s="32" t="s">
        <v>70</v>
      </c>
      <c r="L708" s="34" t="s">
        <v>115</v>
      </c>
      <c r="M708" s="32" t="s">
        <v>218</v>
      </c>
      <c r="N708" s="32" t="s">
        <v>89</v>
      </c>
      <c r="O708" s="32" t="s">
        <v>1577</v>
      </c>
      <c r="P708" s="47"/>
      <c r="Q708" s="57" t="s">
        <v>4085</v>
      </c>
      <c r="R708" s="155">
        <v>45039.0</v>
      </c>
      <c r="S708" s="32" t="s">
        <v>116</v>
      </c>
      <c r="T708" s="56" t="s">
        <v>3165</v>
      </c>
      <c r="U708" s="67" t="s">
        <v>4086</v>
      </c>
      <c r="V708" s="54" t="s">
        <v>74</v>
      </c>
      <c r="W708" s="32" t="s">
        <v>561</v>
      </c>
      <c r="X708" s="32" t="s">
        <v>3167</v>
      </c>
      <c r="Y708" s="45" t="s">
        <v>3168</v>
      </c>
      <c r="Z708" s="32" t="s">
        <v>112</v>
      </c>
      <c r="AA708" s="47"/>
      <c r="AB708" s="32" t="s">
        <v>113</v>
      </c>
      <c r="AC708" s="32"/>
      <c r="AD708" s="261"/>
      <c r="AE708" s="47"/>
      <c r="AF708" s="180" t="s">
        <v>80</v>
      </c>
      <c r="AG708" s="56" t="s">
        <v>3170</v>
      </c>
      <c r="AH708" s="57"/>
      <c r="AI708" s="58"/>
      <c r="AJ708" s="83">
        <v>42510.0</v>
      </c>
      <c r="AK708" s="83">
        <v>42591.0</v>
      </c>
      <c r="AL708" s="56" t="s">
        <v>4087</v>
      </c>
    </row>
    <row r="709" ht="22.5" customHeight="1">
      <c r="A709" s="286" t="s">
        <v>4088</v>
      </c>
      <c r="B709" s="57" t="s">
        <v>1008</v>
      </c>
      <c r="C709" s="149" t="s">
        <v>1009</v>
      </c>
      <c r="D709" s="34" t="s">
        <v>845</v>
      </c>
      <c r="E709" s="38" t="s">
        <v>1011</v>
      </c>
      <c r="F709" s="41" t="s">
        <v>140</v>
      </c>
      <c r="G709" s="34" t="s">
        <v>168</v>
      </c>
      <c r="H709" s="155">
        <v>43215.0</v>
      </c>
      <c r="I709" s="155">
        <v>43214.0</v>
      </c>
      <c r="J709" s="155">
        <v>43215.0</v>
      </c>
      <c r="K709" s="32" t="s">
        <v>70</v>
      </c>
      <c r="L709" s="34" t="s">
        <v>115</v>
      </c>
      <c r="M709" s="42" t="s">
        <v>383</v>
      </c>
      <c r="N709" s="32" t="s">
        <v>89</v>
      </c>
      <c r="O709" s="32" t="s">
        <v>605</v>
      </c>
      <c r="P709" s="47"/>
      <c r="Q709" s="57" t="s">
        <v>4054</v>
      </c>
      <c r="R709" s="155"/>
      <c r="S709" s="38" t="s">
        <v>1012</v>
      </c>
      <c r="T709" s="45" t="s">
        <v>1014</v>
      </c>
      <c r="U709" s="67" t="s">
        <v>4089</v>
      </c>
      <c r="V709" s="54" t="s">
        <v>74</v>
      </c>
      <c r="W709" s="60" t="s">
        <v>1016</v>
      </c>
      <c r="X709" s="32" t="s">
        <v>1017</v>
      </c>
      <c r="Y709" s="109" t="s">
        <v>1018</v>
      </c>
      <c r="Z709" s="32" t="s">
        <v>112</v>
      </c>
      <c r="AA709" s="47"/>
      <c r="AB709" s="32" t="s">
        <v>113</v>
      </c>
      <c r="AC709" s="32"/>
      <c r="AD709" s="261"/>
      <c r="AE709" s="47"/>
      <c r="AF709" s="34" t="s">
        <v>80</v>
      </c>
      <c r="AG709" s="56" t="s">
        <v>1020</v>
      </c>
      <c r="AH709" s="57"/>
      <c r="AI709" s="58"/>
      <c r="AJ709" s="83"/>
      <c r="AK709" s="58">
        <v>41261.0</v>
      </c>
      <c r="AL709" s="56" t="s">
        <v>631</v>
      </c>
    </row>
    <row r="710" ht="22.5" customHeight="1">
      <c r="A710" s="286" t="s">
        <v>4090</v>
      </c>
      <c r="B710" s="57" t="s">
        <v>190</v>
      </c>
      <c r="C710" s="149" t="s">
        <v>3044</v>
      </c>
      <c r="D710" s="34" t="s">
        <v>752</v>
      </c>
      <c r="E710" s="57" t="s">
        <v>193</v>
      </c>
      <c r="F710" s="34" t="s">
        <v>140</v>
      </c>
      <c r="G710" s="34" t="s">
        <v>168</v>
      </c>
      <c r="H710" s="155">
        <v>43220.0</v>
      </c>
      <c r="I710" s="155">
        <v>43220.0</v>
      </c>
      <c r="J710" s="155">
        <v>43220.0</v>
      </c>
      <c r="K710" s="32" t="s">
        <v>70</v>
      </c>
      <c r="L710" s="34" t="s">
        <v>115</v>
      </c>
      <c r="M710" s="63" t="s">
        <v>88</v>
      </c>
      <c r="N710" s="38" t="s">
        <v>89</v>
      </c>
      <c r="O710" s="32" t="s">
        <v>605</v>
      </c>
      <c r="P710" s="47"/>
      <c r="Q710" s="57" t="s">
        <v>4091</v>
      </c>
      <c r="R710" s="155">
        <v>43485.0</v>
      </c>
      <c r="S710" s="57" t="s">
        <v>116</v>
      </c>
      <c r="T710" s="56" t="s">
        <v>198</v>
      </c>
      <c r="U710" s="67" t="s">
        <v>4092</v>
      </c>
      <c r="V710" s="54" t="s">
        <v>74</v>
      </c>
      <c r="W710" s="32" t="s">
        <v>201</v>
      </c>
      <c r="X710" s="32" t="s">
        <v>202</v>
      </c>
      <c r="Y710" s="45" t="s">
        <v>203</v>
      </c>
      <c r="Z710" s="32" t="s">
        <v>112</v>
      </c>
      <c r="AA710" s="47"/>
      <c r="AB710" s="32" t="s">
        <v>113</v>
      </c>
      <c r="AC710" s="32"/>
      <c r="AD710" s="261"/>
      <c r="AE710" s="47"/>
      <c r="AF710" s="34" t="s">
        <v>80</v>
      </c>
      <c r="AG710" s="56" t="s">
        <v>206</v>
      </c>
      <c r="AH710" s="60"/>
      <c r="AI710" s="41"/>
      <c r="AJ710" s="83"/>
      <c r="AK710" s="58">
        <v>41215.0</v>
      </c>
      <c r="AL710" s="56" t="s">
        <v>631</v>
      </c>
    </row>
    <row r="711" ht="22.5" customHeight="1">
      <c r="A711" s="286" t="s">
        <v>4093</v>
      </c>
      <c r="B711" s="57" t="s">
        <v>190</v>
      </c>
      <c r="C711" s="149" t="s">
        <v>211</v>
      </c>
      <c r="D711" s="34" t="s">
        <v>752</v>
      </c>
      <c r="E711" s="32" t="s">
        <v>947</v>
      </c>
      <c r="F711" s="34" t="s">
        <v>93</v>
      </c>
      <c r="G711" s="34" t="s">
        <v>168</v>
      </c>
      <c r="H711" s="155">
        <v>43220.0</v>
      </c>
      <c r="I711" s="155">
        <v>43220.0</v>
      </c>
      <c r="J711" s="155">
        <v>43220.0</v>
      </c>
      <c r="K711" s="32" t="s">
        <v>70</v>
      </c>
      <c r="L711" s="34" t="s">
        <v>115</v>
      </c>
      <c r="M711" s="63" t="s">
        <v>218</v>
      </c>
      <c r="N711" s="32" t="s">
        <v>434</v>
      </c>
      <c r="O711" s="32" t="s">
        <v>605</v>
      </c>
      <c r="P711" s="47"/>
      <c r="Q711" s="57" t="s">
        <v>4091</v>
      </c>
      <c r="R711" s="155">
        <v>43485.0</v>
      </c>
      <c r="S711" s="32" t="s">
        <v>116</v>
      </c>
      <c r="T711" s="56" t="s">
        <v>2733</v>
      </c>
      <c r="U711" s="67" t="s">
        <v>4094</v>
      </c>
      <c r="V711" s="54" t="s">
        <v>74</v>
      </c>
      <c r="W711" s="32" t="s">
        <v>201</v>
      </c>
      <c r="X711" s="32" t="s">
        <v>202</v>
      </c>
      <c r="Y711" s="45" t="s">
        <v>203</v>
      </c>
      <c r="Z711" s="32" t="s">
        <v>112</v>
      </c>
      <c r="AA711" s="68"/>
      <c r="AB711" s="32" t="s">
        <v>113</v>
      </c>
      <c r="AC711" s="32"/>
      <c r="AD711" s="261"/>
      <c r="AE711" s="47"/>
      <c r="AF711" s="34" t="s">
        <v>80</v>
      </c>
      <c r="AG711" s="56" t="s">
        <v>206</v>
      </c>
      <c r="AH711" s="53"/>
      <c r="AI711" s="77"/>
      <c r="AJ711" s="41"/>
      <c r="AK711" s="58">
        <v>42212.0</v>
      </c>
      <c r="AL711" s="56" t="s">
        <v>631</v>
      </c>
    </row>
    <row r="712" ht="22.5" customHeight="1">
      <c r="A712" s="286" t="s">
        <v>4095</v>
      </c>
      <c r="B712" s="57" t="s">
        <v>888</v>
      </c>
      <c r="C712" s="149" t="s">
        <v>889</v>
      </c>
      <c r="D712" s="34" t="s">
        <v>752</v>
      </c>
      <c r="E712" s="38" t="s">
        <v>892</v>
      </c>
      <c r="F712" s="34" t="s">
        <v>93</v>
      </c>
      <c r="G712" s="34" t="s">
        <v>168</v>
      </c>
      <c r="H712" s="155">
        <v>43220.0</v>
      </c>
      <c r="I712" s="155">
        <v>43220.0</v>
      </c>
      <c r="J712" s="155">
        <v>43220.0</v>
      </c>
      <c r="K712" s="32" t="s">
        <v>70</v>
      </c>
      <c r="L712" s="34" t="s">
        <v>115</v>
      </c>
      <c r="M712" s="42" t="s">
        <v>88</v>
      </c>
      <c r="N712" s="38" t="s">
        <v>89</v>
      </c>
      <c r="O712" s="32" t="s">
        <v>605</v>
      </c>
      <c r="P712" s="47"/>
      <c r="Q712" s="57" t="s">
        <v>4091</v>
      </c>
      <c r="R712" s="155">
        <v>43485.0</v>
      </c>
      <c r="S712" s="32" t="s">
        <v>116</v>
      </c>
      <c r="T712" s="56" t="s">
        <v>1950</v>
      </c>
      <c r="U712" s="67" t="s">
        <v>4096</v>
      </c>
      <c r="V712" s="54" t="s">
        <v>74</v>
      </c>
      <c r="W712" s="172" t="s">
        <v>897</v>
      </c>
      <c r="X712" s="111" t="s">
        <v>898</v>
      </c>
      <c r="Y712" s="109" t="s">
        <v>899</v>
      </c>
      <c r="Z712" s="32" t="s">
        <v>112</v>
      </c>
      <c r="AA712" s="68"/>
      <c r="AB712" s="149" t="s">
        <v>481</v>
      </c>
      <c r="AC712" s="32"/>
      <c r="AD712" s="261"/>
      <c r="AE712" s="47"/>
      <c r="AF712" s="34" t="s">
        <v>80</v>
      </c>
      <c r="AG712" s="56" t="s">
        <v>900</v>
      </c>
      <c r="AH712" s="53"/>
      <c r="AI712" s="77"/>
      <c r="AJ712" s="41"/>
      <c r="AK712" s="155">
        <v>41352.0</v>
      </c>
      <c r="AL712" s="56" t="s">
        <v>631</v>
      </c>
    </row>
    <row r="713" ht="22.5" customHeight="1">
      <c r="A713" s="286" t="s">
        <v>4097</v>
      </c>
      <c r="B713" s="57" t="s">
        <v>190</v>
      </c>
      <c r="C713" s="149" t="s">
        <v>3044</v>
      </c>
      <c r="D713" s="34" t="s">
        <v>752</v>
      </c>
      <c r="E713" s="57" t="s">
        <v>193</v>
      </c>
      <c r="F713" s="34" t="s">
        <v>140</v>
      </c>
      <c r="G713" s="34" t="s">
        <v>168</v>
      </c>
      <c r="H713" s="155">
        <v>43098.0</v>
      </c>
      <c r="I713" s="155"/>
      <c r="J713" s="155">
        <v>43098.0</v>
      </c>
      <c r="K713" s="32" t="s">
        <v>70</v>
      </c>
      <c r="L713" s="34" t="s">
        <v>115</v>
      </c>
      <c r="M713" s="63" t="s">
        <v>88</v>
      </c>
      <c r="N713" s="38" t="s">
        <v>89</v>
      </c>
      <c r="O713" s="32" t="s">
        <v>175</v>
      </c>
      <c r="P713" s="57" t="s">
        <v>876</v>
      </c>
      <c r="Q713" s="57" t="s">
        <v>2337</v>
      </c>
      <c r="R713" s="155">
        <v>44194.0</v>
      </c>
      <c r="S713" s="57" t="s">
        <v>116</v>
      </c>
      <c r="T713" s="56" t="s">
        <v>198</v>
      </c>
      <c r="U713" s="67" t="s">
        <v>4098</v>
      </c>
      <c r="V713" s="54" t="s">
        <v>80</v>
      </c>
      <c r="W713" s="32" t="s">
        <v>201</v>
      </c>
      <c r="X713" s="32" t="s">
        <v>202</v>
      </c>
      <c r="Y713" s="45" t="s">
        <v>203</v>
      </c>
      <c r="Z713" s="32" t="s">
        <v>112</v>
      </c>
      <c r="AA713" s="68"/>
      <c r="AB713" s="32" t="s">
        <v>113</v>
      </c>
      <c r="AC713" s="32"/>
      <c r="AD713" s="261"/>
      <c r="AE713" s="47"/>
      <c r="AF713" s="34" t="s">
        <v>80</v>
      </c>
      <c r="AG713" s="56" t="s">
        <v>206</v>
      </c>
      <c r="AH713" s="53"/>
      <c r="AI713" s="77"/>
      <c r="AJ713" s="41"/>
      <c r="AK713" s="58">
        <v>41215.0</v>
      </c>
      <c r="AL713" s="56" t="s">
        <v>631</v>
      </c>
    </row>
    <row r="714" ht="22.5" customHeight="1">
      <c r="A714" s="286" t="s">
        <v>4099</v>
      </c>
      <c r="B714" s="57" t="s">
        <v>1321</v>
      </c>
      <c r="C714" s="149" t="s">
        <v>1322</v>
      </c>
      <c r="D714" s="34" t="s">
        <v>845</v>
      </c>
      <c r="E714" s="38" t="s">
        <v>1323</v>
      </c>
      <c r="F714" s="34" t="s">
        <v>140</v>
      </c>
      <c r="G714" s="34" t="s">
        <v>168</v>
      </c>
      <c r="H714" s="155">
        <v>43223.0</v>
      </c>
      <c r="I714" s="155">
        <v>43223.0</v>
      </c>
      <c r="J714" s="155"/>
      <c r="K714" s="32" t="s">
        <v>70</v>
      </c>
      <c r="L714" s="34" t="s">
        <v>115</v>
      </c>
      <c r="M714" s="42" t="s">
        <v>88</v>
      </c>
      <c r="N714" s="32" t="s">
        <v>89</v>
      </c>
      <c r="O714" s="32" t="s">
        <v>1045</v>
      </c>
      <c r="P714" s="57"/>
      <c r="Q714" s="57" t="s">
        <v>3368</v>
      </c>
      <c r="R714" s="155"/>
      <c r="S714" s="32" t="s">
        <v>196</v>
      </c>
      <c r="T714" s="45" t="s">
        <v>1324</v>
      </c>
      <c r="U714" s="67" t="s">
        <v>4100</v>
      </c>
      <c r="V714" s="54" t="s">
        <v>80</v>
      </c>
      <c r="W714" s="32" t="s">
        <v>561</v>
      </c>
      <c r="X714" s="32" t="s">
        <v>1326</v>
      </c>
      <c r="Y714" s="109" t="s">
        <v>1327</v>
      </c>
      <c r="Z714" s="32" t="s">
        <v>112</v>
      </c>
      <c r="AA714" s="68"/>
      <c r="AB714" s="32" t="s">
        <v>113</v>
      </c>
      <c r="AC714" s="32"/>
      <c r="AD714" s="261"/>
      <c r="AE714" s="47"/>
      <c r="AF714" s="34" t="s">
        <v>80</v>
      </c>
      <c r="AG714" s="56" t="s">
        <v>1329</v>
      </c>
      <c r="AH714" s="53"/>
      <c r="AI714" s="77"/>
      <c r="AJ714" s="41"/>
      <c r="AK714" s="58">
        <v>41619.0</v>
      </c>
      <c r="AL714" s="56" t="s">
        <v>1048</v>
      </c>
    </row>
    <row r="715" ht="22.5" customHeight="1">
      <c r="A715" s="286" t="s">
        <v>4101</v>
      </c>
      <c r="B715" s="57" t="s">
        <v>2561</v>
      </c>
      <c r="C715" s="149" t="s">
        <v>2562</v>
      </c>
      <c r="D715" s="41" t="s">
        <v>75</v>
      </c>
      <c r="E715" s="149" t="s">
        <v>2563</v>
      </c>
      <c r="F715" s="34" t="s">
        <v>93</v>
      </c>
      <c r="G715" s="34" t="s">
        <v>168</v>
      </c>
      <c r="H715" s="155">
        <v>43207.0</v>
      </c>
      <c r="I715" s="155">
        <v>43196.0</v>
      </c>
      <c r="J715" s="155">
        <v>43207.0</v>
      </c>
      <c r="K715" s="32" t="s">
        <v>70</v>
      </c>
      <c r="L715" s="41" t="s">
        <v>115</v>
      </c>
      <c r="M715" s="63" t="s">
        <v>218</v>
      </c>
      <c r="N715" s="38" t="s">
        <v>89</v>
      </c>
      <c r="O715" s="32" t="s">
        <v>954</v>
      </c>
      <c r="P715" s="32" t="s">
        <v>2512</v>
      </c>
      <c r="Q715" s="57" t="s">
        <v>3903</v>
      </c>
      <c r="R715" s="155">
        <v>43584.0</v>
      </c>
      <c r="S715" s="32" t="s">
        <v>116</v>
      </c>
      <c r="T715" s="56" t="s">
        <v>2564</v>
      </c>
      <c r="U715" s="67" t="s">
        <v>4102</v>
      </c>
      <c r="V715" s="34" t="s">
        <v>80</v>
      </c>
      <c r="W715" s="149" t="s">
        <v>2566</v>
      </c>
      <c r="X715" s="149" t="s">
        <v>2567</v>
      </c>
      <c r="Y715" s="152" t="s">
        <v>2568</v>
      </c>
      <c r="Z715" s="32" t="s">
        <v>112</v>
      </c>
      <c r="AA715" s="32"/>
      <c r="AB715" s="32" t="s">
        <v>113</v>
      </c>
      <c r="AC715" s="60"/>
      <c r="AD715" s="261"/>
      <c r="AE715" s="47"/>
      <c r="AF715" s="34" t="s">
        <v>80</v>
      </c>
      <c r="AG715" s="56" t="s">
        <v>2571</v>
      </c>
      <c r="AH715" s="53"/>
      <c r="AI715" s="77"/>
      <c r="AJ715" s="41"/>
      <c r="AK715" s="268">
        <v>42046.0</v>
      </c>
      <c r="AL715" s="56" t="s">
        <v>965</v>
      </c>
    </row>
    <row r="716" ht="22.5" customHeight="1">
      <c r="A716" s="286" t="s">
        <v>4103</v>
      </c>
      <c r="B716" s="30" t="s">
        <v>1393</v>
      </c>
      <c r="C716" s="32" t="s">
        <v>4104</v>
      </c>
      <c r="D716" s="34" t="s">
        <v>75</v>
      </c>
      <c r="E716" s="32" t="s">
        <v>4105</v>
      </c>
      <c r="F716" s="34" t="s">
        <v>140</v>
      </c>
      <c r="G716" s="34" t="s">
        <v>85</v>
      </c>
      <c r="H716" s="48">
        <v>43234.0</v>
      </c>
      <c r="I716" s="48">
        <v>43234.0</v>
      </c>
      <c r="J716" s="36"/>
      <c r="K716" s="32" t="s">
        <v>70</v>
      </c>
      <c r="L716" s="34" t="s">
        <v>115</v>
      </c>
      <c r="M716" s="32" t="s">
        <v>88</v>
      </c>
      <c r="N716" s="32" t="s">
        <v>4106</v>
      </c>
      <c r="O716" s="32" t="s">
        <v>1464</v>
      </c>
      <c r="P716" s="32"/>
      <c r="Q716" s="32" t="s">
        <v>4107</v>
      </c>
      <c r="R716" s="48">
        <v>44330.0</v>
      </c>
      <c r="S716" s="32" t="s">
        <v>1464</v>
      </c>
      <c r="T716" s="56" t="s">
        <v>4108</v>
      </c>
      <c r="U716" s="45" t="s">
        <v>4109</v>
      </c>
      <c r="V716" s="34" t="s">
        <v>74</v>
      </c>
      <c r="W716" s="32" t="s">
        <v>4110</v>
      </c>
      <c r="X716" s="32" t="s">
        <v>4111</v>
      </c>
      <c r="Y716" s="45" t="s">
        <v>4112</v>
      </c>
      <c r="Z716" s="32" t="s">
        <v>112</v>
      </c>
      <c r="AA716" s="47"/>
      <c r="AB716" s="32" t="s">
        <v>402</v>
      </c>
      <c r="AC716" s="32" t="s">
        <v>4113</v>
      </c>
      <c r="AD716" s="66">
        <v>43234.0</v>
      </c>
      <c r="AE716" s="53"/>
      <c r="AF716" s="34" t="s">
        <v>80</v>
      </c>
      <c r="AG716" s="56" t="s">
        <v>1407</v>
      </c>
      <c r="AH716" s="63" t="s">
        <v>4114</v>
      </c>
      <c r="AI716" s="58"/>
      <c r="AJ716" s="58"/>
      <c r="AK716" s="58">
        <v>43213.0</v>
      </c>
      <c r="AL716" s="56" t="s">
        <v>3739</v>
      </c>
    </row>
    <row r="717" ht="22.5" customHeight="1">
      <c r="A717" s="286" t="s">
        <v>4115</v>
      </c>
      <c r="B717" s="30" t="s">
        <v>1393</v>
      </c>
      <c r="C717" s="32" t="s">
        <v>4116</v>
      </c>
      <c r="D717" s="34" t="s">
        <v>75</v>
      </c>
      <c r="E717" s="32" t="s">
        <v>4117</v>
      </c>
      <c r="F717" s="34" t="s">
        <v>140</v>
      </c>
      <c r="G717" s="34" t="s">
        <v>85</v>
      </c>
      <c r="H717" s="48">
        <v>43234.0</v>
      </c>
      <c r="I717" s="48">
        <v>43234.0</v>
      </c>
      <c r="J717" s="36"/>
      <c r="K717" s="32" t="s">
        <v>70</v>
      </c>
      <c r="L717" s="34" t="s">
        <v>115</v>
      </c>
      <c r="M717" s="32" t="s">
        <v>88</v>
      </c>
      <c r="N717" s="32" t="s">
        <v>4106</v>
      </c>
      <c r="O717" s="32" t="s">
        <v>1464</v>
      </c>
      <c r="P717" s="38"/>
      <c r="Q717" s="32" t="s">
        <v>4107</v>
      </c>
      <c r="R717" s="48">
        <v>44330.0</v>
      </c>
      <c r="S717" s="32" t="s">
        <v>1464</v>
      </c>
      <c r="T717" s="56" t="s">
        <v>4118</v>
      </c>
      <c r="U717" s="45" t="s">
        <v>4119</v>
      </c>
      <c r="V717" s="34" t="s">
        <v>74</v>
      </c>
      <c r="W717" s="32" t="s">
        <v>4110</v>
      </c>
      <c r="X717" s="32" t="s">
        <v>4111</v>
      </c>
      <c r="Y717" s="45" t="s">
        <v>4120</v>
      </c>
      <c r="Z717" s="32" t="s">
        <v>112</v>
      </c>
      <c r="AA717" s="47"/>
      <c r="AB717" s="32" t="s">
        <v>402</v>
      </c>
      <c r="AC717" s="32" t="s">
        <v>4121</v>
      </c>
      <c r="AD717" s="66">
        <v>43234.0</v>
      </c>
      <c r="AE717" s="53"/>
      <c r="AF717" s="34" t="s">
        <v>80</v>
      </c>
      <c r="AG717" s="56" t="s">
        <v>1407</v>
      </c>
      <c r="AH717" s="63" t="s">
        <v>4114</v>
      </c>
      <c r="AI717" s="58"/>
      <c r="AJ717" s="58"/>
      <c r="AK717" s="58">
        <v>43213.0</v>
      </c>
      <c r="AL717" s="56" t="s">
        <v>3739</v>
      </c>
    </row>
    <row r="718" ht="22.5" customHeight="1">
      <c r="A718" s="286" t="s">
        <v>4122</v>
      </c>
      <c r="B718" s="30" t="s">
        <v>3022</v>
      </c>
      <c r="C718" s="32" t="s">
        <v>3023</v>
      </c>
      <c r="D718" s="54" t="s">
        <v>75</v>
      </c>
      <c r="E718" s="57" t="s">
        <v>3024</v>
      </c>
      <c r="F718" s="54" t="s">
        <v>140</v>
      </c>
      <c r="G718" s="54" t="s">
        <v>85</v>
      </c>
      <c r="H718" s="48">
        <v>43217.0</v>
      </c>
      <c r="I718" s="48">
        <v>43217.0</v>
      </c>
      <c r="J718" s="48"/>
      <c r="K718" s="32" t="s">
        <v>70</v>
      </c>
      <c r="L718" s="54" t="s">
        <v>115</v>
      </c>
      <c r="M718" s="63" t="s">
        <v>88</v>
      </c>
      <c r="N718" s="32" t="s">
        <v>89</v>
      </c>
      <c r="O718" s="32" t="s">
        <v>1570</v>
      </c>
      <c r="P718" s="38"/>
      <c r="Q718" s="57" t="s">
        <v>2047</v>
      </c>
      <c r="R718" s="48"/>
      <c r="S718" s="32" t="s">
        <v>1570</v>
      </c>
      <c r="T718" s="45" t="s">
        <v>3025</v>
      </c>
      <c r="U718" s="45" t="s">
        <v>4123</v>
      </c>
      <c r="V718" s="54" t="s">
        <v>74</v>
      </c>
      <c r="W718" s="57" t="s">
        <v>3027</v>
      </c>
      <c r="X718" s="57" t="s">
        <v>3028</v>
      </c>
      <c r="Y718" s="67" t="s">
        <v>3029</v>
      </c>
      <c r="Z718" s="32" t="s">
        <v>112</v>
      </c>
      <c r="AA718" s="47"/>
      <c r="AB718" s="123" t="s">
        <v>113</v>
      </c>
      <c r="AC718" s="32" t="s">
        <v>4124</v>
      </c>
      <c r="AD718" s="261">
        <v>42870.0</v>
      </c>
      <c r="AE718" s="53"/>
      <c r="AF718" s="54" t="s">
        <v>80</v>
      </c>
      <c r="AG718" s="56" t="s">
        <v>3030</v>
      </c>
      <c r="AH718" s="139" t="s">
        <v>193</v>
      </c>
      <c r="AI718" s="58"/>
      <c r="AJ718" s="58"/>
      <c r="AK718" s="83">
        <v>42065.0</v>
      </c>
      <c r="AL718" s="109" t="s">
        <v>2055</v>
      </c>
    </row>
    <row r="719" ht="22.5" customHeight="1">
      <c r="A719" s="286" t="s">
        <v>4125</v>
      </c>
      <c r="B719" s="30" t="s">
        <v>888</v>
      </c>
      <c r="C719" s="32" t="s">
        <v>889</v>
      </c>
      <c r="D719" s="34" t="s">
        <v>752</v>
      </c>
      <c r="E719" s="38" t="s">
        <v>892</v>
      </c>
      <c r="F719" s="34" t="s">
        <v>93</v>
      </c>
      <c r="G719" s="34" t="s">
        <v>168</v>
      </c>
      <c r="H719" s="48">
        <v>43109.0</v>
      </c>
      <c r="I719" s="48"/>
      <c r="J719" s="48">
        <v>43109.0</v>
      </c>
      <c r="K719" s="32" t="s">
        <v>70</v>
      </c>
      <c r="L719" s="34" t="s">
        <v>115</v>
      </c>
      <c r="M719" s="42" t="s">
        <v>88</v>
      </c>
      <c r="N719" s="38" t="s">
        <v>89</v>
      </c>
      <c r="O719" s="32" t="s">
        <v>850</v>
      </c>
      <c r="P719" s="38"/>
      <c r="Q719" s="57" t="s">
        <v>3443</v>
      </c>
      <c r="R719" s="48"/>
      <c r="S719" s="32" t="s">
        <v>116</v>
      </c>
      <c r="T719" s="56" t="s">
        <v>1950</v>
      </c>
      <c r="U719" s="45" t="s">
        <v>4126</v>
      </c>
      <c r="V719" s="54" t="s">
        <v>80</v>
      </c>
      <c r="W719" s="172" t="s">
        <v>897</v>
      </c>
      <c r="X719" s="111" t="s">
        <v>898</v>
      </c>
      <c r="Y719" s="109" t="s">
        <v>899</v>
      </c>
      <c r="Z719" s="32" t="s">
        <v>112</v>
      </c>
      <c r="AA719" s="47"/>
      <c r="AB719" s="149" t="s">
        <v>481</v>
      </c>
      <c r="AC719" s="32"/>
      <c r="AD719" s="261"/>
      <c r="AE719" s="53"/>
      <c r="AF719" s="34" t="s">
        <v>80</v>
      </c>
      <c r="AG719" s="56" t="s">
        <v>900</v>
      </c>
      <c r="AH719" s="139"/>
      <c r="AI719" s="58"/>
      <c r="AJ719" s="58"/>
      <c r="AK719" s="155">
        <v>41352.0</v>
      </c>
      <c r="AL719" s="56" t="s">
        <v>870</v>
      </c>
    </row>
    <row r="720" ht="22.5" customHeight="1">
      <c r="A720" s="286" t="s">
        <v>4127</v>
      </c>
      <c r="B720" s="30" t="s">
        <v>1008</v>
      </c>
      <c r="C720" s="32" t="s">
        <v>1009</v>
      </c>
      <c r="D720" s="34" t="s">
        <v>845</v>
      </c>
      <c r="E720" s="38" t="s">
        <v>1011</v>
      </c>
      <c r="F720" s="41" t="s">
        <v>140</v>
      </c>
      <c r="G720" s="34" t="s">
        <v>168</v>
      </c>
      <c r="H720" s="48">
        <v>43206.0</v>
      </c>
      <c r="I720" s="48">
        <v>43206.0</v>
      </c>
      <c r="J720" s="48"/>
      <c r="K720" s="32" t="s">
        <v>70</v>
      </c>
      <c r="L720" s="34" t="s">
        <v>115</v>
      </c>
      <c r="M720" s="42" t="s">
        <v>383</v>
      </c>
      <c r="N720" s="32" t="s">
        <v>89</v>
      </c>
      <c r="O720" s="32" t="s">
        <v>850</v>
      </c>
      <c r="P720" s="38"/>
      <c r="Q720" s="57" t="s">
        <v>4128</v>
      </c>
      <c r="R720" s="48">
        <v>44302.0</v>
      </c>
      <c r="S720" s="38" t="s">
        <v>1012</v>
      </c>
      <c r="T720" s="45" t="s">
        <v>1014</v>
      </c>
      <c r="U720" s="45" t="s">
        <v>4129</v>
      </c>
      <c r="V720" s="54" t="s">
        <v>80</v>
      </c>
      <c r="W720" s="60" t="s">
        <v>1016</v>
      </c>
      <c r="X720" s="32" t="s">
        <v>1017</v>
      </c>
      <c r="Y720" s="109" t="s">
        <v>1018</v>
      </c>
      <c r="Z720" s="32" t="s">
        <v>112</v>
      </c>
      <c r="AA720" s="47"/>
      <c r="AB720" s="32" t="s">
        <v>113</v>
      </c>
      <c r="AC720" s="32"/>
      <c r="AD720" s="261"/>
      <c r="AE720" s="53"/>
      <c r="AF720" s="34" t="s">
        <v>80</v>
      </c>
      <c r="AG720" s="56" t="s">
        <v>1020</v>
      </c>
      <c r="AH720" s="139"/>
      <c r="AI720" s="58"/>
      <c r="AJ720" s="58"/>
      <c r="AK720" s="58">
        <v>41261.0</v>
      </c>
      <c r="AL720" s="56" t="s">
        <v>870</v>
      </c>
    </row>
    <row r="721" ht="22.5" customHeight="1">
      <c r="A721" s="286" t="s">
        <v>4130</v>
      </c>
      <c r="B721" s="30" t="s">
        <v>3579</v>
      </c>
      <c r="C721" s="57" t="s">
        <v>3580</v>
      </c>
      <c r="D721" s="54" t="s">
        <v>75</v>
      </c>
      <c r="E721" s="57" t="s">
        <v>3581</v>
      </c>
      <c r="F721" s="54" t="s">
        <v>140</v>
      </c>
      <c r="G721" s="34" t="s">
        <v>168</v>
      </c>
      <c r="H721" s="48">
        <v>43019.0</v>
      </c>
      <c r="I721" s="48"/>
      <c r="J721" s="48">
        <v>43019.0</v>
      </c>
      <c r="K721" s="32" t="s">
        <v>70</v>
      </c>
      <c r="L721" s="54" t="s">
        <v>115</v>
      </c>
      <c r="M721" s="63" t="s">
        <v>218</v>
      </c>
      <c r="N721" s="32" t="s">
        <v>89</v>
      </c>
      <c r="O721" s="32" t="s">
        <v>850</v>
      </c>
      <c r="P721" s="38"/>
      <c r="Q721" s="57" t="s">
        <v>3776</v>
      </c>
      <c r="R721" s="48">
        <v>44115.0</v>
      </c>
      <c r="S721" s="32" t="s">
        <v>1023</v>
      </c>
      <c r="T721" s="45" t="s">
        <v>3583</v>
      </c>
      <c r="U721" s="45" t="s">
        <v>4131</v>
      </c>
      <c r="V721" s="54" t="s">
        <v>80</v>
      </c>
      <c r="W721" s="57" t="s">
        <v>3585</v>
      </c>
      <c r="X721" s="57" t="s">
        <v>3586</v>
      </c>
      <c r="Y721" s="67" t="s">
        <v>3587</v>
      </c>
      <c r="Z721" s="32" t="s">
        <v>112</v>
      </c>
      <c r="AA721" s="47"/>
      <c r="AB721" s="32" t="s">
        <v>113</v>
      </c>
      <c r="AC721" s="32"/>
      <c r="AD721" s="261"/>
      <c r="AE721" s="53"/>
      <c r="AF721" s="54" t="s">
        <v>80</v>
      </c>
      <c r="AG721" s="56" t="s">
        <v>3589</v>
      </c>
      <c r="AH721" s="139"/>
      <c r="AI721" s="58"/>
      <c r="AJ721" s="58"/>
      <c r="AK721" s="83">
        <v>42642.0</v>
      </c>
      <c r="AL721" s="56" t="s">
        <v>870</v>
      </c>
    </row>
    <row r="722" ht="22.5" customHeight="1">
      <c r="A722" s="286" t="s">
        <v>4132</v>
      </c>
      <c r="B722" s="30" t="s">
        <v>888</v>
      </c>
      <c r="C722" s="57" t="s">
        <v>3555</v>
      </c>
      <c r="D722" s="41" t="s">
        <v>75</v>
      </c>
      <c r="E722" s="38" t="s">
        <v>1282</v>
      </c>
      <c r="F722" s="34" t="s">
        <v>140</v>
      </c>
      <c r="G722" s="34" t="s">
        <v>85</v>
      </c>
      <c r="H722" s="48">
        <v>43220.0</v>
      </c>
      <c r="I722" s="48">
        <v>43214.0</v>
      </c>
      <c r="J722" s="48">
        <v>43220.0</v>
      </c>
      <c r="K722" s="32" t="s">
        <v>70</v>
      </c>
      <c r="L722" s="41" t="s">
        <v>115</v>
      </c>
      <c r="M722" s="63" t="s">
        <v>88</v>
      </c>
      <c r="N722" s="38" t="s">
        <v>89</v>
      </c>
      <c r="O722" s="32" t="s">
        <v>196</v>
      </c>
      <c r="P722" s="32" t="s">
        <v>1903</v>
      </c>
      <c r="Q722" s="57" t="s">
        <v>4133</v>
      </c>
      <c r="R722" s="48">
        <v>44316.0</v>
      </c>
      <c r="S722" s="32" t="s">
        <v>196</v>
      </c>
      <c r="T722" s="45" t="s">
        <v>1285</v>
      </c>
      <c r="U722" s="45" t="s">
        <v>4134</v>
      </c>
      <c r="V722" s="34" t="s">
        <v>80</v>
      </c>
      <c r="W722" s="32" t="s">
        <v>561</v>
      </c>
      <c r="X722" s="60" t="s">
        <v>1287</v>
      </c>
      <c r="Y722" s="45" t="s">
        <v>1288</v>
      </c>
      <c r="Z722" s="32" t="s">
        <v>112</v>
      </c>
      <c r="AA722" s="47"/>
      <c r="AB722" s="32" t="s">
        <v>113</v>
      </c>
      <c r="AC722" s="60" t="s">
        <v>1907</v>
      </c>
      <c r="AD722" s="261">
        <v>41963.0</v>
      </c>
      <c r="AE722" s="53"/>
      <c r="AF722" s="34" t="s">
        <v>80</v>
      </c>
      <c r="AG722" s="56" t="s">
        <v>900</v>
      </c>
      <c r="AH722" s="60" t="s">
        <v>4135</v>
      </c>
      <c r="AI722" s="58"/>
      <c r="AJ722" s="58"/>
      <c r="AK722" s="155">
        <v>41770.0</v>
      </c>
      <c r="AL722" s="56" t="s">
        <v>208</v>
      </c>
    </row>
    <row r="723" ht="22.5" customHeight="1">
      <c r="A723" s="286" t="s">
        <v>4136</v>
      </c>
      <c r="B723" s="30" t="s">
        <v>461</v>
      </c>
      <c r="C723" s="57" t="s">
        <v>2575</v>
      </c>
      <c r="D723" s="34" t="s">
        <v>752</v>
      </c>
      <c r="E723" s="149" t="s">
        <v>2576</v>
      </c>
      <c r="F723" s="34" t="s">
        <v>93</v>
      </c>
      <c r="G723" s="54" t="s">
        <v>168</v>
      </c>
      <c r="H723" s="48">
        <v>43237.0</v>
      </c>
      <c r="I723" s="48">
        <v>43237.0</v>
      </c>
      <c r="J723" s="48"/>
      <c r="K723" s="32" t="s">
        <v>70</v>
      </c>
      <c r="L723" s="41" t="s">
        <v>115</v>
      </c>
      <c r="M723" s="63" t="s">
        <v>218</v>
      </c>
      <c r="N723" s="38" t="s">
        <v>89</v>
      </c>
      <c r="O723" s="32" t="s">
        <v>3962</v>
      </c>
      <c r="P723" s="32"/>
      <c r="Q723" s="57" t="s">
        <v>3963</v>
      </c>
      <c r="R723" s="48">
        <v>43448.0</v>
      </c>
      <c r="S723" s="32" t="s">
        <v>116</v>
      </c>
      <c r="T723" s="56" t="s">
        <v>2577</v>
      </c>
      <c r="U723" s="45" t="s">
        <v>4137</v>
      </c>
      <c r="V723" s="34" t="s">
        <v>74</v>
      </c>
      <c r="W723" s="149" t="s">
        <v>803</v>
      </c>
      <c r="X723" s="32" t="s">
        <v>806</v>
      </c>
      <c r="Y723" s="152" t="s">
        <v>2579</v>
      </c>
      <c r="Z723" s="32" t="s">
        <v>112</v>
      </c>
      <c r="AA723" s="47"/>
      <c r="AB723" s="149" t="s">
        <v>113</v>
      </c>
      <c r="AC723" s="60"/>
      <c r="AD723" s="261"/>
      <c r="AE723" s="53"/>
      <c r="AF723" s="34" t="s">
        <v>80</v>
      </c>
      <c r="AG723" s="56" t="s">
        <v>817</v>
      </c>
      <c r="AH723" s="60"/>
      <c r="AI723" s="58"/>
      <c r="AJ723" s="58"/>
      <c r="AK723" s="268">
        <v>41850.0</v>
      </c>
      <c r="AL723" s="56" t="s">
        <v>3965</v>
      </c>
    </row>
    <row r="724" ht="22.5" customHeight="1">
      <c r="A724" s="27" t="s">
        <v>4138</v>
      </c>
      <c r="B724" s="63" t="s">
        <v>2646</v>
      </c>
      <c r="C724" s="63" t="s">
        <v>2647</v>
      </c>
      <c r="D724" s="270" t="s">
        <v>91</v>
      </c>
      <c r="E724" s="149" t="s">
        <v>2648</v>
      </c>
      <c r="F724" s="34" t="s">
        <v>140</v>
      </c>
      <c r="G724" s="34" t="s">
        <v>85</v>
      </c>
      <c r="H724" s="48">
        <v>43242.0</v>
      </c>
      <c r="I724" s="48">
        <v>43242.0</v>
      </c>
      <c r="J724" s="36"/>
      <c r="K724" s="32" t="s">
        <v>70</v>
      </c>
      <c r="L724" s="34" t="s">
        <v>115</v>
      </c>
      <c r="M724" s="32" t="s">
        <v>218</v>
      </c>
      <c r="N724" s="63" t="s">
        <v>89</v>
      </c>
      <c r="O724" s="63" t="s">
        <v>175</v>
      </c>
      <c r="P724" s="63" t="s">
        <v>2205</v>
      </c>
      <c r="Q724" s="32" t="s">
        <v>4139</v>
      </c>
      <c r="R724" s="48">
        <v>44338.0</v>
      </c>
      <c r="S724" s="63" t="s">
        <v>175</v>
      </c>
      <c r="T724" s="56" t="s">
        <v>2649</v>
      </c>
      <c r="U724" s="56" t="s">
        <v>4140</v>
      </c>
      <c r="V724" s="34" t="s">
        <v>80</v>
      </c>
      <c r="W724" s="63" t="s">
        <v>2650</v>
      </c>
      <c r="X724" s="63" t="s">
        <v>2651</v>
      </c>
      <c r="Y724" s="56" t="s">
        <v>2652</v>
      </c>
      <c r="Z724" s="32" t="s">
        <v>112</v>
      </c>
      <c r="AA724" s="47"/>
      <c r="AB724" s="123" t="s">
        <v>113</v>
      </c>
      <c r="AC724" s="60" t="s">
        <v>4141</v>
      </c>
      <c r="AD724" s="306">
        <v>43243.0</v>
      </c>
      <c r="AE724" s="47"/>
      <c r="AF724" s="34" t="s">
        <v>80</v>
      </c>
      <c r="AG724" s="56" t="s">
        <v>2653</v>
      </c>
      <c r="AH724" s="47"/>
      <c r="AI724" s="65"/>
      <c r="AJ724" s="268">
        <v>42433.0</v>
      </c>
      <c r="AK724" s="268">
        <v>43236.0</v>
      </c>
      <c r="AL724" s="56" t="s">
        <v>188</v>
      </c>
    </row>
    <row r="725" ht="22.5" customHeight="1">
      <c r="A725" s="27" t="s">
        <v>4142</v>
      </c>
      <c r="B725" s="63" t="s">
        <v>3385</v>
      </c>
      <c r="C725" s="57" t="s">
        <v>3386</v>
      </c>
      <c r="D725" s="54" t="s">
        <v>75</v>
      </c>
      <c r="E725" s="57" t="s">
        <v>3387</v>
      </c>
      <c r="F725" s="54" t="s">
        <v>140</v>
      </c>
      <c r="G725" s="54" t="s">
        <v>85</v>
      </c>
      <c r="H725" s="48">
        <v>43237.0</v>
      </c>
      <c r="I725" s="48">
        <v>43237.0</v>
      </c>
      <c r="J725" s="48">
        <v>43237.0</v>
      </c>
      <c r="K725" s="32" t="s">
        <v>70</v>
      </c>
      <c r="L725" s="54" t="s">
        <v>115</v>
      </c>
      <c r="M725" s="63" t="s">
        <v>218</v>
      </c>
      <c r="N725" s="32" t="s">
        <v>89</v>
      </c>
      <c r="O725" s="57" t="s">
        <v>142</v>
      </c>
      <c r="P725" s="32" t="s">
        <v>1050</v>
      </c>
      <c r="Q725" s="57" t="s">
        <v>2590</v>
      </c>
      <c r="R725" s="48">
        <v>43419.0</v>
      </c>
      <c r="S725" s="57" t="s">
        <v>142</v>
      </c>
      <c r="T725" s="45" t="s">
        <v>3388</v>
      </c>
      <c r="U725" s="56" t="s">
        <v>4143</v>
      </c>
      <c r="V725" s="54" t="s">
        <v>80</v>
      </c>
      <c r="W725" s="57" t="s">
        <v>3390</v>
      </c>
      <c r="X725" s="57" t="s">
        <v>3391</v>
      </c>
      <c r="Y725" s="67" t="s">
        <v>3392</v>
      </c>
      <c r="Z725" s="32" t="s">
        <v>112</v>
      </c>
      <c r="AA725" s="47"/>
      <c r="AB725" s="32" t="s">
        <v>113</v>
      </c>
      <c r="AC725" s="32" t="s">
        <v>4144</v>
      </c>
      <c r="AD725" s="261">
        <v>42899.0</v>
      </c>
      <c r="AE725" s="47"/>
      <c r="AF725" s="54" t="s">
        <v>80</v>
      </c>
      <c r="AG725" s="56" t="s">
        <v>3393</v>
      </c>
      <c r="AH725" s="139" t="s">
        <v>947</v>
      </c>
      <c r="AI725" s="65"/>
      <c r="AJ725" s="268"/>
      <c r="AK725" s="83">
        <v>42279.0</v>
      </c>
      <c r="AL725" s="56" t="s">
        <v>262</v>
      </c>
    </row>
    <row r="726" ht="22.5" customHeight="1">
      <c r="A726" s="27" t="s">
        <v>4145</v>
      </c>
      <c r="B726" s="63" t="s">
        <v>1393</v>
      </c>
      <c r="C726" s="57" t="s">
        <v>1410</v>
      </c>
      <c r="D726" s="41" t="s">
        <v>75</v>
      </c>
      <c r="E726" s="121" t="s">
        <v>1411</v>
      </c>
      <c r="F726" s="34" t="s">
        <v>140</v>
      </c>
      <c r="G726" s="34" t="s">
        <v>168</v>
      </c>
      <c r="H726" s="48">
        <v>43238.0</v>
      </c>
      <c r="I726" s="48">
        <v>43045.0</v>
      </c>
      <c r="J726" s="48">
        <v>43238.0</v>
      </c>
      <c r="K726" s="32" t="s">
        <v>70</v>
      </c>
      <c r="L726" s="41" t="s">
        <v>115</v>
      </c>
      <c r="M726" s="63" t="s">
        <v>218</v>
      </c>
      <c r="N726" s="38" t="s">
        <v>89</v>
      </c>
      <c r="O726" s="32" t="s">
        <v>989</v>
      </c>
      <c r="P726" s="32"/>
      <c r="Q726" s="57" t="s">
        <v>4146</v>
      </c>
      <c r="R726" s="48">
        <v>44334.0</v>
      </c>
      <c r="S726" s="32" t="s">
        <v>196</v>
      </c>
      <c r="T726" s="56" t="s">
        <v>1412</v>
      </c>
      <c r="U726" s="56" t="s">
        <v>4147</v>
      </c>
      <c r="V726" s="34" t="s">
        <v>80</v>
      </c>
      <c r="W726" s="60" t="s">
        <v>1401</v>
      </c>
      <c r="X726" s="149" t="s">
        <v>1402</v>
      </c>
      <c r="Y726" s="109" t="s">
        <v>1403</v>
      </c>
      <c r="Z726" s="32" t="s">
        <v>112</v>
      </c>
      <c r="AA726" s="32"/>
      <c r="AB726" s="32" t="s">
        <v>113</v>
      </c>
      <c r="AC726" s="60"/>
      <c r="AD726" s="136"/>
      <c r="AE726" s="47"/>
      <c r="AF726" s="34" t="s">
        <v>80</v>
      </c>
      <c r="AG726" s="56" t="s">
        <v>1407</v>
      </c>
      <c r="AH726" s="47"/>
      <c r="AI726" s="58"/>
      <c r="AJ726" s="41"/>
      <c r="AK726" s="58">
        <v>42307.0</v>
      </c>
      <c r="AL726" s="56" t="s">
        <v>1004</v>
      </c>
    </row>
    <row r="727" ht="22.5" customHeight="1">
      <c r="A727" s="27" t="s">
        <v>4148</v>
      </c>
      <c r="B727" s="63" t="s">
        <v>3385</v>
      </c>
      <c r="C727" s="57" t="s">
        <v>3696</v>
      </c>
      <c r="D727" s="54" t="s">
        <v>75</v>
      </c>
      <c r="E727" s="57" t="s">
        <v>3697</v>
      </c>
      <c r="F727" s="54" t="s">
        <v>93</v>
      </c>
      <c r="G727" s="34" t="s">
        <v>168</v>
      </c>
      <c r="H727" s="48">
        <v>43244.0</v>
      </c>
      <c r="I727" s="48">
        <v>43238.0</v>
      </c>
      <c r="J727" s="48">
        <v>43244.0</v>
      </c>
      <c r="K727" s="32" t="s">
        <v>70</v>
      </c>
      <c r="L727" s="54" t="s">
        <v>115</v>
      </c>
      <c r="M727" s="63" t="s">
        <v>218</v>
      </c>
      <c r="N727" s="32" t="s">
        <v>89</v>
      </c>
      <c r="O727" s="32" t="s">
        <v>1520</v>
      </c>
      <c r="P727" s="32"/>
      <c r="Q727" s="32" t="s">
        <v>3764</v>
      </c>
      <c r="R727" s="48"/>
      <c r="S727" s="57" t="s">
        <v>116</v>
      </c>
      <c r="T727" s="45" t="s">
        <v>3698</v>
      </c>
      <c r="U727" s="56" t="s">
        <v>4149</v>
      </c>
      <c r="V727" s="34" t="s">
        <v>80</v>
      </c>
      <c r="W727" s="57" t="s">
        <v>3390</v>
      </c>
      <c r="X727" s="57" t="s">
        <v>3391</v>
      </c>
      <c r="Y727" s="67" t="s">
        <v>3392</v>
      </c>
      <c r="Z727" s="32" t="s">
        <v>112</v>
      </c>
      <c r="AA727" s="32"/>
      <c r="AB727" s="32" t="s">
        <v>113</v>
      </c>
      <c r="AC727" s="60"/>
      <c r="AD727" s="136"/>
      <c r="AE727" s="47"/>
      <c r="AF727" s="54" t="s">
        <v>80</v>
      </c>
      <c r="AG727" s="56" t="s">
        <v>3393</v>
      </c>
      <c r="AH727" s="47"/>
      <c r="AI727" s="58"/>
      <c r="AJ727" s="41"/>
      <c r="AK727" s="83">
        <v>42838.0</v>
      </c>
      <c r="AL727" s="56" t="s">
        <v>1530</v>
      </c>
    </row>
    <row r="728" ht="22.5" customHeight="1">
      <c r="A728" s="27" t="s">
        <v>4150</v>
      </c>
      <c r="B728" s="63" t="s">
        <v>3162</v>
      </c>
      <c r="C728" s="198" t="s">
        <v>3163</v>
      </c>
      <c r="D728" s="34" t="s">
        <v>584</v>
      </c>
      <c r="E728" s="32" t="s">
        <v>3164</v>
      </c>
      <c r="F728" s="34" t="s">
        <v>93</v>
      </c>
      <c r="G728" s="34" t="s">
        <v>168</v>
      </c>
      <c r="H728" s="48">
        <v>43080.0</v>
      </c>
      <c r="I728" s="48">
        <v>43080.0</v>
      </c>
      <c r="J728" s="48"/>
      <c r="K728" s="32" t="s">
        <v>70</v>
      </c>
      <c r="L728" s="34" t="s">
        <v>115</v>
      </c>
      <c r="M728" s="32" t="s">
        <v>218</v>
      </c>
      <c r="N728" s="32" t="s">
        <v>89</v>
      </c>
      <c r="O728" s="32" t="s">
        <v>850</v>
      </c>
      <c r="P728" s="32" t="s">
        <v>3034</v>
      </c>
      <c r="Q728" s="32" t="s">
        <v>4151</v>
      </c>
      <c r="R728" s="48"/>
      <c r="S728" s="32" t="s">
        <v>116</v>
      </c>
      <c r="T728" s="56" t="s">
        <v>3165</v>
      </c>
      <c r="U728" s="56" t="s">
        <v>4152</v>
      </c>
      <c r="V728" s="34" t="s">
        <v>80</v>
      </c>
      <c r="W728" s="32" t="s">
        <v>561</v>
      </c>
      <c r="X728" s="32" t="s">
        <v>3167</v>
      </c>
      <c r="Y728" s="45" t="s">
        <v>3168</v>
      </c>
      <c r="Z728" s="32" t="s">
        <v>112</v>
      </c>
      <c r="AA728" s="32"/>
      <c r="AB728" s="32" t="s">
        <v>113</v>
      </c>
      <c r="AC728" s="60"/>
      <c r="AD728" s="136"/>
      <c r="AE728" s="47"/>
      <c r="AF728" s="180" t="s">
        <v>80</v>
      </c>
      <c r="AG728" s="56" t="s">
        <v>3170</v>
      </c>
      <c r="AH728" s="47"/>
      <c r="AI728" s="58"/>
      <c r="AJ728" s="83">
        <v>42510.0</v>
      </c>
      <c r="AK728" s="83">
        <v>42591.0</v>
      </c>
      <c r="AL728" s="56" t="s">
        <v>870</v>
      </c>
    </row>
    <row r="729" ht="22.5" customHeight="1">
      <c r="A729" s="27" t="s">
        <v>4153</v>
      </c>
      <c r="B729" s="63" t="s">
        <v>3300</v>
      </c>
      <c r="C729" s="149" t="s">
        <v>3301</v>
      </c>
      <c r="D729" s="41" t="s">
        <v>75</v>
      </c>
      <c r="E729" s="103" t="s">
        <v>3302</v>
      </c>
      <c r="F729" s="41" t="s">
        <v>140</v>
      </c>
      <c r="G729" s="34" t="s">
        <v>85</v>
      </c>
      <c r="H729" s="48">
        <v>43231.0</v>
      </c>
      <c r="I729" s="48"/>
      <c r="J729" s="48"/>
      <c r="K729" s="32" t="s">
        <v>70</v>
      </c>
      <c r="L729" s="34" t="s">
        <v>115</v>
      </c>
      <c r="M729" s="63" t="s">
        <v>218</v>
      </c>
      <c r="N729" s="32" t="s">
        <v>89</v>
      </c>
      <c r="O729" s="38" t="s">
        <v>969</v>
      </c>
      <c r="P729" s="32"/>
      <c r="Q729" s="32" t="s">
        <v>2201</v>
      </c>
      <c r="R729" s="48">
        <v>43415.0</v>
      </c>
      <c r="S729" s="38" t="s">
        <v>969</v>
      </c>
      <c r="T729" s="56" t="s">
        <v>3303</v>
      </c>
      <c r="U729" s="56" t="s">
        <v>4154</v>
      </c>
      <c r="V729" s="34" t="s">
        <v>80</v>
      </c>
      <c r="W729" s="149" t="s">
        <v>3305</v>
      </c>
      <c r="X729" s="32" t="s">
        <v>3306</v>
      </c>
      <c r="Y729" s="152" t="s">
        <v>3307</v>
      </c>
      <c r="Z729" s="32" t="s">
        <v>112</v>
      </c>
      <c r="AA729" s="32"/>
      <c r="AB729" s="60" t="s">
        <v>389</v>
      </c>
      <c r="AC729" s="60" t="s">
        <v>4155</v>
      </c>
      <c r="AD729" s="66">
        <v>42851.0</v>
      </c>
      <c r="AE729" s="47"/>
      <c r="AF729" s="34" t="s">
        <v>80</v>
      </c>
      <c r="AG729" s="56" t="s">
        <v>3308</v>
      </c>
      <c r="AH729" s="63" t="s">
        <v>193</v>
      </c>
      <c r="AI729" s="58"/>
      <c r="AJ729" s="83"/>
      <c r="AK729" s="58">
        <v>42355.0</v>
      </c>
      <c r="AL729" s="56" t="s">
        <v>1043</v>
      </c>
    </row>
    <row r="730" ht="22.5" customHeight="1">
      <c r="A730" s="27" t="s">
        <v>4156</v>
      </c>
      <c r="B730" s="63" t="s">
        <v>461</v>
      </c>
      <c r="C730" s="57" t="s">
        <v>2575</v>
      </c>
      <c r="D730" s="34" t="s">
        <v>752</v>
      </c>
      <c r="E730" s="149" t="s">
        <v>2576</v>
      </c>
      <c r="F730" s="34" t="s">
        <v>93</v>
      </c>
      <c r="G730" s="54" t="s">
        <v>168</v>
      </c>
      <c r="H730" s="48">
        <v>43243.0</v>
      </c>
      <c r="I730" s="48">
        <v>43243.0</v>
      </c>
      <c r="J730" s="48"/>
      <c r="K730" s="32" t="s">
        <v>70</v>
      </c>
      <c r="L730" s="41" t="s">
        <v>115</v>
      </c>
      <c r="M730" s="63" t="s">
        <v>218</v>
      </c>
      <c r="N730" s="38" t="s">
        <v>89</v>
      </c>
      <c r="O730" s="32" t="s">
        <v>327</v>
      </c>
      <c r="P730" s="32" t="s">
        <v>1820</v>
      </c>
      <c r="Q730" s="32" t="s">
        <v>4157</v>
      </c>
      <c r="R730" s="48"/>
      <c r="S730" s="32" t="s">
        <v>116</v>
      </c>
      <c r="T730" s="56" t="s">
        <v>2577</v>
      </c>
      <c r="U730" s="56" t="s">
        <v>4158</v>
      </c>
      <c r="V730" s="34" t="s">
        <v>80</v>
      </c>
      <c r="W730" s="149" t="s">
        <v>803</v>
      </c>
      <c r="X730" s="32" t="s">
        <v>806</v>
      </c>
      <c r="Y730" s="152" t="s">
        <v>2579</v>
      </c>
      <c r="Z730" s="32" t="s">
        <v>112</v>
      </c>
      <c r="AA730" s="32"/>
      <c r="AB730" s="149" t="s">
        <v>113</v>
      </c>
      <c r="AC730" s="60"/>
      <c r="AD730" s="66"/>
      <c r="AE730" s="47"/>
      <c r="AF730" s="34" t="s">
        <v>80</v>
      </c>
      <c r="AG730" s="56" t="s">
        <v>817</v>
      </c>
      <c r="AH730" s="63"/>
      <c r="AI730" s="58"/>
      <c r="AJ730" s="83"/>
      <c r="AK730" s="268">
        <v>41850.0</v>
      </c>
      <c r="AL730" s="56" t="s">
        <v>375</v>
      </c>
    </row>
    <row r="731" ht="22.5" customHeight="1">
      <c r="A731" s="27" t="s">
        <v>4159</v>
      </c>
      <c r="B731" s="63" t="s">
        <v>3385</v>
      </c>
      <c r="C731" s="57" t="s">
        <v>3696</v>
      </c>
      <c r="D731" s="54" t="s">
        <v>75</v>
      </c>
      <c r="E731" s="57" t="s">
        <v>3697</v>
      </c>
      <c r="F731" s="54" t="s">
        <v>93</v>
      </c>
      <c r="G731" s="34" t="s">
        <v>168</v>
      </c>
      <c r="H731" s="48">
        <v>43112.0</v>
      </c>
      <c r="I731" s="48"/>
      <c r="J731" s="48">
        <v>43112.0</v>
      </c>
      <c r="K731" s="32" t="s">
        <v>70</v>
      </c>
      <c r="L731" s="54" t="s">
        <v>115</v>
      </c>
      <c r="M731" s="63" t="s">
        <v>218</v>
      </c>
      <c r="N731" s="32" t="s">
        <v>89</v>
      </c>
      <c r="O731" s="32" t="s">
        <v>1023</v>
      </c>
      <c r="P731" s="32" t="s">
        <v>1024</v>
      </c>
      <c r="Q731" s="32" t="s">
        <v>4160</v>
      </c>
      <c r="R731" s="48"/>
      <c r="S731" s="57" t="s">
        <v>116</v>
      </c>
      <c r="T731" s="45" t="s">
        <v>3698</v>
      </c>
      <c r="U731" s="56" t="s">
        <v>4161</v>
      </c>
      <c r="V731" s="34" t="s">
        <v>80</v>
      </c>
      <c r="W731" s="57" t="s">
        <v>3390</v>
      </c>
      <c r="X731" s="57" t="s">
        <v>3391</v>
      </c>
      <c r="Y731" s="67" t="s">
        <v>3392</v>
      </c>
      <c r="Z731" s="32" t="s">
        <v>112</v>
      </c>
      <c r="AA731" s="32"/>
      <c r="AB731" s="32" t="s">
        <v>113</v>
      </c>
      <c r="AC731" s="60"/>
      <c r="AD731" s="66"/>
      <c r="AE731" s="47"/>
      <c r="AF731" s="54" t="s">
        <v>80</v>
      </c>
      <c r="AG731" s="56" t="s">
        <v>3393</v>
      </c>
      <c r="AH731" s="63"/>
      <c r="AI731" s="58"/>
      <c r="AJ731" s="83"/>
      <c r="AK731" s="83">
        <v>42838.0</v>
      </c>
      <c r="AL731" s="56" t="s">
        <v>1028</v>
      </c>
    </row>
    <row r="732" ht="22.5" customHeight="1">
      <c r="A732" s="27" t="s">
        <v>4162</v>
      </c>
      <c r="B732" s="63" t="s">
        <v>2257</v>
      </c>
      <c r="C732" s="32" t="s">
        <v>2258</v>
      </c>
      <c r="D732" s="34" t="s">
        <v>584</v>
      </c>
      <c r="E732" s="103" t="s">
        <v>2259</v>
      </c>
      <c r="F732" s="41" t="s">
        <v>140</v>
      </c>
      <c r="G732" s="34" t="s">
        <v>85</v>
      </c>
      <c r="H732" s="48">
        <v>43251.0</v>
      </c>
      <c r="I732" s="48">
        <v>43251.0</v>
      </c>
      <c r="J732" s="48">
        <v>43251.0</v>
      </c>
      <c r="K732" s="32" t="s">
        <v>70</v>
      </c>
      <c r="L732" s="41" t="s">
        <v>115</v>
      </c>
      <c r="M732" s="32" t="s">
        <v>313</v>
      </c>
      <c r="N732" s="32" t="s">
        <v>89</v>
      </c>
      <c r="O732" s="32" t="s">
        <v>1608</v>
      </c>
      <c r="P732" s="32" t="s">
        <v>2935</v>
      </c>
      <c r="Q732" s="32" t="s">
        <v>3335</v>
      </c>
      <c r="R732" s="48"/>
      <c r="S732" s="32" t="s">
        <v>402</v>
      </c>
      <c r="T732" s="56" t="s">
        <v>2260</v>
      </c>
      <c r="U732" s="56" t="s">
        <v>4163</v>
      </c>
      <c r="V732" s="34" t="s">
        <v>80</v>
      </c>
      <c r="W732" s="149" t="s">
        <v>2261</v>
      </c>
      <c r="X732" s="198" t="s">
        <v>2515</v>
      </c>
      <c r="Y732" s="45" t="s">
        <v>2263</v>
      </c>
      <c r="Z732" s="32" t="s">
        <v>112</v>
      </c>
      <c r="AA732" s="32"/>
      <c r="AB732" s="32" t="s">
        <v>113</v>
      </c>
      <c r="AC732" s="60" t="s">
        <v>4164</v>
      </c>
      <c r="AD732" s="66">
        <v>42440.0</v>
      </c>
      <c r="AE732" s="47"/>
      <c r="AF732" s="272" t="s">
        <v>80</v>
      </c>
      <c r="AG732" s="56" t="s">
        <v>2265</v>
      </c>
      <c r="AH732" s="63" t="s">
        <v>2746</v>
      </c>
      <c r="AI732" s="58"/>
      <c r="AJ732" s="83"/>
      <c r="AK732" s="155">
        <v>41963.0</v>
      </c>
      <c r="AL732" s="56" t="s">
        <v>2933</v>
      </c>
    </row>
    <row r="733" ht="22.5" customHeight="1">
      <c r="A733" s="27" t="s">
        <v>4165</v>
      </c>
      <c r="B733" s="63" t="s">
        <v>888</v>
      </c>
      <c r="C733" s="57" t="s">
        <v>3555</v>
      </c>
      <c r="D733" s="41" t="s">
        <v>75</v>
      </c>
      <c r="E733" s="38" t="s">
        <v>1282</v>
      </c>
      <c r="F733" s="34" t="s">
        <v>140</v>
      </c>
      <c r="G733" s="34" t="s">
        <v>168</v>
      </c>
      <c r="H733" s="155">
        <v>43244.0</v>
      </c>
      <c r="I733" s="155">
        <v>43242.0</v>
      </c>
      <c r="J733" s="155">
        <v>43244.0</v>
      </c>
      <c r="K733" s="32" t="s">
        <v>70</v>
      </c>
      <c r="L733" s="34" t="s">
        <v>115</v>
      </c>
      <c r="M733" s="32" t="s">
        <v>88</v>
      </c>
      <c r="N733" s="32" t="s">
        <v>89</v>
      </c>
      <c r="O733" s="32" t="s">
        <v>1023</v>
      </c>
      <c r="P733" s="32" t="s">
        <v>3085</v>
      </c>
      <c r="Q733" s="32" t="s">
        <v>4166</v>
      </c>
      <c r="R733" s="48">
        <v>43428.0</v>
      </c>
      <c r="S733" s="32" t="s">
        <v>196</v>
      </c>
      <c r="T733" s="45" t="s">
        <v>1285</v>
      </c>
      <c r="U733" s="56" t="s">
        <v>4167</v>
      </c>
      <c r="V733" s="34" t="s">
        <v>80</v>
      </c>
      <c r="W733" s="32" t="s">
        <v>561</v>
      </c>
      <c r="X733" s="60" t="s">
        <v>1287</v>
      </c>
      <c r="Y733" s="45" t="s">
        <v>1288</v>
      </c>
      <c r="Z733" s="32" t="s">
        <v>112</v>
      </c>
      <c r="AA733" s="32"/>
      <c r="AB733" s="32" t="s">
        <v>113</v>
      </c>
      <c r="AC733" s="60"/>
      <c r="AD733" s="66"/>
      <c r="AE733" s="47"/>
      <c r="AF733" s="34" t="s">
        <v>80</v>
      </c>
      <c r="AG733" s="56" t="s">
        <v>900</v>
      </c>
      <c r="AH733" s="63"/>
      <c r="AI733" s="58"/>
      <c r="AJ733" s="83"/>
      <c r="AK733" s="155">
        <v>41770.0</v>
      </c>
      <c r="AL733" s="56" t="s">
        <v>1028</v>
      </c>
    </row>
    <row r="734" ht="22.5" customHeight="1">
      <c r="A734" s="27" t="s">
        <v>4168</v>
      </c>
      <c r="B734" s="63" t="s">
        <v>190</v>
      </c>
      <c r="C734" s="57" t="s">
        <v>3044</v>
      </c>
      <c r="D734" s="34" t="s">
        <v>752</v>
      </c>
      <c r="E734" s="57" t="s">
        <v>193</v>
      </c>
      <c r="F734" s="34" t="s">
        <v>140</v>
      </c>
      <c r="G734" s="34" t="s">
        <v>168</v>
      </c>
      <c r="H734" s="155">
        <v>43175.0</v>
      </c>
      <c r="I734" s="155">
        <v>43175.0</v>
      </c>
      <c r="J734" s="155"/>
      <c r="K734" s="32" t="s">
        <v>70</v>
      </c>
      <c r="L734" s="34" t="s">
        <v>115</v>
      </c>
      <c r="M734" s="63" t="s">
        <v>88</v>
      </c>
      <c r="N734" s="38" t="s">
        <v>89</v>
      </c>
      <c r="O734" s="32" t="s">
        <v>2271</v>
      </c>
      <c r="P734" s="32"/>
      <c r="Q734" s="32" t="s">
        <v>3395</v>
      </c>
      <c r="R734" s="48"/>
      <c r="S734" s="57" t="s">
        <v>116</v>
      </c>
      <c r="T734" s="56" t="s">
        <v>198</v>
      </c>
      <c r="U734" s="56" t="s">
        <v>4169</v>
      </c>
      <c r="V734" s="54" t="s">
        <v>74</v>
      </c>
      <c r="W734" s="32" t="s">
        <v>201</v>
      </c>
      <c r="X734" s="32" t="s">
        <v>202</v>
      </c>
      <c r="Y734" s="45" t="s">
        <v>203</v>
      </c>
      <c r="Z734" s="32" t="s">
        <v>112</v>
      </c>
      <c r="AA734" s="68"/>
      <c r="AB734" s="32" t="s">
        <v>113</v>
      </c>
      <c r="AC734" s="60"/>
      <c r="AD734" s="66"/>
      <c r="AE734" s="47"/>
      <c r="AF734" s="34" t="s">
        <v>80</v>
      </c>
      <c r="AG734" s="56" t="s">
        <v>206</v>
      </c>
      <c r="AH734" s="53"/>
      <c r="AI734" s="77"/>
      <c r="AJ734" s="41"/>
      <c r="AK734" s="58">
        <v>41215.0</v>
      </c>
      <c r="AL734" s="56" t="s">
        <v>2275</v>
      </c>
    </row>
    <row r="735" ht="22.5" customHeight="1">
      <c r="A735" s="27" t="s">
        <v>4170</v>
      </c>
      <c r="B735" s="63" t="s">
        <v>190</v>
      </c>
      <c r="C735" s="57" t="s">
        <v>211</v>
      </c>
      <c r="D735" s="34" t="s">
        <v>752</v>
      </c>
      <c r="E735" s="32" t="s">
        <v>947</v>
      </c>
      <c r="F735" s="34" t="s">
        <v>93</v>
      </c>
      <c r="G735" s="34" t="s">
        <v>168</v>
      </c>
      <c r="H735" s="155">
        <v>43133.0</v>
      </c>
      <c r="I735" s="155">
        <v>43130.0</v>
      </c>
      <c r="J735" s="155">
        <v>43133.0</v>
      </c>
      <c r="K735" s="32" t="s">
        <v>70</v>
      </c>
      <c r="L735" s="34" t="s">
        <v>115</v>
      </c>
      <c r="M735" s="63" t="s">
        <v>218</v>
      </c>
      <c r="N735" s="32" t="s">
        <v>434</v>
      </c>
      <c r="O735" s="32" t="s">
        <v>175</v>
      </c>
      <c r="P735" s="32" t="s">
        <v>556</v>
      </c>
      <c r="Q735" s="32" t="s">
        <v>4171</v>
      </c>
      <c r="R735" s="48">
        <v>43498.0</v>
      </c>
      <c r="S735" s="32" t="s">
        <v>116</v>
      </c>
      <c r="T735" s="56" t="s">
        <v>2733</v>
      </c>
      <c r="U735" s="56" t="s">
        <v>4172</v>
      </c>
      <c r="V735" s="34" t="s">
        <v>80</v>
      </c>
      <c r="W735" s="32" t="s">
        <v>201</v>
      </c>
      <c r="X735" s="32" t="s">
        <v>202</v>
      </c>
      <c r="Y735" s="45" t="s">
        <v>203</v>
      </c>
      <c r="Z735" s="32" t="s">
        <v>112</v>
      </c>
      <c r="AA735" s="68"/>
      <c r="AB735" s="32" t="s">
        <v>113</v>
      </c>
      <c r="AC735" s="60"/>
      <c r="AD735" s="66"/>
      <c r="AE735" s="47"/>
      <c r="AF735" s="34" t="s">
        <v>80</v>
      </c>
      <c r="AG735" s="56" t="s">
        <v>206</v>
      </c>
      <c r="AH735" s="53"/>
      <c r="AI735" s="77"/>
      <c r="AJ735" s="41"/>
      <c r="AK735" s="58">
        <v>42212.0</v>
      </c>
      <c r="AL735" s="56" t="s">
        <v>188</v>
      </c>
    </row>
    <row r="736" ht="22.5" customHeight="1">
      <c r="A736" s="27" t="s">
        <v>4173</v>
      </c>
      <c r="B736" s="63" t="s">
        <v>2501</v>
      </c>
      <c r="C736" s="57" t="s">
        <v>2502</v>
      </c>
      <c r="D736" s="34" t="s">
        <v>75</v>
      </c>
      <c r="E736" s="32" t="s">
        <v>2503</v>
      </c>
      <c r="F736" s="34" t="s">
        <v>140</v>
      </c>
      <c r="G736" s="34" t="s">
        <v>168</v>
      </c>
      <c r="H736" s="155">
        <v>43258.0</v>
      </c>
      <c r="I736" s="155">
        <v>43258.0</v>
      </c>
      <c r="J736" s="155">
        <v>43258.0</v>
      </c>
      <c r="K736" s="32" t="s">
        <v>70</v>
      </c>
      <c r="L736" s="34" t="s">
        <v>115</v>
      </c>
      <c r="M736" s="32" t="s">
        <v>313</v>
      </c>
      <c r="N736" s="32" t="s">
        <v>89</v>
      </c>
      <c r="O736" s="32" t="s">
        <v>1513</v>
      </c>
      <c r="P736" s="32"/>
      <c r="Q736" s="32" t="s">
        <v>4174</v>
      </c>
      <c r="R736" s="48"/>
      <c r="S736" s="32" t="s">
        <v>220</v>
      </c>
      <c r="T736" s="56" t="s">
        <v>2504</v>
      </c>
      <c r="U736" s="56" t="s">
        <v>4175</v>
      </c>
      <c r="V736" s="34" t="s">
        <v>74</v>
      </c>
      <c r="W736" s="32" t="s">
        <v>2506</v>
      </c>
      <c r="X736" s="32" t="s">
        <v>2507</v>
      </c>
      <c r="Y736" s="45" t="s">
        <v>2508</v>
      </c>
      <c r="Z736" s="32" t="s">
        <v>112</v>
      </c>
      <c r="AA736" s="68"/>
      <c r="AB736" s="32" t="s">
        <v>113</v>
      </c>
      <c r="AC736" s="60"/>
      <c r="AD736" s="66"/>
      <c r="AE736" s="47"/>
      <c r="AF736" s="180" t="s">
        <v>80</v>
      </c>
      <c r="AG736" s="56" t="s">
        <v>2510</v>
      </c>
      <c r="AH736" s="53"/>
      <c r="AI736" s="77"/>
      <c r="AJ736" s="41"/>
      <c r="AK736" s="58">
        <v>42485.0</v>
      </c>
      <c r="AL736" s="56" t="s">
        <v>2423</v>
      </c>
    </row>
    <row r="737" ht="22.5" customHeight="1">
      <c r="A737" s="27" t="s">
        <v>4176</v>
      </c>
      <c r="B737" s="63" t="s">
        <v>987</v>
      </c>
      <c r="C737" s="57" t="s">
        <v>988</v>
      </c>
      <c r="D737" s="54" t="s">
        <v>75</v>
      </c>
      <c r="E737" s="57" t="s">
        <v>990</v>
      </c>
      <c r="F737" s="54" t="s">
        <v>93</v>
      </c>
      <c r="G737" s="34" t="s">
        <v>168</v>
      </c>
      <c r="H737" s="155">
        <v>43251.0</v>
      </c>
      <c r="I737" s="155">
        <v>43251.0</v>
      </c>
      <c r="J737" s="155">
        <v>43251.0</v>
      </c>
      <c r="K737" s="32" t="s">
        <v>70</v>
      </c>
      <c r="L737" s="41" t="s">
        <v>115</v>
      </c>
      <c r="M737" s="63" t="s">
        <v>218</v>
      </c>
      <c r="N737" s="38" t="s">
        <v>89</v>
      </c>
      <c r="O737" s="32" t="s">
        <v>1559</v>
      </c>
      <c r="P737" s="32"/>
      <c r="Q737" s="32" t="s">
        <v>3186</v>
      </c>
      <c r="R737" s="48"/>
      <c r="S737" s="32" t="s">
        <v>116</v>
      </c>
      <c r="T737" s="203" t="s">
        <v>997</v>
      </c>
      <c r="U737" s="56" t="s">
        <v>4177</v>
      </c>
      <c r="V737" s="34" t="s">
        <v>74</v>
      </c>
      <c r="W737" s="63" t="s">
        <v>1001</v>
      </c>
      <c r="X737" s="63" t="s">
        <v>1002</v>
      </c>
      <c r="Y737" s="56" t="s">
        <v>1003</v>
      </c>
      <c r="Z737" s="32" t="s">
        <v>112</v>
      </c>
      <c r="AA737" s="68"/>
      <c r="AB737" s="32" t="s">
        <v>113</v>
      </c>
      <c r="AC737" s="60"/>
      <c r="AD737" s="66"/>
      <c r="AE737" s="47"/>
      <c r="AF737" s="34" t="s">
        <v>80</v>
      </c>
      <c r="AG737" s="56" t="s">
        <v>1005</v>
      </c>
      <c r="AH737" s="53"/>
      <c r="AI737" s="77"/>
      <c r="AJ737" s="41"/>
      <c r="AK737" s="83">
        <v>41736.0</v>
      </c>
      <c r="AL737" s="56" t="s">
        <v>3188</v>
      </c>
    </row>
    <row r="738" ht="22.5" customHeight="1">
      <c r="A738" s="27" t="s">
        <v>4178</v>
      </c>
      <c r="B738" s="63" t="s">
        <v>1008</v>
      </c>
      <c r="C738" s="57" t="s">
        <v>1009</v>
      </c>
      <c r="D738" s="34" t="s">
        <v>845</v>
      </c>
      <c r="E738" s="38" t="s">
        <v>1011</v>
      </c>
      <c r="F738" s="41" t="s">
        <v>140</v>
      </c>
      <c r="G738" s="34" t="s">
        <v>168</v>
      </c>
      <c r="H738" s="155">
        <v>43181.0</v>
      </c>
      <c r="I738" s="155">
        <v>43181.0</v>
      </c>
      <c r="J738" s="155">
        <v>43181.0</v>
      </c>
      <c r="K738" s="32" t="s">
        <v>70</v>
      </c>
      <c r="L738" s="34" t="s">
        <v>115</v>
      </c>
      <c r="M738" s="42" t="s">
        <v>383</v>
      </c>
      <c r="N738" s="32" t="s">
        <v>89</v>
      </c>
      <c r="O738" s="32" t="s">
        <v>2119</v>
      </c>
      <c r="P738" s="32"/>
      <c r="Q738" s="32" t="s">
        <v>4003</v>
      </c>
      <c r="R738" s="48">
        <v>43365.0</v>
      </c>
      <c r="S738" s="38" t="s">
        <v>1012</v>
      </c>
      <c r="T738" s="45" t="s">
        <v>1014</v>
      </c>
      <c r="U738" s="56" t="s">
        <v>4179</v>
      </c>
      <c r="V738" s="34" t="s">
        <v>74</v>
      </c>
      <c r="W738" s="60" t="s">
        <v>1016</v>
      </c>
      <c r="X738" s="32" t="s">
        <v>1017</v>
      </c>
      <c r="Y738" s="109" t="s">
        <v>1018</v>
      </c>
      <c r="Z738" s="32" t="s">
        <v>112</v>
      </c>
      <c r="AA738" s="68"/>
      <c r="AB738" s="32" t="s">
        <v>113</v>
      </c>
      <c r="AC738" s="60"/>
      <c r="AD738" s="66"/>
      <c r="AE738" s="47"/>
      <c r="AF738" s="34" t="s">
        <v>80</v>
      </c>
      <c r="AG738" s="56" t="s">
        <v>1020</v>
      </c>
      <c r="AH738" s="53"/>
      <c r="AI738" s="77"/>
      <c r="AJ738" s="41"/>
      <c r="AK738" s="58">
        <v>41261.0</v>
      </c>
      <c r="AL738" s="56" t="s">
        <v>4005</v>
      </c>
    </row>
    <row r="739" ht="22.5" customHeight="1">
      <c r="A739" s="286" t="s">
        <v>4180</v>
      </c>
      <c r="B739" s="57" t="s">
        <v>4181</v>
      </c>
      <c r="C739" s="57" t="s">
        <v>4182</v>
      </c>
      <c r="D739" s="54" t="s">
        <v>75</v>
      </c>
      <c r="E739" s="57" t="s">
        <v>4183</v>
      </c>
      <c r="F739" s="54" t="s">
        <v>140</v>
      </c>
      <c r="G739" s="54" t="s">
        <v>85</v>
      </c>
      <c r="H739" s="155">
        <v>43259.0</v>
      </c>
      <c r="I739" s="155">
        <v>43259.0</v>
      </c>
      <c r="J739" s="47"/>
      <c r="K739" s="32" t="s">
        <v>70</v>
      </c>
      <c r="L739" s="34" t="s">
        <v>115</v>
      </c>
      <c r="M739" s="63" t="s">
        <v>218</v>
      </c>
      <c r="N739" s="32" t="s">
        <v>4106</v>
      </c>
      <c r="O739" s="57" t="s">
        <v>142</v>
      </c>
      <c r="P739" s="32" t="s">
        <v>4184</v>
      </c>
      <c r="Q739" s="57" t="s">
        <v>4185</v>
      </c>
      <c r="R739" s="47"/>
      <c r="S739" s="57" t="s">
        <v>142</v>
      </c>
      <c r="T739" s="45" t="s">
        <v>4186</v>
      </c>
      <c r="U739" s="67" t="s">
        <v>4187</v>
      </c>
      <c r="V739" s="54" t="s">
        <v>74</v>
      </c>
      <c r="W739" s="57" t="s">
        <v>4188</v>
      </c>
      <c r="X739" s="57" t="s">
        <v>4189</v>
      </c>
      <c r="Y739" s="67" t="s">
        <v>4190</v>
      </c>
      <c r="Z739" s="32" t="s">
        <v>112</v>
      </c>
      <c r="AA739" s="47"/>
      <c r="AB739" s="57" t="s">
        <v>257</v>
      </c>
      <c r="AC739" s="68" t="s">
        <v>4191</v>
      </c>
      <c r="AD739" s="261">
        <v>43263.0</v>
      </c>
      <c r="AE739" s="47"/>
      <c r="AF739" s="54" t="s">
        <v>80</v>
      </c>
      <c r="AG739" s="56" t="s">
        <v>4192</v>
      </c>
      <c r="AH739" s="57" t="s">
        <v>4193</v>
      </c>
      <c r="AI739" s="41"/>
      <c r="AJ739" s="77"/>
      <c r="AK739" s="83">
        <v>43166.0</v>
      </c>
      <c r="AL739" s="56" t="s">
        <v>262</v>
      </c>
    </row>
    <row r="740" ht="22.5" customHeight="1">
      <c r="A740" s="286" t="s">
        <v>4194</v>
      </c>
      <c r="B740" s="57" t="s">
        <v>608</v>
      </c>
      <c r="C740" s="32" t="s">
        <v>1633</v>
      </c>
      <c r="D740" s="41" t="s">
        <v>75</v>
      </c>
      <c r="E740" s="38" t="s">
        <v>1634</v>
      </c>
      <c r="F740" s="34" t="s">
        <v>140</v>
      </c>
      <c r="G740" s="34" t="s">
        <v>168</v>
      </c>
      <c r="H740" s="155">
        <v>43245.0</v>
      </c>
      <c r="I740" s="155">
        <v>43245.0</v>
      </c>
      <c r="J740" s="155">
        <v>43245.0</v>
      </c>
      <c r="K740" s="32" t="s">
        <v>70</v>
      </c>
      <c r="L740" s="34" t="s">
        <v>115</v>
      </c>
      <c r="M740" s="42" t="s">
        <v>313</v>
      </c>
      <c r="N740" s="38" t="s">
        <v>89</v>
      </c>
      <c r="O740" s="32" t="s">
        <v>142</v>
      </c>
      <c r="P740" s="32" t="s">
        <v>1050</v>
      </c>
      <c r="Q740" s="57" t="s">
        <v>2590</v>
      </c>
      <c r="R740" s="47"/>
      <c r="S740" s="32" t="s">
        <v>969</v>
      </c>
      <c r="T740" s="45" t="s">
        <v>1637</v>
      </c>
      <c r="U740" s="67" t="s">
        <v>4195</v>
      </c>
      <c r="V740" s="34" t="s">
        <v>80</v>
      </c>
      <c r="W740" s="60" t="s">
        <v>1641</v>
      </c>
      <c r="X740" s="149" t="s">
        <v>1642</v>
      </c>
      <c r="Y740" s="109" t="s">
        <v>1643</v>
      </c>
      <c r="Z740" s="32" t="s">
        <v>112</v>
      </c>
      <c r="AA740" s="47"/>
      <c r="AB740" s="60" t="s">
        <v>593</v>
      </c>
      <c r="AC740" s="68"/>
      <c r="AD740" s="261"/>
      <c r="AE740" s="47"/>
      <c r="AF740" s="34" t="s">
        <v>80</v>
      </c>
      <c r="AG740" s="56" t="s">
        <v>1644</v>
      </c>
      <c r="AH740" s="57"/>
      <c r="AI740" s="41"/>
      <c r="AJ740" s="77"/>
      <c r="AK740" s="58">
        <v>41927.0</v>
      </c>
      <c r="AL740" s="56" t="s">
        <v>262</v>
      </c>
    </row>
    <row r="741" ht="22.5" customHeight="1">
      <c r="A741" s="286" t="s">
        <v>4196</v>
      </c>
      <c r="B741" s="57" t="s">
        <v>608</v>
      </c>
      <c r="C741" s="32" t="s">
        <v>1633</v>
      </c>
      <c r="D741" s="41" t="s">
        <v>75</v>
      </c>
      <c r="E741" s="38" t="s">
        <v>1634</v>
      </c>
      <c r="F741" s="34" t="s">
        <v>140</v>
      </c>
      <c r="G741" s="34" t="s">
        <v>85</v>
      </c>
      <c r="H741" s="155">
        <v>43182.0</v>
      </c>
      <c r="I741" s="155">
        <v>43182.0</v>
      </c>
      <c r="J741" s="155"/>
      <c r="K741" s="32" t="s">
        <v>70</v>
      </c>
      <c r="L741" s="34" t="s">
        <v>115</v>
      </c>
      <c r="M741" s="42" t="s">
        <v>313</v>
      </c>
      <c r="N741" s="38" t="s">
        <v>89</v>
      </c>
      <c r="O741" s="32" t="s">
        <v>969</v>
      </c>
      <c r="P741" s="32" t="s">
        <v>1635</v>
      </c>
      <c r="Q741" s="57" t="s">
        <v>956</v>
      </c>
      <c r="R741" s="47"/>
      <c r="S741" s="32" t="s">
        <v>969</v>
      </c>
      <c r="T741" s="45" t="s">
        <v>1637</v>
      </c>
      <c r="U741" s="67" t="s">
        <v>4197</v>
      </c>
      <c r="V741" s="34" t="s">
        <v>80</v>
      </c>
      <c r="W741" s="60" t="s">
        <v>1641</v>
      </c>
      <c r="X741" s="149" t="s">
        <v>1642</v>
      </c>
      <c r="Y741" s="109" t="s">
        <v>1643</v>
      </c>
      <c r="Z741" s="32" t="s">
        <v>112</v>
      </c>
      <c r="AA741" s="47"/>
      <c r="AB741" s="60" t="s">
        <v>593</v>
      </c>
      <c r="AC741" s="60" t="s">
        <v>4198</v>
      </c>
      <c r="AD741" s="136">
        <v>42111.0</v>
      </c>
      <c r="AE741" s="47"/>
      <c r="AF741" s="34" t="s">
        <v>80</v>
      </c>
      <c r="AG741" s="56" t="s">
        <v>1644</v>
      </c>
      <c r="AH741" s="139" t="s">
        <v>947</v>
      </c>
      <c r="AI741" s="41"/>
      <c r="AJ741" s="77"/>
      <c r="AK741" s="58">
        <v>41927.0</v>
      </c>
      <c r="AL741" s="56" t="s">
        <v>1043</v>
      </c>
    </row>
    <row r="742" ht="22.5" customHeight="1">
      <c r="A742" s="286" t="s">
        <v>4199</v>
      </c>
      <c r="B742" s="57" t="s">
        <v>1795</v>
      </c>
      <c r="C742" s="57" t="s">
        <v>1796</v>
      </c>
      <c r="D742" s="34" t="s">
        <v>75</v>
      </c>
      <c r="E742" s="38" t="s">
        <v>1797</v>
      </c>
      <c r="F742" s="34" t="s">
        <v>140</v>
      </c>
      <c r="G742" s="34" t="s">
        <v>168</v>
      </c>
      <c r="H742" s="155">
        <v>43245.0</v>
      </c>
      <c r="I742" s="155">
        <v>43245.0</v>
      </c>
      <c r="J742" s="155">
        <v>43245.0</v>
      </c>
      <c r="K742" s="32" t="s">
        <v>70</v>
      </c>
      <c r="L742" s="41" t="s">
        <v>115</v>
      </c>
      <c r="M742" s="42" t="s">
        <v>88</v>
      </c>
      <c r="N742" s="38" t="s">
        <v>89</v>
      </c>
      <c r="O742" s="32" t="s">
        <v>142</v>
      </c>
      <c r="P742" s="38" t="s">
        <v>1050</v>
      </c>
      <c r="Q742" s="57" t="s">
        <v>2590</v>
      </c>
      <c r="R742" s="47"/>
      <c r="S742" s="32" t="s">
        <v>1798</v>
      </c>
      <c r="T742" s="45" t="s">
        <v>1800</v>
      </c>
      <c r="U742" s="67" t="s">
        <v>4200</v>
      </c>
      <c r="V742" s="34" t="s">
        <v>80</v>
      </c>
      <c r="W742" s="60" t="s">
        <v>1804</v>
      </c>
      <c r="X742" s="60" t="s">
        <v>2622</v>
      </c>
      <c r="Y742" s="109" t="s">
        <v>1806</v>
      </c>
      <c r="Z742" s="32" t="s">
        <v>112</v>
      </c>
      <c r="AA742" s="47"/>
      <c r="AB742" s="123" t="s">
        <v>113</v>
      </c>
      <c r="AC742" s="68"/>
      <c r="AD742" s="261"/>
      <c r="AE742" s="47"/>
      <c r="AF742" s="34" t="s">
        <v>80</v>
      </c>
      <c r="AG742" s="56" t="s">
        <v>1810</v>
      </c>
      <c r="AH742" s="57"/>
      <c r="AI742" s="41"/>
      <c r="AJ742" s="77"/>
      <c r="AK742" s="58">
        <v>41925.0</v>
      </c>
      <c r="AL742" s="56" t="s">
        <v>262</v>
      </c>
    </row>
    <row r="743" ht="16.5" customHeight="1">
      <c r="A743" s="286" t="s">
        <v>4201</v>
      </c>
      <c r="B743" s="57" t="s">
        <v>4202</v>
      </c>
      <c r="C743" s="57" t="s">
        <v>4203</v>
      </c>
      <c r="D743" s="54" t="s">
        <v>75</v>
      </c>
      <c r="E743" s="57" t="s">
        <v>4204</v>
      </c>
      <c r="F743" s="54" t="s">
        <v>140</v>
      </c>
      <c r="G743" s="54" t="s">
        <v>85</v>
      </c>
      <c r="H743" s="155">
        <v>43263.0</v>
      </c>
      <c r="I743" s="155">
        <v>43263.0</v>
      </c>
      <c r="J743" s="47"/>
      <c r="K743" s="32" t="s">
        <v>70</v>
      </c>
      <c r="L743" s="54" t="s">
        <v>115</v>
      </c>
      <c r="M743" s="63" t="s">
        <v>88</v>
      </c>
      <c r="N743" s="32" t="s">
        <v>4205</v>
      </c>
      <c r="O743" s="32" t="s">
        <v>1547</v>
      </c>
      <c r="P743" s="47"/>
      <c r="Q743" s="57" t="s">
        <v>4206</v>
      </c>
      <c r="R743" s="47"/>
      <c r="S743" s="32" t="s">
        <v>1547</v>
      </c>
      <c r="T743" s="45" t="s">
        <v>4207</v>
      </c>
      <c r="U743" s="67" t="s">
        <v>4208</v>
      </c>
      <c r="V743" s="54" t="s">
        <v>74</v>
      </c>
      <c r="W743" s="57" t="s">
        <v>4209</v>
      </c>
      <c r="X743" s="57" t="s">
        <v>4210</v>
      </c>
      <c r="Y743" s="67" t="s">
        <v>4211</v>
      </c>
      <c r="Z743" s="32" t="s">
        <v>112</v>
      </c>
      <c r="AA743" s="47"/>
      <c r="AB743" s="57" t="s">
        <v>113</v>
      </c>
      <c r="AC743" s="60" t="s">
        <v>4212</v>
      </c>
      <c r="AD743" s="261">
        <v>43273.0</v>
      </c>
      <c r="AE743" s="47"/>
      <c r="AF743" s="54" t="s">
        <v>80</v>
      </c>
      <c r="AG743" s="56" t="s">
        <v>4213</v>
      </c>
      <c r="AH743" s="30" t="s">
        <v>4214</v>
      </c>
      <c r="AI743" s="41"/>
      <c r="AJ743" s="77"/>
      <c r="AK743" s="83">
        <v>43160.0</v>
      </c>
      <c r="AL743" s="56" t="s">
        <v>1552</v>
      </c>
    </row>
    <row r="744" ht="24.75" customHeight="1">
      <c r="A744" s="286" t="s">
        <v>4215</v>
      </c>
      <c r="B744" s="57" t="s">
        <v>888</v>
      </c>
      <c r="C744" s="57" t="s">
        <v>2745</v>
      </c>
      <c r="D744" s="34" t="s">
        <v>752</v>
      </c>
      <c r="E744" s="32" t="s">
        <v>2746</v>
      </c>
      <c r="F744" s="34" t="s">
        <v>93</v>
      </c>
      <c r="G744" s="34" t="s">
        <v>168</v>
      </c>
      <c r="H744" s="155">
        <v>43257.0</v>
      </c>
      <c r="I744" s="155">
        <v>43257.0</v>
      </c>
      <c r="J744" s="155">
        <v>43257.0</v>
      </c>
      <c r="K744" s="32" t="s">
        <v>70</v>
      </c>
      <c r="L744" s="34" t="s">
        <v>115</v>
      </c>
      <c r="M744" s="63" t="s">
        <v>218</v>
      </c>
      <c r="N744" s="32" t="s">
        <v>434</v>
      </c>
      <c r="O744" s="32" t="s">
        <v>3267</v>
      </c>
      <c r="P744" s="47"/>
      <c r="Q744" s="57" t="s">
        <v>1575</v>
      </c>
      <c r="R744" s="47"/>
      <c r="S744" s="32" t="s">
        <v>116</v>
      </c>
      <c r="T744" s="56" t="s">
        <v>1931</v>
      </c>
      <c r="U744" s="67" t="s">
        <v>4216</v>
      </c>
      <c r="V744" s="34" t="s">
        <v>74</v>
      </c>
      <c r="W744" s="32" t="s">
        <v>897</v>
      </c>
      <c r="X744" s="109" t="s">
        <v>898</v>
      </c>
      <c r="Y744" s="109" t="s">
        <v>899</v>
      </c>
      <c r="Z744" s="32" t="s">
        <v>112</v>
      </c>
      <c r="AA744" s="47"/>
      <c r="AB744" s="32" t="s">
        <v>481</v>
      </c>
      <c r="AC744" s="60"/>
      <c r="AD744" s="73"/>
      <c r="AE744" s="47"/>
      <c r="AF744" s="34" t="s">
        <v>80</v>
      </c>
      <c r="AG744" s="56" t="s">
        <v>900</v>
      </c>
      <c r="AH744" s="47"/>
      <c r="AI744" s="41"/>
      <c r="AJ744" s="77"/>
      <c r="AK744" s="155">
        <v>42212.0</v>
      </c>
      <c r="AL744" s="45" t="s">
        <v>3269</v>
      </c>
    </row>
    <row r="745" ht="24.75" customHeight="1">
      <c r="A745" s="286" t="s">
        <v>4217</v>
      </c>
      <c r="B745" s="57" t="s">
        <v>1321</v>
      </c>
      <c r="C745" s="57" t="s">
        <v>1322</v>
      </c>
      <c r="D745" s="34" t="s">
        <v>845</v>
      </c>
      <c r="E745" s="38" t="s">
        <v>1323</v>
      </c>
      <c r="F745" s="34" t="s">
        <v>140</v>
      </c>
      <c r="G745" s="34" t="s">
        <v>168</v>
      </c>
      <c r="H745" s="155">
        <v>43173.0</v>
      </c>
      <c r="I745" s="155">
        <v>43172.0</v>
      </c>
      <c r="J745" s="155">
        <v>43173.0</v>
      </c>
      <c r="K745" s="32" t="s">
        <v>70</v>
      </c>
      <c r="L745" s="34" t="s">
        <v>115</v>
      </c>
      <c r="M745" s="42" t="s">
        <v>88</v>
      </c>
      <c r="N745" s="32" t="s">
        <v>89</v>
      </c>
      <c r="O745" s="32" t="s">
        <v>1740</v>
      </c>
      <c r="P745" s="47"/>
      <c r="Q745" s="57" t="s">
        <v>4218</v>
      </c>
      <c r="R745" s="155">
        <v>44269.0</v>
      </c>
      <c r="S745" s="32" t="s">
        <v>196</v>
      </c>
      <c r="T745" s="45" t="s">
        <v>1324</v>
      </c>
      <c r="U745" s="67" t="s">
        <v>4219</v>
      </c>
      <c r="V745" s="54" t="s">
        <v>74</v>
      </c>
      <c r="W745" s="32" t="s">
        <v>561</v>
      </c>
      <c r="X745" s="32" t="s">
        <v>1326</v>
      </c>
      <c r="Y745" s="109" t="s">
        <v>1327</v>
      </c>
      <c r="Z745" s="32" t="s">
        <v>112</v>
      </c>
      <c r="AA745" s="47"/>
      <c r="AB745" s="32" t="s">
        <v>113</v>
      </c>
      <c r="AC745" s="60"/>
      <c r="AD745" s="73"/>
      <c r="AE745" s="47"/>
      <c r="AF745" s="34" t="s">
        <v>80</v>
      </c>
      <c r="AG745" s="56" t="s">
        <v>1329</v>
      </c>
      <c r="AH745" s="47"/>
      <c r="AI745" s="41"/>
      <c r="AJ745" s="77"/>
      <c r="AK745" s="58">
        <v>41619.0</v>
      </c>
      <c r="AL745" s="56" t="s">
        <v>4220</v>
      </c>
    </row>
    <row r="746" ht="24.75" customHeight="1">
      <c r="A746" s="286" t="s">
        <v>4221</v>
      </c>
      <c r="B746" s="57" t="s">
        <v>987</v>
      </c>
      <c r="C746" s="57" t="s">
        <v>988</v>
      </c>
      <c r="D746" s="54" t="s">
        <v>75</v>
      </c>
      <c r="E746" s="57" t="s">
        <v>990</v>
      </c>
      <c r="F746" s="54" t="s">
        <v>93</v>
      </c>
      <c r="G746" s="34" t="s">
        <v>168</v>
      </c>
      <c r="H746" s="155">
        <v>43237.0</v>
      </c>
      <c r="I746" s="155">
        <v>43224.0</v>
      </c>
      <c r="J746" s="155">
        <v>43237.0</v>
      </c>
      <c r="K746" s="32" t="s">
        <v>70</v>
      </c>
      <c r="L746" s="41" t="s">
        <v>115</v>
      </c>
      <c r="M746" s="63" t="s">
        <v>218</v>
      </c>
      <c r="N746" s="38" t="s">
        <v>89</v>
      </c>
      <c r="O746" s="32" t="s">
        <v>1908</v>
      </c>
      <c r="P746" s="47"/>
      <c r="Q746" s="57" t="s">
        <v>3657</v>
      </c>
      <c r="R746" s="155">
        <v>43408.0</v>
      </c>
      <c r="S746" s="32" t="s">
        <v>116</v>
      </c>
      <c r="T746" s="203" t="s">
        <v>997</v>
      </c>
      <c r="U746" s="67" t="s">
        <v>4222</v>
      </c>
      <c r="V746" s="34" t="s">
        <v>80</v>
      </c>
      <c r="W746" s="63" t="s">
        <v>1001</v>
      </c>
      <c r="X746" s="63" t="s">
        <v>1002</v>
      </c>
      <c r="Y746" s="56" t="s">
        <v>1003</v>
      </c>
      <c r="Z746" s="32" t="s">
        <v>112</v>
      </c>
      <c r="AA746" s="47"/>
      <c r="AB746" s="32" t="s">
        <v>113</v>
      </c>
      <c r="AC746" s="60"/>
      <c r="AD746" s="73"/>
      <c r="AE746" s="47"/>
      <c r="AF746" s="34" t="s">
        <v>80</v>
      </c>
      <c r="AG746" s="56" t="s">
        <v>1005</v>
      </c>
      <c r="AH746" s="47"/>
      <c r="AI746" s="41"/>
      <c r="AJ746" s="77"/>
      <c r="AK746" s="83">
        <v>41736.0</v>
      </c>
      <c r="AL746" s="56" t="s">
        <v>2432</v>
      </c>
    </row>
    <row r="747" ht="24.75" customHeight="1">
      <c r="A747" s="286" t="s">
        <v>4223</v>
      </c>
      <c r="B747" s="57" t="s">
        <v>2375</v>
      </c>
      <c r="C747" s="57" t="s">
        <v>2376</v>
      </c>
      <c r="D747" s="142" t="s">
        <v>75</v>
      </c>
      <c r="E747" s="262" t="s">
        <v>2377</v>
      </c>
      <c r="F747" s="54" t="s">
        <v>140</v>
      </c>
      <c r="G747" s="34" t="s">
        <v>168</v>
      </c>
      <c r="H747" s="155">
        <v>43271.0</v>
      </c>
      <c r="I747" s="155"/>
      <c r="J747" s="155">
        <v>43271.0</v>
      </c>
      <c r="K747" s="32" t="s">
        <v>70</v>
      </c>
      <c r="L747" s="54" t="s">
        <v>115</v>
      </c>
      <c r="M747" s="63" t="s">
        <v>313</v>
      </c>
      <c r="N747" s="32" t="s">
        <v>89</v>
      </c>
      <c r="O747" s="32" t="s">
        <v>1023</v>
      </c>
      <c r="P747" s="57" t="s">
        <v>1024</v>
      </c>
      <c r="Q747" s="57" t="s">
        <v>4224</v>
      </c>
      <c r="R747" s="155"/>
      <c r="S747" s="32" t="s">
        <v>327</v>
      </c>
      <c r="T747" s="45" t="s">
        <v>2379</v>
      </c>
      <c r="U747" s="67" t="s">
        <v>4225</v>
      </c>
      <c r="V747" s="54" t="s">
        <v>80</v>
      </c>
      <c r="W747" s="57" t="s">
        <v>2381</v>
      </c>
      <c r="X747" s="57" t="s">
        <v>2382</v>
      </c>
      <c r="Y747" s="263" t="s">
        <v>2383</v>
      </c>
      <c r="Z747" s="32" t="s">
        <v>112</v>
      </c>
      <c r="AA747" s="47"/>
      <c r="AB747" s="57" t="s">
        <v>481</v>
      </c>
      <c r="AC747" s="60"/>
      <c r="AD747" s="73"/>
      <c r="AE747" s="47"/>
      <c r="AF747" s="54" t="s">
        <v>80</v>
      </c>
      <c r="AG747" s="56" t="s">
        <v>2384</v>
      </c>
      <c r="AH747" s="47"/>
      <c r="AI747" s="41"/>
      <c r="AJ747" s="77"/>
      <c r="AK747" s="83">
        <v>42627.0</v>
      </c>
      <c r="AL747" s="56" t="s">
        <v>1028</v>
      </c>
    </row>
    <row r="748" ht="24.75" customHeight="1">
      <c r="A748" s="286" t="s">
        <v>4226</v>
      </c>
      <c r="B748" s="57" t="s">
        <v>888</v>
      </c>
      <c r="C748" s="57" t="s">
        <v>3555</v>
      </c>
      <c r="D748" s="41" t="s">
        <v>75</v>
      </c>
      <c r="E748" s="38" t="s">
        <v>1282</v>
      </c>
      <c r="F748" s="34" t="s">
        <v>140</v>
      </c>
      <c r="G748" s="34" t="s">
        <v>168</v>
      </c>
      <c r="H748" s="155">
        <v>43214.0</v>
      </c>
      <c r="I748" s="155">
        <v>43214.0</v>
      </c>
      <c r="J748" s="155">
        <v>43214.0</v>
      </c>
      <c r="K748" s="32" t="s">
        <v>70</v>
      </c>
      <c r="L748" s="34" t="s">
        <v>115</v>
      </c>
      <c r="M748" s="32" t="s">
        <v>88</v>
      </c>
      <c r="N748" s="32" t="s">
        <v>89</v>
      </c>
      <c r="O748" s="32" t="s">
        <v>142</v>
      </c>
      <c r="P748" s="57" t="s">
        <v>915</v>
      </c>
      <c r="Q748" s="57" t="s">
        <v>4227</v>
      </c>
      <c r="R748" s="155">
        <v>43586.0</v>
      </c>
      <c r="S748" s="32" t="s">
        <v>196</v>
      </c>
      <c r="T748" s="45" t="s">
        <v>1285</v>
      </c>
      <c r="U748" s="67" t="s">
        <v>4228</v>
      </c>
      <c r="V748" s="34" t="s">
        <v>80</v>
      </c>
      <c r="W748" s="32" t="s">
        <v>561</v>
      </c>
      <c r="X748" s="60" t="s">
        <v>1287</v>
      </c>
      <c r="Y748" s="45" t="s">
        <v>1288</v>
      </c>
      <c r="Z748" s="32" t="s">
        <v>112</v>
      </c>
      <c r="AA748" s="47"/>
      <c r="AB748" s="32" t="s">
        <v>113</v>
      </c>
      <c r="AC748" s="60"/>
      <c r="AD748" s="73"/>
      <c r="AE748" s="47"/>
      <c r="AF748" s="34" t="s">
        <v>80</v>
      </c>
      <c r="AG748" s="56" t="s">
        <v>900</v>
      </c>
      <c r="AH748" s="47"/>
      <c r="AI748" s="41"/>
      <c r="AJ748" s="77"/>
      <c r="AK748" s="155">
        <v>41770.0</v>
      </c>
      <c r="AL748" s="56" t="s">
        <v>262</v>
      </c>
    </row>
    <row r="749" ht="24.75" customHeight="1">
      <c r="A749" s="286" t="s">
        <v>4229</v>
      </c>
      <c r="B749" s="57" t="s">
        <v>888</v>
      </c>
      <c r="C749" s="57" t="s">
        <v>1956</v>
      </c>
      <c r="D749" s="41" t="s">
        <v>75</v>
      </c>
      <c r="E749" s="38" t="s">
        <v>1957</v>
      </c>
      <c r="F749" s="34" t="s">
        <v>93</v>
      </c>
      <c r="G749" s="34" t="s">
        <v>168</v>
      </c>
      <c r="H749" s="155">
        <v>43272.0</v>
      </c>
      <c r="I749" s="155">
        <v>43272.0</v>
      </c>
      <c r="J749" s="155"/>
      <c r="K749" s="32" t="s">
        <v>70</v>
      </c>
      <c r="L749" s="41" t="s">
        <v>115</v>
      </c>
      <c r="M749" s="63" t="s">
        <v>218</v>
      </c>
      <c r="N749" s="32" t="s">
        <v>434</v>
      </c>
      <c r="O749" s="32" t="s">
        <v>1547</v>
      </c>
      <c r="P749" s="57"/>
      <c r="Q749" s="57" t="s">
        <v>4206</v>
      </c>
      <c r="R749" s="155"/>
      <c r="S749" s="32" t="s">
        <v>116</v>
      </c>
      <c r="T749" s="45" t="s">
        <v>1959</v>
      </c>
      <c r="U749" s="67" t="s">
        <v>4230</v>
      </c>
      <c r="V749" s="34" t="s">
        <v>74</v>
      </c>
      <c r="W749" s="60" t="s">
        <v>1961</v>
      </c>
      <c r="X749" s="198" t="s">
        <v>1962</v>
      </c>
      <c r="Y749" s="109" t="s">
        <v>1963</v>
      </c>
      <c r="Z749" s="32" t="s">
        <v>112</v>
      </c>
      <c r="AA749" s="47"/>
      <c r="AB749" s="32" t="s">
        <v>113</v>
      </c>
      <c r="AC749" s="60"/>
      <c r="AD749" s="73"/>
      <c r="AE749" s="47"/>
      <c r="AF749" s="34" t="s">
        <v>80</v>
      </c>
      <c r="AG749" s="56" t="s">
        <v>900</v>
      </c>
      <c r="AH749" s="47"/>
      <c r="AI749" s="41"/>
      <c r="AJ749" s="77"/>
      <c r="AK749" s="155">
        <v>42138.0</v>
      </c>
      <c r="AL749" s="56" t="s">
        <v>1552</v>
      </c>
    </row>
    <row r="750" ht="24.75" customHeight="1">
      <c r="A750" s="286" t="s">
        <v>4231</v>
      </c>
      <c r="B750" s="57" t="s">
        <v>2550</v>
      </c>
      <c r="C750" s="57" t="s">
        <v>2551</v>
      </c>
      <c r="D750" s="34" t="s">
        <v>584</v>
      </c>
      <c r="E750" s="149" t="s">
        <v>2552</v>
      </c>
      <c r="F750" s="34" t="s">
        <v>140</v>
      </c>
      <c r="G750" s="54" t="s">
        <v>168</v>
      </c>
      <c r="H750" s="155">
        <v>43273.0</v>
      </c>
      <c r="I750" s="155">
        <v>43273.0</v>
      </c>
      <c r="J750" s="155"/>
      <c r="K750" s="32" t="s">
        <v>70</v>
      </c>
      <c r="L750" s="34" t="s">
        <v>115</v>
      </c>
      <c r="M750" s="42" t="s">
        <v>88</v>
      </c>
      <c r="N750" s="32" t="s">
        <v>89</v>
      </c>
      <c r="O750" s="32" t="s">
        <v>1513</v>
      </c>
      <c r="P750" s="57"/>
      <c r="Q750" s="57" t="s">
        <v>4174</v>
      </c>
      <c r="R750" s="155"/>
      <c r="S750" s="32" t="s">
        <v>1023</v>
      </c>
      <c r="T750" s="56" t="s">
        <v>2553</v>
      </c>
      <c r="U750" s="316" t="s">
        <v>4232</v>
      </c>
      <c r="V750" s="34" t="s">
        <v>74</v>
      </c>
      <c r="W750" s="149" t="s">
        <v>2555</v>
      </c>
      <c r="X750" s="149" t="s">
        <v>2556</v>
      </c>
      <c r="Y750" s="152" t="s">
        <v>2557</v>
      </c>
      <c r="Z750" s="32" t="s">
        <v>112</v>
      </c>
      <c r="AA750" s="47"/>
      <c r="AB750" s="60" t="s">
        <v>389</v>
      </c>
      <c r="AC750" s="60"/>
      <c r="AD750" s="73"/>
      <c r="AE750" s="47"/>
      <c r="AF750" s="54" t="s">
        <v>80</v>
      </c>
      <c r="AG750" s="56" t="s">
        <v>2559</v>
      </c>
      <c r="AH750" s="47"/>
      <c r="AI750" s="41"/>
      <c r="AJ750" s="77"/>
      <c r="AK750" s="268">
        <v>41770.0</v>
      </c>
      <c r="AL750" s="56" t="s">
        <v>2423</v>
      </c>
    </row>
    <row r="751" ht="24.75" customHeight="1">
      <c r="A751" s="286" t="s">
        <v>4233</v>
      </c>
      <c r="B751" s="57" t="s">
        <v>2122</v>
      </c>
      <c r="C751" s="32" t="s">
        <v>2123</v>
      </c>
      <c r="D751" s="41" t="s">
        <v>91</v>
      </c>
      <c r="E751" s="103" t="s">
        <v>2124</v>
      </c>
      <c r="F751" s="41" t="s">
        <v>93</v>
      </c>
      <c r="G751" s="34" t="s">
        <v>168</v>
      </c>
      <c r="H751" s="155">
        <v>43270.0</v>
      </c>
      <c r="I751" s="155">
        <v>43270.0</v>
      </c>
      <c r="J751" s="155">
        <v>43270.0</v>
      </c>
      <c r="K751" s="32" t="s">
        <v>70</v>
      </c>
      <c r="L751" s="34" t="s">
        <v>115</v>
      </c>
      <c r="M751" s="63" t="s">
        <v>218</v>
      </c>
      <c r="N751" s="32" t="s">
        <v>89</v>
      </c>
      <c r="O751" s="32" t="s">
        <v>1513</v>
      </c>
      <c r="P751" s="57"/>
      <c r="Q751" s="57" t="s">
        <v>2421</v>
      </c>
      <c r="R751" s="155"/>
      <c r="S751" s="32" t="s">
        <v>116</v>
      </c>
      <c r="T751" s="203" t="s">
        <v>2140</v>
      </c>
      <c r="U751" s="316" t="s">
        <v>4234</v>
      </c>
      <c r="V751" s="34" t="s">
        <v>74</v>
      </c>
      <c r="W751" s="60" t="s">
        <v>2128</v>
      </c>
      <c r="X751" s="60" t="s">
        <v>2130</v>
      </c>
      <c r="Y751" s="109" t="s">
        <v>2131</v>
      </c>
      <c r="Z751" s="32" t="s">
        <v>112</v>
      </c>
      <c r="AA751" s="47"/>
      <c r="AB751" s="123" t="s">
        <v>113</v>
      </c>
      <c r="AC751" s="60"/>
      <c r="AD751" s="73"/>
      <c r="AE751" s="47"/>
      <c r="AF751" s="54" t="s">
        <v>80</v>
      </c>
      <c r="AG751" s="56" t="s">
        <v>2136</v>
      </c>
      <c r="AH751" s="47"/>
      <c r="AI751" s="41"/>
      <c r="AJ751" s="77"/>
      <c r="AK751" s="58">
        <v>41861.0</v>
      </c>
      <c r="AL751" s="56" t="s">
        <v>2423</v>
      </c>
    </row>
    <row r="752" ht="24.75" customHeight="1">
      <c r="A752" s="286" t="s">
        <v>4235</v>
      </c>
      <c r="B752" s="57" t="s">
        <v>888</v>
      </c>
      <c r="C752" s="32" t="s">
        <v>3555</v>
      </c>
      <c r="D752" s="41" t="s">
        <v>75</v>
      </c>
      <c r="E752" s="38" t="s">
        <v>1282</v>
      </c>
      <c r="F752" s="34" t="s">
        <v>140</v>
      </c>
      <c r="G752" s="34" t="s">
        <v>168</v>
      </c>
      <c r="H752" s="155">
        <v>43273.0</v>
      </c>
      <c r="I752" s="155">
        <v>43265.0</v>
      </c>
      <c r="J752" s="155">
        <v>43273.0</v>
      </c>
      <c r="K752" s="32" t="s">
        <v>70</v>
      </c>
      <c r="L752" s="34" t="s">
        <v>115</v>
      </c>
      <c r="M752" s="32" t="s">
        <v>88</v>
      </c>
      <c r="N752" s="32" t="s">
        <v>89</v>
      </c>
      <c r="O752" s="32" t="s">
        <v>850</v>
      </c>
      <c r="P752" s="57"/>
      <c r="Q752" s="57" t="s">
        <v>4236</v>
      </c>
      <c r="R752" s="155"/>
      <c r="S752" s="32" t="s">
        <v>196</v>
      </c>
      <c r="T752" s="45" t="s">
        <v>1285</v>
      </c>
      <c r="U752" s="316" t="s">
        <v>4237</v>
      </c>
      <c r="V752" s="34" t="s">
        <v>80</v>
      </c>
      <c r="W752" s="32" t="s">
        <v>561</v>
      </c>
      <c r="X752" s="60" t="s">
        <v>1287</v>
      </c>
      <c r="Y752" s="45" t="s">
        <v>1288</v>
      </c>
      <c r="Z752" s="32" t="s">
        <v>112</v>
      </c>
      <c r="AA752" s="47"/>
      <c r="AB752" s="32" t="s">
        <v>113</v>
      </c>
      <c r="AC752" s="60"/>
      <c r="AD752" s="73"/>
      <c r="AE752" s="47"/>
      <c r="AF752" s="34" t="s">
        <v>80</v>
      </c>
      <c r="AG752" s="56" t="s">
        <v>900</v>
      </c>
      <c r="AH752" s="47"/>
      <c r="AI752" s="41"/>
      <c r="AJ752" s="77"/>
      <c r="AK752" s="155">
        <v>41770.0</v>
      </c>
      <c r="AL752" s="56" t="s">
        <v>870</v>
      </c>
    </row>
    <row r="753" ht="24.75" customHeight="1">
      <c r="A753" s="286" t="s">
        <v>4238</v>
      </c>
      <c r="B753" s="57" t="s">
        <v>901</v>
      </c>
      <c r="C753" s="32" t="s">
        <v>967</v>
      </c>
      <c r="D753" s="41" t="s">
        <v>584</v>
      </c>
      <c r="E753" s="250" t="s">
        <v>968</v>
      </c>
      <c r="F753" s="39" t="s">
        <v>93</v>
      </c>
      <c r="G753" s="39" t="s">
        <v>168</v>
      </c>
      <c r="H753" s="155">
        <v>43241.0</v>
      </c>
      <c r="I753" s="155">
        <v>43228.0</v>
      </c>
      <c r="J753" s="155">
        <v>43241.0</v>
      </c>
      <c r="K753" s="32" t="s">
        <v>70</v>
      </c>
      <c r="L753" s="34" t="s">
        <v>115</v>
      </c>
      <c r="M753" s="42" t="s">
        <v>313</v>
      </c>
      <c r="N753" s="38" t="s">
        <v>89</v>
      </c>
      <c r="O753" s="32" t="s">
        <v>1023</v>
      </c>
      <c r="P753" s="32" t="s">
        <v>1085</v>
      </c>
      <c r="Q753" s="57" t="s">
        <v>4239</v>
      </c>
      <c r="R753" s="155">
        <v>43698.0</v>
      </c>
      <c r="S753" s="32" t="s">
        <v>116</v>
      </c>
      <c r="T753" s="45" t="s">
        <v>1318</v>
      </c>
      <c r="U753" s="316" t="s">
        <v>4240</v>
      </c>
      <c r="V753" s="34" t="s">
        <v>80</v>
      </c>
      <c r="W753" s="60" t="s">
        <v>976</v>
      </c>
      <c r="X753" s="60" t="s">
        <v>977</v>
      </c>
      <c r="Y753" s="109" t="s">
        <v>906</v>
      </c>
      <c r="Z753" s="32" t="s">
        <v>112</v>
      </c>
      <c r="AA753" s="47"/>
      <c r="AB753" s="123" t="s">
        <v>113</v>
      </c>
      <c r="AC753" s="60"/>
      <c r="AD753" s="73"/>
      <c r="AE753" s="47"/>
      <c r="AF753" s="34" t="s">
        <v>80</v>
      </c>
      <c r="AG753" s="56" t="s">
        <v>911</v>
      </c>
      <c r="AH753" s="47"/>
      <c r="AI753" s="41"/>
      <c r="AJ753" s="77"/>
      <c r="AK753" s="58">
        <v>41368.0</v>
      </c>
      <c r="AL753" s="56" t="s">
        <v>1028</v>
      </c>
    </row>
    <row r="754" ht="22.5" customHeight="1">
      <c r="A754" s="286" t="s">
        <v>4241</v>
      </c>
      <c r="B754" s="57" t="s">
        <v>4242</v>
      </c>
      <c r="C754" s="57" t="s">
        <v>4243</v>
      </c>
      <c r="D754" s="34" t="s">
        <v>192</v>
      </c>
      <c r="E754" s="57" t="s">
        <v>4244</v>
      </c>
      <c r="F754" s="54" t="s">
        <v>140</v>
      </c>
      <c r="G754" s="54" t="s">
        <v>85</v>
      </c>
      <c r="H754" s="155">
        <v>43272.0</v>
      </c>
      <c r="I754" s="155">
        <v>43272.0</v>
      </c>
      <c r="J754" s="155">
        <v>43272.0</v>
      </c>
      <c r="K754" s="32" t="s">
        <v>70</v>
      </c>
      <c r="L754" s="34" t="s">
        <v>115</v>
      </c>
      <c r="M754" s="63" t="s">
        <v>313</v>
      </c>
      <c r="N754" s="32" t="s">
        <v>89</v>
      </c>
      <c r="O754" s="32" t="s">
        <v>142</v>
      </c>
      <c r="P754" s="57" t="s">
        <v>4245</v>
      </c>
      <c r="Q754" s="57" t="s">
        <v>4246</v>
      </c>
      <c r="R754" s="47"/>
      <c r="S754" s="32" t="s">
        <v>142</v>
      </c>
      <c r="T754" s="45" t="s">
        <v>4247</v>
      </c>
      <c r="U754" s="67" t="s">
        <v>4248</v>
      </c>
      <c r="V754" s="54" t="s">
        <v>80</v>
      </c>
      <c r="W754" s="57" t="s">
        <v>4249</v>
      </c>
      <c r="X754" s="57" t="s">
        <v>4250</v>
      </c>
      <c r="Y754" s="67" t="s">
        <v>4251</v>
      </c>
      <c r="Z754" s="32" t="s">
        <v>112</v>
      </c>
      <c r="AA754" s="47"/>
      <c r="AB754" s="60" t="s">
        <v>389</v>
      </c>
      <c r="AC754" s="32" t="s">
        <v>4252</v>
      </c>
      <c r="AD754" s="261">
        <v>43278.0</v>
      </c>
      <c r="AE754" s="47"/>
      <c r="AF754" s="54" t="s">
        <v>80</v>
      </c>
      <c r="AG754" s="56" t="s">
        <v>4253</v>
      </c>
      <c r="AH754" s="47"/>
      <c r="AI754" s="58"/>
      <c r="AJ754" s="77"/>
      <c r="AK754" s="83">
        <v>43153.0</v>
      </c>
      <c r="AL754" s="56" t="s">
        <v>262</v>
      </c>
    </row>
    <row r="755" ht="22.5" customHeight="1">
      <c r="A755" s="286" t="s">
        <v>4254</v>
      </c>
      <c r="B755" s="57" t="s">
        <v>808</v>
      </c>
      <c r="C755" s="57" t="s">
        <v>3951</v>
      </c>
      <c r="D755" s="54" t="s">
        <v>75</v>
      </c>
      <c r="E755" s="57" t="s">
        <v>3952</v>
      </c>
      <c r="F755" s="54" t="s">
        <v>140</v>
      </c>
      <c r="G755" s="54" t="s">
        <v>85</v>
      </c>
      <c r="H755" s="155">
        <v>43277.0</v>
      </c>
      <c r="I755" s="155">
        <v>43277.0</v>
      </c>
      <c r="J755" s="155">
        <v>43277.0</v>
      </c>
      <c r="K755" s="32" t="s">
        <v>70</v>
      </c>
      <c r="L755" s="54" t="s">
        <v>115</v>
      </c>
      <c r="M755" s="63" t="s">
        <v>383</v>
      </c>
      <c r="N755" s="32" t="s">
        <v>89</v>
      </c>
      <c r="O755" s="57" t="s">
        <v>2125</v>
      </c>
      <c r="P755" s="57"/>
      <c r="Q755" s="57" t="s">
        <v>4255</v>
      </c>
      <c r="R755" s="155">
        <v>43642.0</v>
      </c>
      <c r="S755" s="57" t="s">
        <v>2125</v>
      </c>
      <c r="T755" s="45" t="s">
        <v>3953</v>
      </c>
      <c r="U755" s="67" t="s">
        <v>4256</v>
      </c>
      <c r="V755" s="54" t="s">
        <v>74</v>
      </c>
      <c r="W755" s="57" t="s">
        <v>561</v>
      </c>
      <c r="X755" s="57" t="s">
        <v>3955</v>
      </c>
      <c r="Y755" s="67" t="s">
        <v>813</v>
      </c>
      <c r="Z755" s="32" t="s">
        <v>112</v>
      </c>
      <c r="AA755" s="47"/>
      <c r="AB755" s="60" t="s">
        <v>315</v>
      </c>
      <c r="AC755" s="60" t="s">
        <v>4257</v>
      </c>
      <c r="AD755" s="261">
        <v>43144.0</v>
      </c>
      <c r="AE755" s="47"/>
      <c r="AF755" s="54" t="s">
        <v>80</v>
      </c>
      <c r="AG755" s="56" t="s">
        <v>3956</v>
      </c>
      <c r="AH755" s="139" t="s">
        <v>1652</v>
      </c>
      <c r="AI755" s="58"/>
      <c r="AJ755" s="77"/>
      <c r="AK755" s="83">
        <v>42759.0</v>
      </c>
      <c r="AL755" s="56" t="s">
        <v>2373</v>
      </c>
    </row>
    <row r="756" ht="22.5" customHeight="1">
      <c r="A756" s="286" t="s">
        <v>4258</v>
      </c>
      <c r="B756" s="57" t="s">
        <v>1765</v>
      </c>
      <c r="C756" s="57" t="s">
        <v>4259</v>
      </c>
      <c r="D756" s="54" t="s">
        <v>75</v>
      </c>
      <c r="E756" s="57" t="s">
        <v>4260</v>
      </c>
      <c r="F756" s="54" t="s">
        <v>140</v>
      </c>
      <c r="G756" s="54" t="s">
        <v>85</v>
      </c>
      <c r="H756" s="155">
        <v>43278.0</v>
      </c>
      <c r="I756" s="155"/>
      <c r="J756" s="155">
        <v>43278.0</v>
      </c>
      <c r="K756" s="32" t="s">
        <v>70</v>
      </c>
      <c r="L756" s="54" t="s">
        <v>115</v>
      </c>
      <c r="M756" s="63" t="s">
        <v>88</v>
      </c>
      <c r="N756" s="32" t="s">
        <v>4106</v>
      </c>
      <c r="O756" s="38" t="s">
        <v>220</v>
      </c>
      <c r="P756" s="32"/>
      <c r="Q756" s="57" t="s">
        <v>4261</v>
      </c>
      <c r="R756" s="155">
        <v>45104.0</v>
      </c>
      <c r="S756" s="32" t="s">
        <v>220</v>
      </c>
      <c r="T756" s="45" t="s">
        <v>4262</v>
      </c>
      <c r="U756" s="67" t="s">
        <v>4263</v>
      </c>
      <c r="V756" s="54" t="s">
        <v>80</v>
      </c>
      <c r="W756" s="57" t="s">
        <v>4264</v>
      </c>
      <c r="X756" s="57" t="s">
        <v>4265</v>
      </c>
      <c r="Y756" s="67" t="s">
        <v>4266</v>
      </c>
      <c r="Z756" s="32" t="s">
        <v>112</v>
      </c>
      <c r="AA756" s="47"/>
      <c r="AB756" s="57" t="s">
        <v>4267</v>
      </c>
      <c r="AC756" s="32" t="s">
        <v>4268</v>
      </c>
      <c r="AD756" s="261">
        <v>43279.0</v>
      </c>
      <c r="AE756" s="57"/>
      <c r="AF756" s="54" t="s">
        <v>80</v>
      </c>
      <c r="AG756" s="56" t="s">
        <v>1775</v>
      </c>
      <c r="AH756" s="32" t="s">
        <v>4114</v>
      </c>
      <c r="AI756" s="41"/>
      <c r="AJ756" s="77"/>
      <c r="AK756" s="83">
        <v>43217.0</v>
      </c>
      <c r="AL756" s="56" t="s">
        <v>232</v>
      </c>
    </row>
    <row r="757" ht="22.5" customHeight="1">
      <c r="A757" s="286" t="s">
        <v>4269</v>
      </c>
      <c r="B757" s="57" t="s">
        <v>1693</v>
      </c>
      <c r="C757" s="32" t="s">
        <v>1694</v>
      </c>
      <c r="D757" s="41" t="s">
        <v>75</v>
      </c>
      <c r="E757" s="32" t="s">
        <v>1695</v>
      </c>
      <c r="F757" s="34" t="s">
        <v>140</v>
      </c>
      <c r="G757" s="34" t="s">
        <v>168</v>
      </c>
      <c r="H757" s="155">
        <v>43230.0</v>
      </c>
      <c r="I757" s="155">
        <v>43230.0</v>
      </c>
      <c r="J757" s="155"/>
      <c r="K757" s="32" t="s">
        <v>70</v>
      </c>
      <c r="L757" s="41" t="s">
        <v>115</v>
      </c>
      <c r="M757" s="63" t="s">
        <v>218</v>
      </c>
      <c r="N757" s="38" t="s">
        <v>89</v>
      </c>
      <c r="O757" s="32" t="s">
        <v>954</v>
      </c>
      <c r="P757" s="32"/>
      <c r="Q757" s="57" t="s">
        <v>3693</v>
      </c>
      <c r="R757" s="155">
        <v>43595.0</v>
      </c>
      <c r="S757" s="32" t="s">
        <v>1023</v>
      </c>
      <c r="T757" s="203" t="s">
        <v>1696</v>
      </c>
      <c r="U757" s="67" t="s">
        <v>4270</v>
      </c>
      <c r="V757" s="34" t="s">
        <v>80</v>
      </c>
      <c r="W757" s="60" t="s">
        <v>1699</v>
      </c>
      <c r="X757" s="109" t="s">
        <v>1700</v>
      </c>
      <c r="Y757" s="109" t="s">
        <v>1701</v>
      </c>
      <c r="Z757" s="32" t="s">
        <v>112</v>
      </c>
      <c r="AA757" s="47"/>
      <c r="AB757" s="60" t="s">
        <v>389</v>
      </c>
      <c r="AC757" s="32"/>
      <c r="AD757" s="261"/>
      <c r="AE757" s="57"/>
      <c r="AF757" s="54" t="s">
        <v>80</v>
      </c>
      <c r="AG757" s="56" t="s">
        <v>1703</v>
      </c>
      <c r="AH757" s="57"/>
      <c r="AI757" s="41"/>
      <c r="AJ757" s="77"/>
      <c r="AK757" s="58">
        <v>42103.0</v>
      </c>
      <c r="AL757" s="56" t="s">
        <v>965</v>
      </c>
    </row>
    <row r="758" ht="22.5" customHeight="1">
      <c r="A758" s="286" t="s">
        <v>4271</v>
      </c>
      <c r="B758" s="57" t="s">
        <v>4272</v>
      </c>
      <c r="C758" s="57" t="s">
        <v>4273</v>
      </c>
      <c r="D758" s="54" t="s">
        <v>75</v>
      </c>
      <c r="E758" s="57" t="s">
        <v>4274</v>
      </c>
      <c r="F758" s="54" t="s">
        <v>140</v>
      </c>
      <c r="G758" s="54" t="s">
        <v>85</v>
      </c>
      <c r="H758" s="155">
        <v>43271.0</v>
      </c>
      <c r="I758" s="155">
        <v>43271.0</v>
      </c>
      <c r="J758" s="47"/>
      <c r="K758" s="32" t="s">
        <v>70</v>
      </c>
      <c r="L758" s="41" t="s">
        <v>115</v>
      </c>
      <c r="M758" s="63" t="s">
        <v>218</v>
      </c>
      <c r="N758" s="32" t="s">
        <v>89</v>
      </c>
      <c r="O758" s="32" t="s">
        <v>196</v>
      </c>
      <c r="P758" s="47"/>
      <c r="Q758" s="57" t="s">
        <v>4275</v>
      </c>
      <c r="R758" s="155">
        <v>44348.0</v>
      </c>
      <c r="S758" s="32" t="s">
        <v>196</v>
      </c>
      <c r="T758" s="45" t="s">
        <v>4276</v>
      </c>
      <c r="U758" s="67" t="s">
        <v>4277</v>
      </c>
      <c r="V758" s="54" t="s">
        <v>80</v>
      </c>
      <c r="W758" s="57" t="s">
        <v>4278</v>
      </c>
      <c r="X758" s="57" t="s">
        <v>4279</v>
      </c>
      <c r="Y758" s="67" t="s">
        <v>4280</v>
      </c>
      <c r="Z758" s="32" t="s">
        <v>112</v>
      </c>
      <c r="AA758" s="47"/>
      <c r="AB758" s="57" t="s">
        <v>481</v>
      </c>
      <c r="AC758" s="60" t="s">
        <v>4281</v>
      </c>
      <c r="AD758" s="261">
        <v>43280.0</v>
      </c>
      <c r="AE758" s="47"/>
      <c r="AF758" s="54" t="s">
        <v>80</v>
      </c>
      <c r="AG758" s="56" t="s">
        <v>4282</v>
      </c>
      <c r="AH758" s="32" t="s">
        <v>4283</v>
      </c>
      <c r="AI758" s="58"/>
      <c r="AJ758" s="77"/>
      <c r="AK758" s="83">
        <v>42530.0</v>
      </c>
      <c r="AL758" s="56" t="s">
        <v>208</v>
      </c>
    </row>
    <row r="759" ht="22.5" customHeight="1">
      <c r="A759" s="286" t="s">
        <v>4284</v>
      </c>
      <c r="B759" s="57" t="s">
        <v>1321</v>
      </c>
      <c r="C759" s="57" t="s">
        <v>1322</v>
      </c>
      <c r="D759" s="34" t="s">
        <v>845</v>
      </c>
      <c r="E759" s="38" t="s">
        <v>1323</v>
      </c>
      <c r="F759" s="34" t="s">
        <v>140</v>
      </c>
      <c r="G759" s="34" t="s">
        <v>168</v>
      </c>
      <c r="H759" s="155">
        <v>43277.0</v>
      </c>
      <c r="I759" s="155">
        <v>43262.0</v>
      </c>
      <c r="J759" s="155">
        <v>43277.0</v>
      </c>
      <c r="K759" s="32" t="s">
        <v>70</v>
      </c>
      <c r="L759" s="34" t="s">
        <v>115</v>
      </c>
      <c r="M759" s="42" t="s">
        <v>88</v>
      </c>
      <c r="N759" s="32" t="s">
        <v>89</v>
      </c>
      <c r="O759" s="32" t="s">
        <v>989</v>
      </c>
      <c r="P759" s="47"/>
      <c r="Q759" s="57" t="s">
        <v>4068</v>
      </c>
      <c r="R759" s="155">
        <v>44373.0</v>
      </c>
      <c r="S759" s="32" t="s">
        <v>196</v>
      </c>
      <c r="T759" s="45" t="s">
        <v>1324</v>
      </c>
      <c r="U759" s="67" t="s">
        <v>4285</v>
      </c>
      <c r="V759" s="54" t="s">
        <v>80</v>
      </c>
      <c r="W759" s="32" t="s">
        <v>561</v>
      </c>
      <c r="X759" s="32" t="s">
        <v>1326</v>
      </c>
      <c r="Y759" s="109" t="s">
        <v>1327</v>
      </c>
      <c r="Z759" s="32" t="s">
        <v>112</v>
      </c>
      <c r="AA759" s="47"/>
      <c r="AB759" s="32" t="s">
        <v>113</v>
      </c>
      <c r="AC759" s="60"/>
      <c r="AD759" s="261"/>
      <c r="AE759" s="47"/>
      <c r="AF759" s="54" t="s">
        <v>80</v>
      </c>
      <c r="AG759" s="56" t="s">
        <v>1329</v>
      </c>
      <c r="AH759" s="57"/>
      <c r="AI759" s="58"/>
      <c r="AJ759" s="77"/>
      <c r="AK759" s="58">
        <v>41619.0</v>
      </c>
      <c r="AL759" s="56" t="s">
        <v>1004</v>
      </c>
    </row>
    <row r="760" ht="22.5" customHeight="1">
      <c r="A760" s="286" t="s">
        <v>4286</v>
      </c>
      <c r="B760" s="57" t="s">
        <v>4287</v>
      </c>
      <c r="C760" s="57" t="s">
        <v>4288</v>
      </c>
      <c r="D760" s="54" t="s">
        <v>75</v>
      </c>
      <c r="E760" s="57" t="s">
        <v>4289</v>
      </c>
      <c r="F760" s="54" t="s">
        <v>93</v>
      </c>
      <c r="G760" s="54" t="s">
        <v>85</v>
      </c>
      <c r="H760" s="155">
        <v>43291.0</v>
      </c>
      <c r="I760" s="155">
        <v>43263.0</v>
      </c>
      <c r="J760" s="155">
        <v>43291.0</v>
      </c>
      <c r="K760" s="32" t="s">
        <v>70</v>
      </c>
      <c r="L760" s="34" t="s">
        <v>115</v>
      </c>
      <c r="M760" s="63" t="s">
        <v>218</v>
      </c>
      <c r="N760" s="32" t="s">
        <v>89</v>
      </c>
      <c r="O760" s="32" t="s">
        <v>4015</v>
      </c>
      <c r="P760" s="47"/>
      <c r="Q760" s="57"/>
      <c r="R760" s="47"/>
      <c r="S760" s="32" t="s">
        <v>4015</v>
      </c>
      <c r="T760" s="45" t="s">
        <v>4290</v>
      </c>
      <c r="U760" s="67" t="s">
        <v>4291</v>
      </c>
      <c r="V760" s="54" t="s">
        <v>80</v>
      </c>
      <c r="W760" s="57" t="s">
        <v>4292</v>
      </c>
      <c r="X760" s="57" t="s">
        <v>4293</v>
      </c>
      <c r="Y760" s="67" t="s">
        <v>4294</v>
      </c>
      <c r="Z760" s="32" t="s">
        <v>112</v>
      </c>
      <c r="AA760" s="47"/>
      <c r="AB760" s="60" t="s">
        <v>113</v>
      </c>
      <c r="AC760" s="32" t="s">
        <v>4295</v>
      </c>
      <c r="AD760" s="261">
        <v>43291.0</v>
      </c>
      <c r="AE760" s="47"/>
      <c r="AF760" s="54" t="s">
        <v>80</v>
      </c>
      <c r="AG760" s="56" t="s">
        <v>4296</v>
      </c>
      <c r="AH760" s="47"/>
      <c r="AI760" s="58"/>
      <c r="AJ760" s="83">
        <v>42941.0</v>
      </c>
      <c r="AK760" s="83">
        <v>43208.0</v>
      </c>
      <c r="AL760" s="63"/>
    </row>
    <row r="761" ht="22.5" customHeight="1">
      <c r="A761" s="286" t="s">
        <v>4297</v>
      </c>
      <c r="B761" s="57" t="s">
        <v>3385</v>
      </c>
      <c r="C761" s="57" t="s">
        <v>3696</v>
      </c>
      <c r="D761" s="54" t="s">
        <v>75</v>
      </c>
      <c r="E761" s="57" t="s">
        <v>3697</v>
      </c>
      <c r="F761" s="54" t="s">
        <v>93</v>
      </c>
      <c r="G761" s="34" t="s">
        <v>168</v>
      </c>
      <c r="H761" s="155">
        <v>43284.0</v>
      </c>
      <c r="I761" s="155">
        <v>43284.0</v>
      </c>
      <c r="J761" s="155">
        <v>43284.0</v>
      </c>
      <c r="K761" s="32" t="s">
        <v>70</v>
      </c>
      <c r="L761" s="54" t="s">
        <v>115</v>
      </c>
      <c r="M761" s="63" t="s">
        <v>218</v>
      </c>
      <c r="N761" s="32" t="s">
        <v>89</v>
      </c>
      <c r="O761" s="32" t="s">
        <v>1023</v>
      </c>
      <c r="P761" s="47"/>
      <c r="Q761" s="57" t="s">
        <v>3562</v>
      </c>
      <c r="R761" s="155">
        <v>43477.0</v>
      </c>
      <c r="S761" s="57" t="s">
        <v>116</v>
      </c>
      <c r="T761" s="45" t="s">
        <v>3698</v>
      </c>
      <c r="U761" s="67" t="s">
        <v>4298</v>
      </c>
      <c r="V761" s="34" t="s">
        <v>80</v>
      </c>
      <c r="W761" s="57" t="s">
        <v>3390</v>
      </c>
      <c r="X761" s="57" t="s">
        <v>3391</v>
      </c>
      <c r="Y761" s="67" t="s">
        <v>3392</v>
      </c>
      <c r="Z761" s="32" t="s">
        <v>112</v>
      </c>
      <c r="AA761" s="47"/>
      <c r="AB761" s="32" t="s">
        <v>113</v>
      </c>
      <c r="AC761" s="32"/>
      <c r="AD761" s="261"/>
      <c r="AE761" s="47"/>
      <c r="AF761" s="54" t="s">
        <v>80</v>
      </c>
      <c r="AG761" s="56" t="s">
        <v>3393</v>
      </c>
      <c r="AH761" s="47"/>
      <c r="AI761" s="58"/>
      <c r="AJ761" s="83"/>
      <c r="AK761" s="83">
        <v>42838.0</v>
      </c>
      <c r="AL761" s="56" t="s">
        <v>1028</v>
      </c>
    </row>
    <row r="762" ht="22.5" customHeight="1">
      <c r="A762" s="286" t="s">
        <v>4299</v>
      </c>
      <c r="B762" s="57" t="s">
        <v>888</v>
      </c>
      <c r="C762" s="57" t="s">
        <v>2745</v>
      </c>
      <c r="D762" s="34" t="s">
        <v>752</v>
      </c>
      <c r="E762" s="32" t="s">
        <v>2746</v>
      </c>
      <c r="F762" s="34" t="s">
        <v>93</v>
      </c>
      <c r="G762" s="34" t="s">
        <v>168</v>
      </c>
      <c r="H762" s="155">
        <v>43021.0</v>
      </c>
      <c r="I762" s="155">
        <v>43021.0</v>
      </c>
      <c r="J762" s="155">
        <v>43021.0</v>
      </c>
      <c r="K762" s="32" t="s">
        <v>70</v>
      </c>
      <c r="L762" s="34" t="s">
        <v>115</v>
      </c>
      <c r="M762" s="63" t="s">
        <v>218</v>
      </c>
      <c r="N762" s="32" t="s">
        <v>434</v>
      </c>
      <c r="O762" s="32" t="s">
        <v>196</v>
      </c>
      <c r="P762" s="57" t="s">
        <v>1569</v>
      </c>
      <c r="Q762" s="57" t="s">
        <v>2928</v>
      </c>
      <c r="R762" s="155">
        <v>44117.0</v>
      </c>
      <c r="S762" s="32" t="s">
        <v>116</v>
      </c>
      <c r="T762" s="56" t="s">
        <v>1931</v>
      </c>
      <c r="U762" s="67" t="s">
        <v>4300</v>
      </c>
      <c r="V762" s="54" t="s">
        <v>80</v>
      </c>
      <c r="W762" s="32" t="s">
        <v>897</v>
      </c>
      <c r="X762" s="109" t="s">
        <v>898</v>
      </c>
      <c r="Y762" s="109" t="s">
        <v>899</v>
      </c>
      <c r="Z762" s="32" t="s">
        <v>112</v>
      </c>
      <c r="AA762" s="47"/>
      <c r="AB762" s="32" t="s">
        <v>481</v>
      </c>
      <c r="AC762" s="32"/>
      <c r="AD762" s="261"/>
      <c r="AE762" s="47"/>
      <c r="AF762" s="34" t="s">
        <v>80</v>
      </c>
      <c r="AG762" s="56" t="s">
        <v>900</v>
      </c>
      <c r="AH762" s="47"/>
      <c r="AI762" s="58"/>
      <c r="AJ762" s="83"/>
      <c r="AK762" s="155">
        <v>42212.0</v>
      </c>
      <c r="AL762" s="56" t="s">
        <v>208</v>
      </c>
    </row>
    <row r="763" ht="22.5" customHeight="1">
      <c r="A763" s="286" t="s">
        <v>4301</v>
      </c>
      <c r="B763" s="57" t="s">
        <v>2401</v>
      </c>
      <c r="C763" s="57" t="s">
        <v>2402</v>
      </c>
      <c r="D763" s="41" t="s">
        <v>75</v>
      </c>
      <c r="E763" s="149" t="s">
        <v>2403</v>
      </c>
      <c r="F763" s="34" t="s">
        <v>140</v>
      </c>
      <c r="G763" s="34" t="s">
        <v>168</v>
      </c>
      <c r="H763" s="155">
        <v>43280.0</v>
      </c>
      <c r="I763" s="155">
        <v>43280.0</v>
      </c>
      <c r="J763" s="155">
        <v>43280.0</v>
      </c>
      <c r="K763" s="32" t="s">
        <v>70</v>
      </c>
      <c r="L763" s="41" t="s">
        <v>115</v>
      </c>
      <c r="M763" s="42" t="s">
        <v>88</v>
      </c>
      <c r="N763" s="38" t="s">
        <v>89</v>
      </c>
      <c r="O763" s="32" t="s">
        <v>1023</v>
      </c>
      <c r="P763" s="57"/>
      <c r="Q763" s="57" t="s">
        <v>3562</v>
      </c>
      <c r="R763" s="155">
        <v>44376.0</v>
      </c>
      <c r="S763" s="32" t="s">
        <v>142</v>
      </c>
      <c r="T763" s="56" t="s">
        <v>2404</v>
      </c>
      <c r="U763" s="67" t="s">
        <v>4302</v>
      </c>
      <c r="V763" s="34" t="s">
        <v>80</v>
      </c>
      <c r="W763" s="149" t="s">
        <v>2406</v>
      </c>
      <c r="X763" s="198" t="s">
        <v>2407</v>
      </c>
      <c r="Y763" s="152" t="s">
        <v>2408</v>
      </c>
      <c r="Z763" s="32" t="s">
        <v>112</v>
      </c>
      <c r="AA763" s="47"/>
      <c r="AB763" s="60" t="s">
        <v>389</v>
      </c>
      <c r="AC763" s="32"/>
      <c r="AD763" s="261"/>
      <c r="AE763" s="47"/>
      <c r="AF763" s="34" t="s">
        <v>80</v>
      </c>
      <c r="AG763" s="56" t="s">
        <v>2409</v>
      </c>
      <c r="AH763" s="47"/>
      <c r="AI763" s="58"/>
      <c r="AJ763" s="83"/>
      <c r="AK763" s="132">
        <v>42012.0</v>
      </c>
      <c r="AL763" s="56" t="s">
        <v>1028</v>
      </c>
    </row>
    <row r="764" ht="22.5" customHeight="1">
      <c r="A764" s="286" t="s">
        <v>4303</v>
      </c>
      <c r="B764" s="57" t="s">
        <v>888</v>
      </c>
      <c r="C764" s="32" t="s">
        <v>889</v>
      </c>
      <c r="D764" s="34" t="s">
        <v>752</v>
      </c>
      <c r="E764" s="38" t="s">
        <v>892</v>
      </c>
      <c r="F764" s="34" t="s">
        <v>93</v>
      </c>
      <c r="G764" s="34" t="s">
        <v>168</v>
      </c>
      <c r="H764" s="155">
        <v>43300.0</v>
      </c>
      <c r="I764" s="155">
        <v>43300.0</v>
      </c>
      <c r="J764" s="155"/>
      <c r="K764" s="32" t="s">
        <v>70</v>
      </c>
      <c r="L764" s="34" t="s">
        <v>115</v>
      </c>
      <c r="M764" s="42" t="s">
        <v>88</v>
      </c>
      <c r="N764" s="38" t="s">
        <v>89</v>
      </c>
      <c r="O764" s="32" t="s">
        <v>1547</v>
      </c>
      <c r="P764" s="57"/>
      <c r="Q764" s="57" t="s">
        <v>4304</v>
      </c>
      <c r="R764" s="155"/>
      <c r="S764" s="32" t="s">
        <v>116</v>
      </c>
      <c r="T764" s="56" t="s">
        <v>1950</v>
      </c>
      <c r="U764" s="67" t="s">
        <v>4305</v>
      </c>
      <c r="V764" s="34" t="s">
        <v>74</v>
      </c>
      <c r="W764" s="172" t="s">
        <v>897</v>
      </c>
      <c r="X764" s="111" t="s">
        <v>898</v>
      </c>
      <c r="Y764" s="109" t="s">
        <v>899</v>
      </c>
      <c r="Z764" s="32" t="s">
        <v>112</v>
      </c>
      <c r="AA764" s="47"/>
      <c r="AB764" s="149" t="s">
        <v>481</v>
      </c>
      <c r="AC764" s="32"/>
      <c r="AD764" s="261"/>
      <c r="AE764" s="47"/>
      <c r="AF764" s="34" t="s">
        <v>80</v>
      </c>
      <c r="AG764" s="56" t="s">
        <v>900</v>
      </c>
      <c r="AH764" s="47"/>
      <c r="AI764" s="58"/>
      <c r="AJ764" s="83"/>
      <c r="AK764" s="155">
        <v>41352.0</v>
      </c>
      <c r="AL764" s="56" t="s">
        <v>1552</v>
      </c>
    </row>
    <row r="765" ht="22.5" customHeight="1">
      <c r="A765" s="286" t="s">
        <v>4306</v>
      </c>
      <c r="B765" s="57" t="s">
        <v>888</v>
      </c>
      <c r="C765" s="32" t="s">
        <v>3555</v>
      </c>
      <c r="D765" s="41" t="s">
        <v>75</v>
      </c>
      <c r="E765" s="38" t="s">
        <v>1282</v>
      </c>
      <c r="F765" s="34" t="s">
        <v>140</v>
      </c>
      <c r="G765" s="34" t="s">
        <v>168</v>
      </c>
      <c r="H765" s="155">
        <v>43300.0</v>
      </c>
      <c r="I765" s="155">
        <v>43300.0</v>
      </c>
      <c r="J765" s="155"/>
      <c r="K765" s="32" t="s">
        <v>70</v>
      </c>
      <c r="L765" s="34" t="s">
        <v>115</v>
      </c>
      <c r="M765" s="32" t="s">
        <v>88</v>
      </c>
      <c r="N765" s="32" t="s">
        <v>89</v>
      </c>
      <c r="O765" s="32" t="s">
        <v>1547</v>
      </c>
      <c r="P765" s="57"/>
      <c r="Q765" s="57" t="s">
        <v>4304</v>
      </c>
      <c r="R765" s="155"/>
      <c r="S765" s="32" t="s">
        <v>196</v>
      </c>
      <c r="T765" s="45" t="s">
        <v>1285</v>
      </c>
      <c r="U765" s="67" t="s">
        <v>4307</v>
      </c>
      <c r="V765" s="34" t="s">
        <v>74</v>
      </c>
      <c r="W765" s="32" t="s">
        <v>561</v>
      </c>
      <c r="X765" s="60" t="s">
        <v>1287</v>
      </c>
      <c r="Y765" s="45" t="s">
        <v>1288</v>
      </c>
      <c r="Z765" s="32" t="s">
        <v>112</v>
      </c>
      <c r="AA765" s="47"/>
      <c r="AB765" s="32" t="s">
        <v>113</v>
      </c>
      <c r="AC765" s="32"/>
      <c r="AD765" s="261"/>
      <c r="AE765" s="47"/>
      <c r="AF765" s="34" t="s">
        <v>80</v>
      </c>
      <c r="AG765" s="56" t="s">
        <v>900</v>
      </c>
      <c r="AH765" s="47"/>
      <c r="AI765" s="58"/>
      <c r="AJ765" s="83"/>
      <c r="AK765" s="155">
        <v>41770.0</v>
      </c>
      <c r="AL765" s="56" t="s">
        <v>1552</v>
      </c>
    </row>
    <row r="766" ht="22.5" customHeight="1">
      <c r="A766" s="286" t="s">
        <v>4308</v>
      </c>
      <c r="B766" s="57" t="s">
        <v>987</v>
      </c>
      <c r="C766" s="32" t="s">
        <v>988</v>
      </c>
      <c r="D766" s="54" t="s">
        <v>75</v>
      </c>
      <c r="E766" s="57" t="s">
        <v>990</v>
      </c>
      <c r="F766" s="54" t="s">
        <v>93</v>
      </c>
      <c r="G766" s="34" t="s">
        <v>168</v>
      </c>
      <c r="H766" s="155">
        <v>43300.0</v>
      </c>
      <c r="I766" s="155"/>
      <c r="J766" s="155">
        <v>43300.0</v>
      </c>
      <c r="K766" s="32" t="s">
        <v>70</v>
      </c>
      <c r="L766" s="41" t="s">
        <v>115</v>
      </c>
      <c r="M766" s="63" t="s">
        <v>218</v>
      </c>
      <c r="N766" s="38" t="s">
        <v>89</v>
      </c>
      <c r="O766" s="38" t="s">
        <v>220</v>
      </c>
      <c r="P766" s="57"/>
      <c r="Q766" s="57" t="s">
        <v>4309</v>
      </c>
      <c r="R766" s="155">
        <v>43477.0</v>
      </c>
      <c r="S766" s="32" t="s">
        <v>116</v>
      </c>
      <c r="T766" s="203" t="s">
        <v>997</v>
      </c>
      <c r="U766" s="67" t="s">
        <v>4310</v>
      </c>
      <c r="V766" s="34" t="s">
        <v>80</v>
      </c>
      <c r="W766" s="63" t="s">
        <v>1001</v>
      </c>
      <c r="X766" s="63" t="s">
        <v>1002</v>
      </c>
      <c r="Y766" s="56" t="s">
        <v>1003</v>
      </c>
      <c r="Z766" s="32" t="s">
        <v>112</v>
      </c>
      <c r="AA766" s="47"/>
      <c r="AB766" s="32" t="s">
        <v>113</v>
      </c>
      <c r="AC766" s="32"/>
      <c r="AD766" s="261"/>
      <c r="AE766" s="47"/>
      <c r="AF766" s="34" t="s">
        <v>80</v>
      </c>
      <c r="AG766" s="56" t="s">
        <v>1005</v>
      </c>
      <c r="AH766" s="47"/>
      <c r="AI766" s="58"/>
      <c r="AJ766" s="83"/>
      <c r="AK766" s="83">
        <v>41736.0</v>
      </c>
      <c r="AL766" s="56" t="s">
        <v>232</v>
      </c>
    </row>
    <row r="767" ht="22.5" customHeight="1">
      <c r="A767" s="286" t="s">
        <v>4311</v>
      </c>
      <c r="B767" s="57" t="s">
        <v>888</v>
      </c>
      <c r="C767" s="32" t="s">
        <v>3555</v>
      </c>
      <c r="D767" s="41" t="s">
        <v>75</v>
      </c>
      <c r="E767" s="38" t="s">
        <v>1282</v>
      </c>
      <c r="F767" s="34" t="s">
        <v>140</v>
      </c>
      <c r="G767" s="34" t="s">
        <v>168</v>
      </c>
      <c r="H767" s="155">
        <v>43304.0</v>
      </c>
      <c r="I767" s="155"/>
      <c r="J767" s="155">
        <v>43304.0</v>
      </c>
      <c r="K767" s="32" t="s">
        <v>70</v>
      </c>
      <c r="L767" s="34" t="s">
        <v>115</v>
      </c>
      <c r="M767" s="32" t="s">
        <v>88</v>
      </c>
      <c r="N767" s="32" t="s">
        <v>89</v>
      </c>
      <c r="O767" s="32" t="s">
        <v>954</v>
      </c>
      <c r="P767" s="32" t="s">
        <v>2000</v>
      </c>
      <c r="Q767" s="57" t="s">
        <v>4312</v>
      </c>
      <c r="R767" s="155">
        <v>43669.0</v>
      </c>
      <c r="S767" s="32" t="s">
        <v>196</v>
      </c>
      <c r="T767" s="45" t="s">
        <v>1285</v>
      </c>
      <c r="U767" s="67" t="s">
        <v>4313</v>
      </c>
      <c r="V767" s="34" t="s">
        <v>80</v>
      </c>
      <c r="W767" s="32" t="s">
        <v>561</v>
      </c>
      <c r="X767" s="60" t="s">
        <v>1287</v>
      </c>
      <c r="Y767" s="45" t="s">
        <v>1288</v>
      </c>
      <c r="Z767" s="32" t="s">
        <v>112</v>
      </c>
      <c r="AA767" s="47"/>
      <c r="AB767" s="32" t="s">
        <v>113</v>
      </c>
      <c r="AC767" s="32"/>
      <c r="AD767" s="261"/>
      <c r="AE767" s="47"/>
      <c r="AF767" s="34" t="s">
        <v>80</v>
      </c>
      <c r="AG767" s="56" t="s">
        <v>900</v>
      </c>
      <c r="AH767" s="47"/>
      <c r="AI767" s="58"/>
      <c r="AJ767" s="83"/>
      <c r="AK767" s="155">
        <v>41770.0</v>
      </c>
      <c r="AL767" s="56" t="s">
        <v>965</v>
      </c>
    </row>
    <row r="768" ht="22.5" customHeight="1">
      <c r="A768" s="286" t="s">
        <v>4314</v>
      </c>
      <c r="B768" s="57" t="s">
        <v>4315</v>
      </c>
      <c r="C768" s="57" t="s">
        <v>4316</v>
      </c>
      <c r="D768" s="54" t="s">
        <v>75</v>
      </c>
      <c r="E768" s="57" t="s">
        <v>4317</v>
      </c>
      <c r="F768" s="39" t="s">
        <v>140</v>
      </c>
      <c r="G768" s="39" t="s">
        <v>85</v>
      </c>
      <c r="H768" s="155">
        <v>43252.0</v>
      </c>
      <c r="I768" s="155">
        <v>43252.0</v>
      </c>
      <c r="J768" s="155">
        <v>43252.0</v>
      </c>
      <c r="K768" s="32" t="s">
        <v>70</v>
      </c>
      <c r="L768" s="34" t="s">
        <v>115</v>
      </c>
      <c r="M768" s="63" t="s">
        <v>218</v>
      </c>
      <c r="N768" s="32" t="s">
        <v>89</v>
      </c>
      <c r="O768" s="32" t="s">
        <v>605</v>
      </c>
      <c r="P768" s="47"/>
      <c r="Q768" s="57" t="s">
        <v>4318</v>
      </c>
      <c r="R768" s="47"/>
      <c r="S768" s="32" t="s">
        <v>605</v>
      </c>
      <c r="T768" s="45" t="s">
        <v>4319</v>
      </c>
      <c r="U768" s="67" t="s">
        <v>4320</v>
      </c>
      <c r="V768" s="54" t="s">
        <v>74</v>
      </c>
      <c r="W768" s="57" t="s">
        <v>4321</v>
      </c>
      <c r="X768" s="57" t="s">
        <v>4322</v>
      </c>
      <c r="Y768" s="67" t="s">
        <v>4323</v>
      </c>
      <c r="Z768" s="32" t="s">
        <v>112</v>
      </c>
      <c r="AA768" s="47"/>
      <c r="AB768" s="60" t="s">
        <v>575</v>
      </c>
      <c r="AC768" s="32" t="s">
        <v>4324</v>
      </c>
      <c r="AD768" s="261">
        <v>43306.0</v>
      </c>
      <c r="AE768" s="47"/>
      <c r="AF768" s="54" t="s">
        <v>80</v>
      </c>
      <c r="AG768" s="56" t="s">
        <v>4325</v>
      </c>
      <c r="AH768" s="47"/>
      <c r="AI768" s="58"/>
      <c r="AJ768" s="83"/>
      <c r="AK768" s="83">
        <v>43026.0</v>
      </c>
      <c r="AL768" s="56" t="s">
        <v>631</v>
      </c>
    </row>
    <row r="769" ht="22.5" customHeight="1">
      <c r="A769" s="286" t="s">
        <v>4326</v>
      </c>
      <c r="B769" s="250" t="s">
        <v>4327</v>
      </c>
      <c r="C769" s="250" t="s">
        <v>4328</v>
      </c>
      <c r="D769" s="39" t="s">
        <v>75</v>
      </c>
      <c r="E769" s="259" t="s">
        <v>4329</v>
      </c>
      <c r="F769" s="39" t="s">
        <v>140</v>
      </c>
      <c r="G769" s="39" t="s">
        <v>85</v>
      </c>
      <c r="H769" s="48">
        <v>43258.0</v>
      </c>
      <c r="I769" s="48">
        <v>43258.0</v>
      </c>
      <c r="J769" s="48">
        <v>43258.0</v>
      </c>
      <c r="K769" s="121" t="s">
        <v>70</v>
      </c>
      <c r="L769" s="34" t="s">
        <v>115</v>
      </c>
      <c r="M769" s="259" t="s">
        <v>313</v>
      </c>
      <c r="N769" s="121" t="s">
        <v>89</v>
      </c>
      <c r="O769" s="32" t="s">
        <v>1608</v>
      </c>
      <c r="P769" s="47"/>
      <c r="Q769" s="32" t="s">
        <v>2931</v>
      </c>
      <c r="R769" s="36"/>
      <c r="S769" s="32" t="s">
        <v>1608</v>
      </c>
      <c r="T769" s="45" t="s">
        <v>4330</v>
      </c>
      <c r="U769" s="45" t="s">
        <v>4331</v>
      </c>
      <c r="V769" s="34" t="s">
        <v>74</v>
      </c>
      <c r="W769" s="250" t="s">
        <v>4332</v>
      </c>
      <c r="X769" s="63" t="s">
        <v>4333</v>
      </c>
      <c r="Y769" s="317" t="s">
        <v>4334</v>
      </c>
      <c r="Z769" s="32" t="s">
        <v>112</v>
      </c>
      <c r="AA769" s="38"/>
      <c r="AB769" s="123" t="s">
        <v>113</v>
      </c>
      <c r="AC769" s="250" t="s">
        <v>4335</v>
      </c>
      <c r="AD769" s="306">
        <v>43307.0</v>
      </c>
      <c r="AE769" s="57"/>
      <c r="AF769" s="39" t="s">
        <v>80</v>
      </c>
      <c r="AG769" s="56" t="s">
        <v>4336</v>
      </c>
      <c r="AH769" s="32" t="s">
        <v>4337</v>
      </c>
      <c r="AI769" s="155"/>
      <c r="AJ769" s="47"/>
      <c r="AK769" s="58">
        <v>43137.0</v>
      </c>
      <c r="AL769" s="56" t="s">
        <v>2933</v>
      </c>
    </row>
    <row r="770" ht="22.5" customHeight="1">
      <c r="A770" s="286" t="s">
        <v>4338</v>
      </c>
      <c r="B770" s="63" t="s">
        <v>987</v>
      </c>
      <c r="C770" s="63" t="s">
        <v>988</v>
      </c>
      <c r="D770" s="54" t="s">
        <v>75</v>
      </c>
      <c r="E770" s="57" t="s">
        <v>990</v>
      </c>
      <c r="F770" s="54" t="s">
        <v>93</v>
      </c>
      <c r="G770" s="34" t="s">
        <v>168</v>
      </c>
      <c r="H770" s="48">
        <v>43304.0</v>
      </c>
      <c r="I770" s="48">
        <v>43304.0</v>
      </c>
      <c r="J770" s="48">
        <v>43304.0</v>
      </c>
      <c r="K770" s="32" t="s">
        <v>70</v>
      </c>
      <c r="L770" s="41" t="s">
        <v>115</v>
      </c>
      <c r="M770" s="63" t="s">
        <v>218</v>
      </c>
      <c r="N770" s="38" t="s">
        <v>89</v>
      </c>
      <c r="O770" s="32" t="s">
        <v>196</v>
      </c>
      <c r="P770" s="57" t="s">
        <v>1569</v>
      </c>
      <c r="Q770" s="32" t="s">
        <v>2928</v>
      </c>
      <c r="R770" s="48">
        <v>44400.0</v>
      </c>
      <c r="S770" s="32" t="s">
        <v>116</v>
      </c>
      <c r="T770" s="203" t="s">
        <v>997</v>
      </c>
      <c r="U770" s="45" t="s">
        <v>4339</v>
      </c>
      <c r="V770" s="34" t="s">
        <v>80</v>
      </c>
      <c r="W770" s="63" t="s">
        <v>1001</v>
      </c>
      <c r="X770" s="63" t="s">
        <v>1002</v>
      </c>
      <c r="Y770" s="56" t="s">
        <v>1003</v>
      </c>
      <c r="Z770" s="32" t="s">
        <v>112</v>
      </c>
      <c r="AA770" s="38"/>
      <c r="AB770" s="32" t="s">
        <v>113</v>
      </c>
      <c r="AC770" s="250"/>
      <c r="AD770" s="306"/>
      <c r="AE770" s="57"/>
      <c r="AF770" s="34" t="s">
        <v>80</v>
      </c>
      <c r="AG770" s="56" t="s">
        <v>1005</v>
      </c>
      <c r="AH770" s="32"/>
      <c r="AI770" s="155"/>
      <c r="AJ770" s="47"/>
      <c r="AK770" s="83">
        <v>41736.0</v>
      </c>
      <c r="AL770" s="56" t="s">
        <v>208</v>
      </c>
    </row>
    <row r="771" ht="22.5" customHeight="1">
      <c r="A771" s="286" t="s">
        <v>4340</v>
      </c>
      <c r="B771" s="57" t="s">
        <v>4341</v>
      </c>
      <c r="C771" s="57" t="s">
        <v>4342</v>
      </c>
      <c r="D771" s="54" t="s">
        <v>75</v>
      </c>
      <c r="E771" s="57" t="s">
        <v>4343</v>
      </c>
      <c r="F771" s="54" t="s">
        <v>140</v>
      </c>
      <c r="G771" s="54" t="s">
        <v>85</v>
      </c>
      <c r="H771" s="155">
        <v>43299.0</v>
      </c>
      <c r="I771" s="155">
        <v>43299.0</v>
      </c>
      <c r="J771" s="47"/>
      <c r="K771" s="32" t="s">
        <v>70</v>
      </c>
      <c r="L771" s="41" t="s">
        <v>115</v>
      </c>
      <c r="M771" s="63" t="s">
        <v>88</v>
      </c>
      <c r="N771" s="32" t="s">
        <v>4106</v>
      </c>
      <c r="O771" s="57" t="s">
        <v>954</v>
      </c>
      <c r="P771" s="32"/>
      <c r="Q771" s="57" t="s">
        <v>1654</v>
      </c>
      <c r="R771" s="47"/>
      <c r="S771" s="57" t="s">
        <v>954</v>
      </c>
      <c r="T771" s="45" t="s">
        <v>4344</v>
      </c>
      <c r="U771" s="67" t="s">
        <v>4345</v>
      </c>
      <c r="V771" s="54" t="s">
        <v>80</v>
      </c>
      <c r="W771" s="57" t="s">
        <v>4346</v>
      </c>
      <c r="X771" s="60" t="s">
        <v>4347</v>
      </c>
      <c r="Y771" s="67" t="s">
        <v>4348</v>
      </c>
      <c r="Z771" s="32" t="s">
        <v>112</v>
      </c>
      <c r="AA771" s="47"/>
      <c r="AB771" s="60" t="s">
        <v>113</v>
      </c>
      <c r="AC771" s="60" t="s">
        <v>4349</v>
      </c>
      <c r="AD771" s="261">
        <v>43314.0</v>
      </c>
      <c r="AE771" s="47"/>
      <c r="AF771" s="54" t="s">
        <v>80</v>
      </c>
      <c r="AG771" s="56" t="s">
        <v>4350</v>
      </c>
      <c r="AH771" s="57" t="s">
        <v>193</v>
      </c>
      <c r="AI771" s="58"/>
      <c r="AJ771" s="77"/>
      <c r="AK771" s="83">
        <v>43203.0</v>
      </c>
      <c r="AL771" s="56" t="s">
        <v>965</v>
      </c>
    </row>
    <row r="772" ht="22.5" customHeight="1">
      <c r="A772" s="286" t="s">
        <v>4351</v>
      </c>
      <c r="B772" s="57" t="s">
        <v>2375</v>
      </c>
      <c r="C772" s="57" t="s">
        <v>2376</v>
      </c>
      <c r="D772" s="142" t="s">
        <v>75</v>
      </c>
      <c r="E772" s="262" t="s">
        <v>2377</v>
      </c>
      <c r="F772" s="54" t="s">
        <v>140</v>
      </c>
      <c r="G772" s="34" t="s">
        <v>168</v>
      </c>
      <c r="H772" s="155">
        <v>43305.0</v>
      </c>
      <c r="I772" s="155">
        <v>43273.0</v>
      </c>
      <c r="J772" s="155">
        <v>43305.0</v>
      </c>
      <c r="K772" s="32" t="s">
        <v>70</v>
      </c>
      <c r="L772" s="54" t="s">
        <v>115</v>
      </c>
      <c r="M772" s="63" t="s">
        <v>313</v>
      </c>
      <c r="N772" s="32" t="s">
        <v>89</v>
      </c>
      <c r="O772" s="32" t="s">
        <v>1023</v>
      </c>
      <c r="P772" s="32"/>
      <c r="Q772" s="57" t="s">
        <v>4352</v>
      </c>
      <c r="R772" s="155">
        <v>44401.0</v>
      </c>
      <c r="S772" s="32" t="s">
        <v>327</v>
      </c>
      <c r="T772" s="45" t="s">
        <v>2379</v>
      </c>
      <c r="U772" s="67" t="s">
        <v>4353</v>
      </c>
      <c r="V772" s="54" t="s">
        <v>80</v>
      </c>
      <c r="W772" s="57" t="s">
        <v>2381</v>
      </c>
      <c r="X772" s="57" t="s">
        <v>2382</v>
      </c>
      <c r="Y772" s="263" t="s">
        <v>2383</v>
      </c>
      <c r="Z772" s="32" t="s">
        <v>112</v>
      </c>
      <c r="AA772" s="47"/>
      <c r="AB772" s="57" t="s">
        <v>481</v>
      </c>
      <c r="AC772" s="60"/>
      <c r="AD772" s="261"/>
      <c r="AE772" s="47"/>
      <c r="AF772" s="54" t="s">
        <v>80</v>
      </c>
      <c r="AG772" s="56" t="s">
        <v>2384</v>
      </c>
      <c r="AH772" s="57"/>
      <c r="AI772" s="58"/>
      <c r="AJ772" s="77"/>
      <c r="AK772" s="83">
        <v>42627.0</v>
      </c>
      <c r="AL772" s="56" t="s">
        <v>1028</v>
      </c>
    </row>
    <row r="773" ht="22.5" customHeight="1">
      <c r="A773" s="286" t="s">
        <v>4354</v>
      </c>
      <c r="B773" s="57" t="s">
        <v>4327</v>
      </c>
      <c r="C773" s="149" t="s">
        <v>4328</v>
      </c>
      <c r="D773" s="34" t="s">
        <v>75</v>
      </c>
      <c r="E773" s="259" t="s">
        <v>4329</v>
      </c>
      <c r="F773" s="39" t="s">
        <v>140</v>
      </c>
      <c r="G773" s="34" t="s">
        <v>168</v>
      </c>
      <c r="H773" s="155">
        <v>43190.0</v>
      </c>
      <c r="I773" s="155">
        <v>43190.0</v>
      </c>
      <c r="J773" s="318"/>
      <c r="K773" s="32" t="s">
        <v>70</v>
      </c>
      <c r="L773" s="34" t="s">
        <v>115</v>
      </c>
      <c r="M773" s="259" t="s">
        <v>313</v>
      </c>
      <c r="N773" s="121" t="s">
        <v>89</v>
      </c>
      <c r="O773" s="32" t="s">
        <v>954</v>
      </c>
      <c r="P773" s="57" t="s">
        <v>4355</v>
      </c>
      <c r="Q773" s="57" t="s">
        <v>4356</v>
      </c>
      <c r="R773" s="155"/>
      <c r="S773" s="32" t="s">
        <v>954</v>
      </c>
      <c r="T773" s="45" t="s">
        <v>4330</v>
      </c>
      <c r="U773" s="67" t="s">
        <v>4357</v>
      </c>
      <c r="V773" s="54" t="s">
        <v>80</v>
      </c>
      <c r="W773" s="250" t="s">
        <v>4332</v>
      </c>
      <c r="X773" s="63" t="s">
        <v>4333</v>
      </c>
      <c r="Y773" s="317" t="s">
        <v>4334</v>
      </c>
      <c r="Z773" s="32" t="s">
        <v>112</v>
      </c>
      <c r="AA773" s="47"/>
      <c r="AB773" s="123" t="s">
        <v>113</v>
      </c>
      <c r="AC773" s="32"/>
      <c r="AD773" s="261"/>
      <c r="AE773" s="47"/>
      <c r="AF773" s="34" t="s">
        <v>80</v>
      </c>
      <c r="AG773" s="56" t="s">
        <v>4336</v>
      </c>
      <c r="AH773" s="57"/>
      <c r="AI773" s="58"/>
      <c r="AJ773" s="83"/>
      <c r="AK773" s="58">
        <v>43137.0</v>
      </c>
      <c r="AL773" s="56" t="s">
        <v>965</v>
      </c>
    </row>
    <row r="774" ht="22.5" customHeight="1">
      <c r="A774" s="286" t="s">
        <v>4358</v>
      </c>
      <c r="B774" s="57" t="s">
        <v>2550</v>
      </c>
      <c r="C774" s="57" t="s">
        <v>2551</v>
      </c>
      <c r="D774" s="34" t="s">
        <v>584</v>
      </c>
      <c r="E774" s="149" t="s">
        <v>2552</v>
      </c>
      <c r="F774" s="34" t="s">
        <v>140</v>
      </c>
      <c r="G774" s="34" t="s">
        <v>168</v>
      </c>
      <c r="H774" s="155">
        <v>43167.0</v>
      </c>
      <c r="I774" s="155">
        <v>43165.0</v>
      </c>
      <c r="J774" s="155">
        <v>43167.0</v>
      </c>
      <c r="K774" s="32" t="s">
        <v>70</v>
      </c>
      <c r="L774" s="34" t="s">
        <v>115</v>
      </c>
      <c r="M774" s="42" t="s">
        <v>88</v>
      </c>
      <c r="N774" s="32" t="s">
        <v>89</v>
      </c>
      <c r="O774" s="32" t="s">
        <v>1505</v>
      </c>
      <c r="P774" s="47"/>
      <c r="Q774" s="57" t="s">
        <v>4359</v>
      </c>
      <c r="R774" s="155"/>
      <c r="S774" s="32" t="s">
        <v>1023</v>
      </c>
      <c r="T774" s="56" t="s">
        <v>2553</v>
      </c>
      <c r="U774" s="67" t="s">
        <v>4360</v>
      </c>
      <c r="V774" s="54" t="s">
        <v>74</v>
      </c>
      <c r="W774" s="149" t="s">
        <v>2555</v>
      </c>
      <c r="X774" s="149" t="s">
        <v>2556</v>
      </c>
      <c r="Y774" s="152" t="s">
        <v>2557</v>
      </c>
      <c r="Z774" s="32" t="s">
        <v>112</v>
      </c>
      <c r="AA774" s="47"/>
      <c r="AB774" s="60" t="s">
        <v>389</v>
      </c>
      <c r="AC774" s="32"/>
      <c r="AD774" s="261"/>
      <c r="AE774" s="47"/>
      <c r="AF774" s="34" t="s">
        <v>80</v>
      </c>
      <c r="AG774" s="56" t="s">
        <v>2559</v>
      </c>
      <c r="AH774" s="57"/>
      <c r="AI774" s="58"/>
      <c r="AJ774" s="83"/>
      <c r="AK774" s="268">
        <v>41770.0</v>
      </c>
      <c r="AL774" s="56" t="s">
        <v>4361</v>
      </c>
    </row>
    <row r="775" ht="22.5" customHeight="1">
      <c r="A775" s="286" t="s">
        <v>4362</v>
      </c>
      <c r="B775" s="57" t="s">
        <v>4363</v>
      </c>
      <c r="C775" s="57" t="s">
        <v>4364</v>
      </c>
      <c r="D775" s="54" t="s">
        <v>75</v>
      </c>
      <c r="E775" s="57" t="s">
        <v>4365</v>
      </c>
      <c r="F775" s="54" t="s">
        <v>140</v>
      </c>
      <c r="G775" s="54" t="s">
        <v>85</v>
      </c>
      <c r="H775" s="155">
        <v>43111.0</v>
      </c>
      <c r="I775" s="155">
        <v>43111.0</v>
      </c>
      <c r="J775" s="155">
        <v>43111.0</v>
      </c>
      <c r="K775" s="32" t="s">
        <v>70</v>
      </c>
      <c r="L775" s="34" t="s">
        <v>115</v>
      </c>
      <c r="M775" s="63" t="s">
        <v>88</v>
      </c>
      <c r="N775" s="32" t="s">
        <v>89</v>
      </c>
      <c r="O775" s="57" t="s">
        <v>142</v>
      </c>
      <c r="P775" s="32" t="s">
        <v>4366</v>
      </c>
      <c r="Q775" s="57" t="s">
        <v>3936</v>
      </c>
      <c r="R775" s="155">
        <v>44207.0</v>
      </c>
      <c r="S775" s="57" t="s">
        <v>142</v>
      </c>
      <c r="T775" s="45" t="s">
        <v>4367</v>
      </c>
      <c r="U775" s="67" t="s">
        <v>4368</v>
      </c>
      <c r="V775" s="54" t="s">
        <v>80</v>
      </c>
      <c r="W775" s="57" t="s">
        <v>4369</v>
      </c>
      <c r="X775" s="60" t="s">
        <v>4370</v>
      </c>
      <c r="Y775" s="67" t="s">
        <v>4371</v>
      </c>
      <c r="Z775" s="32" t="s">
        <v>112</v>
      </c>
      <c r="AA775" s="47"/>
      <c r="AB775" s="60" t="s">
        <v>575</v>
      </c>
      <c r="AC775" s="60" t="s">
        <v>4372</v>
      </c>
      <c r="AD775" s="261">
        <v>43320.0</v>
      </c>
      <c r="AE775" s="47"/>
      <c r="AF775" s="54" t="s">
        <v>80</v>
      </c>
      <c r="AG775" s="56" t="s">
        <v>4373</v>
      </c>
      <c r="AH775" s="57" t="s">
        <v>193</v>
      </c>
      <c r="AI775" s="58"/>
      <c r="AJ775" s="77"/>
      <c r="AK775" s="83">
        <v>42405.0</v>
      </c>
      <c r="AL775" s="56" t="s">
        <v>262</v>
      </c>
    </row>
    <row r="776" ht="22.5" customHeight="1">
      <c r="A776" s="286" t="s">
        <v>4374</v>
      </c>
      <c r="B776" s="57" t="s">
        <v>2375</v>
      </c>
      <c r="C776" s="57" t="s">
        <v>2376</v>
      </c>
      <c r="D776" s="34" t="s">
        <v>75</v>
      </c>
      <c r="E776" s="262" t="s">
        <v>2377</v>
      </c>
      <c r="F776" s="54" t="s">
        <v>140</v>
      </c>
      <c r="G776" s="34" t="s">
        <v>168</v>
      </c>
      <c r="H776" s="155">
        <v>43291.0</v>
      </c>
      <c r="I776" s="155">
        <v>43299.0</v>
      </c>
      <c r="J776" s="155">
        <v>43291.0</v>
      </c>
      <c r="K776" s="32" t="s">
        <v>70</v>
      </c>
      <c r="L776" s="54" t="s">
        <v>115</v>
      </c>
      <c r="M776" s="63" t="s">
        <v>313</v>
      </c>
      <c r="N776" s="32" t="s">
        <v>89</v>
      </c>
      <c r="O776" s="32" t="s">
        <v>175</v>
      </c>
      <c r="P776" s="47"/>
      <c r="Q776" s="57" t="s">
        <v>4375</v>
      </c>
      <c r="R776" s="155"/>
      <c r="S776" s="32" t="s">
        <v>327</v>
      </c>
      <c r="T776" s="45" t="s">
        <v>2379</v>
      </c>
      <c r="U776" s="67" t="s">
        <v>4376</v>
      </c>
      <c r="V776" s="54" t="s">
        <v>80</v>
      </c>
      <c r="W776" s="57" t="s">
        <v>2381</v>
      </c>
      <c r="X776" s="57" t="s">
        <v>2382</v>
      </c>
      <c r="Y776" s="263" t="s">
        <v>2383</v>
      </c>
      <c r="Z776" s="32" t="s">
        <v>112</v>
      </c>
      <c r="AA776" s="47"/>
      <c r="AB776" s="57" t="s">
        <v>481</v>
      </c>
      <c r="AC776" s="32"/>
      <c r="AD776" s="261"/>
      <c r="AE776" s="47"/>
      <c r="AF776" s="34" t="s">
        <v>80</v>
      </c>
      <c r="AG776" s="56" t="s">
        <v>2384</v>
      </c>
      <c r="AH776" s="57"/>
      <c r="AI776" s="58"/>
      <c r="AJ776" s="83"/>
      <c r="AK776" s="83">
        <v>42627.0</v>
      </c>
      <c r="AL776" s="56" t="s">
        <v>188</v>
      </c>
    </row>
    <row r="777" ht="22.5" customHeight="1">
      <c r="A777" s="286" t="s">
        <v>4377</v>
      </c>
      <c r="B777" s="186" t="s">
        <v>4378</v>
      </c>
      <c r="C777" s="149" t="s">
        <v>4379</v>
      </c>
      <c r="D777" s="187" t="s">
        <v>75</v>
      </c>
      <c r="E777" s="188" t="s">
        <v>4380</v>
      </c>
      <c r="F777" s="187" t="s">
        <v>140</v>
      </c>
      <c r="G777" s="187" t="s">
        <v>85</v>
      </c>
      <c r="H777" s="191">
        <v>43322.0</v>
      </c>
      <c r="I777" s="191">
        <v>43318.0</v>
      </c>
      <c r="J777" s="191">
        <v>43322.0</v>
      </c>
      <c r="K777" s="188" t="s">
        <v>70</v>
      </c>
      <c r="L777" s="54" t="s">
        <v>115</v>
      </c>
      <c r="M777" s="63" t="s">
        <v>88</v>
      </c>
      <c r="N777" s="319" t="s">
        <v>89</v>
      </c>
      <c r="O777" s="188" t="s">
        <v>1570</v>
      </c>
      <c r="P777" s="188"/>
      <c r="Q777" s="188" t="s">
        <v>4381</v>
      </c>
      <c r="R777" s="191"/>
      <c r="S777" s="188" t="s">
        <v>1570</v>
      </c>
      <c r="T777" s="45" t="s">
        <v>4382</v>
      </c>
      <c r="U777" s="45" t="s">
        <v>4383</v>
      </c>
      <c r="V777" s="34" t="s">
        <v>74</v>
      </c>
      <c r="W777" s="149" t="s">
        <v>4384</v>
      </c>
      <c r="X777" s="32" t="s">
        <v>4385</v>
      </c>
      <c r="Y777" s="45" t="s">
        <v>4386</v>
      </c>
      <c r="Z777" s="32" t="s">
        <v>112</v>
      </c>
      <c r="AA777" s="47"/>
      <c r="AB777" s="60" t="s">
        <v>389</v>
      </c>
      <c r="AC777" s="60" t="s">
        <v>4387</v>
      </c>
      <c r="AD777" s="282">
        <v>43322.0</v>
      </c>
      <c r="AE777" s="196"/>
      <c r="AF777" s="320" t="s">
        <v>80</v>
      </c>
      <c r="AG777" s="56" t="s">
        <v>4388</v>
      </c>
      <c r="AH777" s="321" t="s">
        <v>4389</v>
      </c>
      <c r="AI777" s="197"/>
      <c r="AJ777" s="197"/>
      <c r="AK777" s="199">
        <v>42839.0</v>
      </c>
      <c r="AL777" s="109" t="s">
        <v>2055</v>
      </c>
    </row>
    <row r="778" ht="22.5" customHeight="1">
      <c r="A778" s="286" t="s">
        <v>4390</v>
      </c>
      <c r="B778" s="57" t="s">
        <v>4391</v>
      </c>
      <c r="C778" s="32" t="s">
        <v>4392</v>
      </c>
      <c r="D778" s="54" t="s">
        <v>75</v>
      </c>
      <c r="E778" s="57" t="s">
        <v>4393</v>
      </c>
      <c r="F778" s="54" t="s">
        <v>140</v>
      </c>
      <c r="G778" s="54" t="s">
        <v>85</v>
      </c>
      <c r="H778" s="155">
        <v>43293.0</v>
      </c>
      <c r="I778" s="155">
        <v>43293.0</v>
      </c>
      <c r="J778" s="155">
        <v>43293.0</v>
      </c>
      <c r="K778" s="32" t="s">
        <v>70</v>
      </c>
      <c r="L778" s="34" t="s">
        <v>115</v>
      </c>
      <c r="M778" s="63" t="s">
        <v>218</v>
      </c>
      <c r="N778" s="32" t="s">
        <v>89</v>
      </c>
      <c r="O778" s="32" t="s">
        <v>1608</v>
      </c>
      <c r="P778" s="57"/>
      <c r="Q778" s="57" t="s">
        <v>2931</v>
      </c>
      <c r="R778" s="155"/>
      <c r="S778" s="32" t="s">
        <v>1608</v>
      </c>
      <c r="T778" s="203" t="s">
        <v>4394</v>
      </c>
      <c r="U778" s="67" t="s">
        <v>4395</v>
      </c>
      <c r="V778" s="34" t="s">
        <v>74</v>
      </c>
      <c r="W778" s="63" t="s">
        <v>4396</v>
      </c>
      <c r="X778" s="63" t="s">
        <v>4397</v>
      </c>
      <c r="Y778" s="56" t="s">
        <v>4398</v>
      </c>
      <c r="Z778" s="32" t="s">
        <v>112</v>
      </c>
      <c r="AA778" s="68"/>
      <c r="AB778" s="32" t="s">
        <v>113</v>
      </c>
      <c r="AC778" s="32" t="s">
        <v>4399</v>
      </c>
      <c r="AD778" s="261">
        <v>43322.0</v>
      </c>
      <c r="AE778" s="57"/>
      <c r="AF778" s="180" t="s">
        <v>80</v>
      </c>
      <c r="AG778" s="56" t="s">
        <v>4400</v>
      </c>
      <c r="AH778" s="63" t="s">
        <v>947</v>
      </c>
      <c r="AI778" s="41"/>
      <c r="AJ778" s="41"/>
      <c r="AK778" s="83">
        <v>43137.0</v>
      </c>
      <c r="AL778" s="56" t="s">
        <v>2933</v>
      </c>
    </row>
    <row r="779" ht="22.5" customHeight="1">
      <c r="A779" s="286" t="s">
        <v>4401</v>
      </c>
      <c r="B779" s="57" t="s">
        <v>843</v>
      </c>
      <c r="C779" s="149" t="s">
        <v>844</v>
      </c>
      <c r="D779" s="34" t="s">
        <v>845</v>
      </c>
      <c r="E779" s="38" t="s">
        <v>846</v>
      </c>
      <c r="F779" s="34" t="s">
        <v>140</v>
      </c>
      <c r="G779" s="34" t="s">
        <v>168</v>
      </c>
      <c r="H779" s="155">
        <v>43321.0</v>
      </c>
      <c r="I779" s="155">
        <v>43321.0</v>
      </c>
      <c r="J779" s="155"/>
      <c r="K779" s="32" t="s">
        <v>70</v>
      </c>
      <c r="L779" s="34" t="s">
        <v>115</v>
      </c>
      <c r="M779" s="63" t="s">
        <v>88</v>
      </c>
      <c r="N779" s="32" t="s">
        <v>89</v>
      </c>
      <c r="O779" s="32" t="s">
        <v>2119</v>
      </c>
      <c r="P779" s="47"/>
      <c r="Q779" s="57" t="s">
        <v>4402</v>
      </c>
      <c r="R779" s="155"/>
      <c r="S779" s="32" t="s">
        <v>220</v>
      </c>
      <c r="T779" s="45" t="s">
        <v>855</v>
      </c>
      <c r="U779" s="67" t="s">
        <v>4403</v>
      </c>
      <c r="V779" s="54" t="s">
        <v>74</v>
      </c>
      <c r="W779" s="60" t="s">
        <v>561</v>
      </c>
      <c r="X779" s="32" t="s">
        <v>561</v>
      </c>
      <c r="Y779" s="45" t="s">
        <v>859</v>
      </c>
      <c r="Z779" s="32" t="s">
        <v>112</v>
      </c>
      <c r="AA779" s="47"/>
      <c r="AB779" s="60" t="s">
        <v>860</v>
      </c>
      <c r="AC779" s="32"/>
      <c r="AD779" s="261"/>
      <c r="AE779" s="47"/>
      <c r="AF779" s="34" t="s">
        <v>80</v>
      </c>
      <c r="AG779" s="56" t="s">
        <v>865</v>
      </c>
      <c r="AH779" s="57"/>
      <c r="AI779" s="58"/>
      <c r="AJ779" s="58">
        <v>41779.0</v>
      </c>
      <c r="AK779" s="58">
        <v>41612.0</v>
      </c>
      <c r="AL779" s="56" t="s">
        <v>4005</v>
      </c>
    </row>
    <row r="780" ht="22.5" customHeight="1">
      <c r="A780" s="286" t="s">
        <v>4404</v>
      </c>
      <c r="B780" s="57" t="s">
        <v>888</v>
      </c>
      <c r="C780" s="32" t="s">
        <v>889</v>
      </c>
      <c r="D780" s="34" t="s">
        <v>752</v>
      </c>
      <c r="E780" s="38" t="s">
        <v>892</v>
      </c>
      <c r="F780" s="41" t="s">
        <v>93</v>
      </c>
      <c r="G780" s="34" t="s">
        <v>168</v>
      </c>
      <c r="H780" s="155">
        <v>43312.0</v>
      </c>
      <c r="I780" s="155">
        <v>43245.0</v>
      </c>
      <c r="J780" s="155">
        <v>43312.0</v>
      </c>
      <c r="K780" s="32" t="s">
        <v>70</v>
      </c>
      <c r="L780" s="41" t="s">
        <v>115</v>
      </c>
      <c r="M780" s="42" t="s">
        <v>88</v>
      </c>
      <c r="N780" s="38" t="s">
        <v>89</v>
      </c>
      <c r="O780" s="32" t="s">
        <v>954</v>
      </c>
      <c r="P780" s="57" t="s">
        <v>2512</v>
      </c>
      <c r="Q780" s="57" t="s">
        <v>3903</v>
      </c>
      <c r="R780" s="155">
        <v>43684.0</v>
      </c>
      <c r="S780" s="32" t="s">
        <v>116</v>
      </c>
      <c r="T780" s="56" t="s">
        <v>1950</v>
      </c>
      <c r="U780" s="67" t="s">
        <v>4405</v>
      </c>
      <c r="V780" s="34" t="s">
        <v>80</v>
      </c>
      <c r="W780" s="172" t="s">
        <v>897</v>
      </c>
      <c r="X780" s="111" t="s">
        <v>898</v>
      </c>
      <c r="Y780" s="109" t="s">
        <v>899</v>
      </c>
      <c r="Z780" s="32" t="s">
        <v>112</v>
      </c>
      <c r="AA780" s="68"/>
      <c r="AB780" s="149" t="s">
        <v>481</v>
      </c>
      <c r="AC780" s="32"/>
      <c r="AD780" s="261"/>
      <c r="AE780" s="47"/>
      <c r="AF780" s="34" t="s">
        <v>80</v>
      </c>
      <c r="AG780" s="56" t="s">
        <v>900</v>
      </c>
      <c r="AH780" s="177"/>
      <c r="AI780" s="41"/>
      <c r="AJ780" s="83"/>
      <c r="AK780" s="155">
        <v>41352.0</v>
      </c>
      <c r="AL780" s="56" t="s">
        <v>965</v>
      </c>
    </row>
    <row r="781" ht="22.5" customHeight="1">
      <c r="A781" s="286" t="s">
        <v>4406</v>
      </c>
      <c r="B781" s="57" t="s">
        <v>888</v>
      </c>
      <c r="C781" s="149" t="s">
        <v>1281</v>
      </c>
      <c r="D781" s="41" t="s">
        <v>75</v>
      </c>
      <c r="E781" s="38" t="s">
        <v>1282</v>
      </c>
      <c r="F781" s="34" t="s">
        <v>140</v>
      </c>
      <c r="G781" s="34" t="s">
        <v>168</v>
      </c>
      <c r="H781" s="155">
        <v>43312.0</v>
      </c>
      <c r="I781" s="155">
        <v>43245.0</v>
      </c>
      <c r="J781" s="155">
        <v>43312.0</v>
      </c>
      <c r="K781" s="32" t="s">
        <v>70</v>
      </c>
      <c r="L781" s="41" t="s">
        <v>115</v>
      </c>
      <c r="M781" s="32" t="s">
        <v>88</v>
      </c>
      <c r="N781" s="38" t="s">
        <v>89</v>
      </c>
      <c r="O781" s="32" t="s">
        <v>954</v>
      </c>
      <c r="P781" s="57" t="s">
        <v>2512</v>
      </c>
      <c r="Q781" s="57" t="s">
        <v>3903</v>
      </c>
      <c r="R781" s="155">
        <v>43684.0</v>
      </c>
      <c r="S781" s="32" t="s">
        <v>196</v>
      </c>
      <c r="T781" s="45" t="s">
        <v>1285</v>
      </c>
      <c r="U781" s="67" t="s">
        <v>4407</v>
      </c>
      <c r="V781" s="34" t="s">
        <v>80</v>
      </c>
      <c r="W781" s="32" t="s">
        <v>561</v>
      </c>
      <c r="X781" s="60" t="s">
        <v>1287</v>
      </c>
      <c r="Y781" s="45" t="s">
        <v>1288</v>
      </c>
      <c r="Z781" s="32" t="s">
        <v>112</v>
      </c>
      <c r="AA781" s="68"/>
      <c r="AB781" s="32" t="s">
        <v>113</v>
      </c>
      <c r="AC781" s="32"/>
      <c r="AD781" s="261"/>
      <c r="AE781" s="47"/>
      <c r="AF781" s="34" t="s">
        <v>80</v>
      </c>
      <c r="AG781" s="56" t="s">
        <v>900</v>
      </c>
      <c r="AH781" s="41"/>
      <c r="AI781" s="41"/>
      <c r="AJ781" s="41"/>
      <c r="AK781" s="290">
        <v>41770.0</v>
      </c>
      <c r="AL781" s="56" t="s">
        <v>965</v>
      </c>
    </row>
    <row r="782" ht="22.5" customHeight="1">
      <c r="A782" s="286" t="s">
        <v>4408</v>
      </c>
      <c r="B782" s="57" t="s">
        <v>843</v>
      </c>
      <c r="C782" s="149" t="s">
        <v>844</v>
      </c>
      <c r="D782" s="34" t="s">
        <v>845</v>
      </c>
      <c r="E782" s="38" t="s">
        <v>846</v>
      </c>
      <c r="F782" s="34" t="s">
        <v>140</v>
      </c>
      <c r="G782" s="34" t="s">
        <v>168</v>
      </c>
      <c r="H782" s="155">
        <v>43299.0</v>
      </c>
      <c r="I782" s="155">
        <v>43283.0</v>
      </c>
      <c r="J782" s="155">
        <v>43299.0</v>
      </c>
      <c r="K782" s="32" t="s">
        <v>70</v>
      </c>
      <c r="L782" s="41" t="s">
        <v>115</v>
      </c>
      <c r="M782" s="42" t="s">
        <v>88</v>
      </c>
      <c r="N782" s="38" t="s">
        <v>89</v>
      </c>
      <c r="O782" s="32" t="s">
        <v>954</v>
      </c>
      <c r="P782" s="57" t="s">
        <v>2512</v>
      </c>
      <c r="Q782" s="57" t="s">
        <v>3903</v>
      </c>
      <c r="R782" s="155">
        <v>43671.0</v>
      </c>
      <c r="S782" s="32" t="s">
        <v>220</v>
      </c>
      <c r="T782" s="45" t="s">
        <v>855</v>
      </c>
      <c r="U782" s="67" t="s">
        <v>4409</v>
      </c>
      <c r="V782" s="34" t="s">
        <v>80</v>
      </c>
      <c r="W782" s="32" t="s">
        <v>561</v>
      </c>
      <c r="X782" s="32" t="s">
        <v>561</v>
      </c>
      <c r="Y782" s="45" t="s">
        <v>859</v>
      </c>
      <c r="Z782" s="32" t="s">
        <v>112</v>
      </c>
      <c r="AA782" s="32"/>
      <c r="AB782" s="60" t="s">
        <v>860</v>
      </c>
      <c r="AC782" s="32"/>
      <c r="AD782" s="261"/>
      <c r="AE782" s="47"/>
      <c r="AF782" s="34" t="s">
        <v>80</v>
      </c>
      <c r="AG782" s="56" t="s">
        <v>865</v>
      </c>
      <c r="AH782" s="41"/>
      <c r="AI782" s="41"/>
      <c r="AJ782" s="58">
        <v>41779.0</v>
      </c>
      <c r="AK782" s="58">
        <v>41612.0</v>
      </c>
      <c r="AL782" s="56" t="s">
        <v>965</v>
      </c>
    </row>
    <row r="783" ht="22.5" customHeight="1">
      <c r="A783" s="286" t="s">
        <v>4410</v>
      </c>
      <c r="B783" s="57" t="s">
        <v>843</v>
      </c>
      <c r="C783" s="149" t="s">
        <v>844</v>
      </c>
      <c r="D783" s="34" t="s">
        <v>845</v>
      </c>
      <c r="E783" s="38" t="s">
        <v>846</v>
      </c>
      <c r="F783" s="34" t="s">
        <v>140</v>
      </c>
      <c r="G783" s="34" t="s">
        <v>168</v>
      </c>
      <c r="H783" s="155">
        <v>43238.0</v>
      </c>
      <c r="I783" s="155">
        <v>43217.0</v>
      </c>
      <c r="J783" s="155">
        <v>43238.0</v>
      </c>
      <c r="K783" s="32" t="s">
        <v>70</v>
      </c>
      <c r="L783" s="41" t="s">
        <v>115</v>
      </c>
      <c r="M783" s="42" t="s">
        <v>88</v>
      </c>
      <c r="N783" s="38" t="s">
        <v>89</v>
      </c>
      <c r="O783" s="32" t="s">
        <v>954</v>
      </c>
      <c r="P783" s="57" t="s">
        <v>2512</v>
      </c>
      <c r="Q783" s="57" t="s">
        <v>3903</v>
      </c>
      <c r="R783" s="155">
        <v>43608.0</v>
      </c>
      <c r="S783" s="32" t="s">
        <v>220</v>
      </c>
      <c r="T783" s="45" t="s">
        <v>855</v>
      </c>
      <c r="U783" s="67" t="s">
        <v>4411</v>
      </c>
      <c r="V783" s="34" t="s">
        <v>80</v>
      </c>
      <c r="W783" s="32" t="s">
        <v>561</v>
      </c>
      <c r="X783" s="32" t="s">
        <v>561</v>
      </c>
      <c r="Y783" s="45" t="s">
        <v>859</v>
      </c>
      <c r="Z783" s="32" t="s">
        <v>112</v>
      </c>
      <c r="AA783" s="32"/>
      <c r="AB783" s="60" t="s">
        <v>860</v>
      </c>
      <c r="AC783" s="32"/>
      <c r="AD783" s="261"/>
      <c r="AE783" s="47"/>
      <c r="AF783" s="34" t="s">
        <v>80</v>
      </c>
      <c r="AG783" s="56" t="s">
        <v>865</v>
      </c>
      <c r="AH783" s="41"/>
      <c r="AI783" s="41"/>
      <c r="AJ783" s="58">
        <v>41779.0</v>
      </c>
      <c r="AK783" s="58">
        <v>41612.0</v>
      </c>
      <c r="AL783" s="56" t="s">
        <v>965</v>
      </c>
    </row>
    <row r="784" ht="22.5" customHeight="1">
      <c r="A784" s="286" t="s">
        <v>4412</v>
      </c>
      <c r="B784" s="57" t="s">
        <v>2157</v>
      </c>
      <c r="C784" s="63" t="s">
        <v>2158</v>
      </c>
      <c r="D784" s="34" t="s">
        <v>2159</v>
      </c>
      <c r="E784" s="201" t="s">
        <v>2160</v>
      </c>
      <c r="F784" s="39" t="s">
        <v>140</v>
      </c>
      <c r="G784" s="34" t="s">
        <v>85</v>
      </c>
      <c r="H784" s="155">
        <v>43307.0</v>
      </c>
      <c r="I784" s="155">
        <v>43301.0</v>
      </c>
      <c r="J784" s="155">
        <v>43307.0</v>
      </c>
      <c r="K784" s="32" t="s">
        <v>70</v>
      </c>
      <c r="L784" s="34" t="s">
        <v>115</v>
      </c>
      <c r="M784" s="32" t="s">
        <v>313</v>
      </c>
      <c r="N784" s="38" t="s">
        <v>89</v>
      </c>
      <c r="O784" s="32" t="s">
        <v>3636</v>
      </c>
      <c r="P784" s="57"/>
      <c r="Q784" s="57" t="s">
        <v>3637</v>
      </c>
      <c r="R784" s="155"/>
      <c r="S784" s="121" t="s">
        <v>1901</v>
      </c>
      <c r="T784" s="56" t="s">
        <v>2164</v>
      </c>
      <c r="U784" s="67" t="s">
        <v>4413</v>
      </c>
      <c r="V784" s="34" t="s">
        <v>74</v>
      </c>
      <c r="W784" s="63" t="s">
        <v>2166</v>
      </c>
      <c r="X784" s="63" t="s">
        <v>2167</v>
      </c>
      <c r="Y784" s="56" t="s">
        <v>2169</v>
      </c>
      <c r="Z784" s="32" t="s">
        <v>112</v>
      </c>
      <c r="AA784" s="32"/>
      <c r="AB784" s="60" t="s">
        <v>113</v>
      </c>
      <c r="AC784" s="60" t="s">
        <v>4414</v>
      </c>
      <c r="AD784" s="136">
        <v>42491.0</v>
      </c>
      <c r="AE784" s="30" t="s">
        <v>4415</v>
      </c>
      <c r="AF784" s="34" t="s">
        <v>80</v>
      </c>
      <c r="AG784" s="56" t="s">
        <v>2171</v>
      </c>
      <c r="AH784" s="63" t="s">
        <v>193</v>
      </c>
      <c r="AI784" s="41"/>
      <c r="AJ784" s="58"/>
      <c r="AK784" s="58">
        <v>42209.0</v>
      </c>
      <c r="AL784" s="56" t="s">
        <v>3639</v>
      </c>
    </row>
    <row r="785" ht="22.5" customHeight="1">
      <c r="A785" s="286" t="s">
        <v>4416</v>
      </c>
      <c r="B785" s="57" t="s">
        <v>2561</v>
      </c>
      <c r="C785" s="149" t="s">
        <v>2562</v>
      </c>
      <c r="D785" s="41" t="s">
        <v>75</v>
      </c>
      <c r="E785" s="149" t="s">
        <v>2563</v>
      </c>
      <c r="F785" s="34" t="s">
        <v>93</v>
      </c>
      <c r="G785" s="34" t="s">
        <v>168</v>
      </c>
      <c r="H785" s="155">
        <v>43311.0</v>
      </c>
      <c r="I785" s="155">
        <v>43311.0</v>
      </c>
      <c r="J785" s="155"/>
      <c r="K785" s="32" t="s">
        <v>70</v>
      </c>
      <c r="L785" s="41" t="s">
        <v>115</v>
      </c>
      <c r="M785" s="63" t="s">
        <v>218</v>
      </c>
      <c r="N785" s="38" t="s">
        <v>89</v>
      </c>
      <c r="O785" s="32" t="s">
        <v>969</v>
      </c>
      <c r="P785" s="57" t="s">
        <v>4417</v>
      </c>
      <c r="Q785" s="57" t="s">
        <v>4418</v>
      </c>
      <c r="R785" s="155">
        <v>44407.0</v>
      </c>
      <c r="S785" s="32" t="s">
        <v>116</v>
      </c>
      <c r="T785" s="56" t="s">
        <v>2564</v>
      </c>
      <c r="U785" s="67" t="s">
        <v>4419</v>
      </c>
      <c r="V785" s="54" t="s">
        <v>80</v>
      </c>
      <c r="W785" s="149" t="s">
        <v>2566</v>
      </c>
      <c r="X785" s="149" t="s">
        <v>2567</v>
      </c>
      <c r="Y785" s="152" t="s">
        <v>2568</v>
      </c>
      <c r="Z785" s="32" t="s">
        <v>112</v>
      </c>
      <c r="AA785" s="47"/>
      <c r="AB785" s="32" t="s">
        <v>113</v>
      </c>
      <c r="AC785" s="32"/>
      <c r="AD785" s="261"/>
      <c r="AE785" s="47"/>
      <c r="AF785" s="34" t="s">
        <v>80</v>
      </c>
      <c r="AG785" s="56" t="s">
        <v>2571</v>
      </c>
      <c r="AH785" s="57"/>
      <c r="AI785" s="58"/>
      <c r="AJ785" s="83"/>
      <c r="AK785" s="268">
        <v>42046.0</v>
      </c>
      <c r="AL785" s="56" t="s">
        <v>1043</v>
      </c>
    </row>
    <row r="786" ht="22.5" customHeight="1">
      <c r="A786" s="286" t="s">
        <v>4420</v>
      </c>
      <c r="B786" s="57" t="s">
        <v>4421</v>
      </c>
      <c r="C786" s="57" t="s">
        <v>4422</v>
      </c>
      <c r="D786" s="54" t="s">
        <v>75</v>
      </c>
      <c r="E786" s="57" t="s">
        <v>4423</v>
      </c>
      <c r="F786" s="54" t="s">
        <v>140</v>
      </c>
      <c r="G786" s="54" t="s">
        <v>85</v>
      </c>
      <c r="H786" s="155">
        <v>43250.0</v>
      </c>
      <c r="I786" s="65"/>
      <c r="J786" s="155">
        <v>43250.0</v>
      </c>
      <c r="K786" s="32" t="s">
        <v>70</v>
      </c>
      <c r="L786" s="54" t="s">
        <v>115</v>
      </c>
      <c r="M786" s="63" t="s">
        <v>218</v>
      </c>
      <c r="N786" s="32" t="s">
        <v>89</v>
      </c>
      <c r="O786" s="32" t="s">
        <v>220</v>
      </c>
      <c r="P786" s="57"/>
      <c r="Q786" s="57" t="s">
        <v>4424</v>
      </c>
      <c r="R786" s="47"/>
      <c r="S786" s="32" t="s">
        <v>220</v>
      </c>
      <c r="T786" s="45" t="s">
        <v>4425</v>
      </c>
      <c r="U786" s="67" t="s">
        <v>4426</v>
      </c>
      <c r="V786" s="54" t="s">
        <v>80</v>
      </c>
      <c r="W786" s="57" t="s">
        <v>4427</v>
      </c>
      <c r="X786" s="57" t="s">
        <v>4428</v>
      </c>
      <c r="Y786" s="67" t="s">
        <v>4429</v>
      </c>
      <c r="Z786" s="32" t="s">
        <v>112</v>
      </c>
      <c r="AA786" s="47"/>
      <c r="AB786" s="32" t="s">
        <v>389</v>
      </c>
      <c r="AC786" s="32" t="s">
        <v>4430</v>
      </c>
      <c r="AD786" s="261">
        <v>43334.0</v>
      </c>
      <c r="AE786" s="47"/>
      <c r="AF786" s="54" t="s">
        <v>80</v>
      </c>
      <c r="AG786" s="56" t="s">
        <v>4431</v>
      </c>
      <c r="AH786" s="57" t="s">
        <v>4432</v>
      </c>
      <c r="AI786" s="58"/>
      <c r="AJ786" s="83"/>
      <c r="AK786" s="83">
        <v>43011.0</v>
      </c>
      <c r="AL786" s="56" t="s">
        <v>232</v>
      </c>
    </row>
    <row r="787" ht="22.5" customHeight="1">
      <c r="A787" s="286"/>
      <c r="B787" s="57" t="s">
        <v>4433</v>
      </c>
      <c r="C787" s="149" t="s">
        <v>4434</v>
      </c>
      <c r="D787" s="34" t="s">
        <v>75</v>
      </c>
      <c r="E787" s="32" t="s">
        <v>4435</v>
      </c>
      <c r="F787" s="34" t="s">
        <v>140</v>
      </c>
      <c r="G787" s="34" t="s">
        <v>85</v>
      </c>
      <c r="H787" s="155"/>
      <c r="I787" s="155"/>
      <c r="J787" s="155"/>
      <c r="K787" s="32" t="s">
        <v>70</v>
      </c>
      <c r="L787" s="34" t="s">
        <v>141</v>
      </c>
      <c r="M787" s="63" t="s">
        <v>88</v>
      </c>
      <c r="N787" s="32" t="s">
        <v>89</v>
      </c>
      <c r="O787" s="32" t="s">
        <v>4436</v>
      </c>
      <c r="P787" s="47"/>
      <c r="Q787" s="57"/>
      <c r="R787" s="155"/>
      <c r="S787" s="32" t="s">
        <v>4436</v>
      </c>
      <c r="T787" s="32"/>
      <c r="U787" s="57"/>
      <c r="V787" s="54" t="s">
        <v>74</v>
      </c>
      <c r="W787" s="60" t="s">
        <v>4437</v>
      </c>
      <c r="X787" s="32" t="s">
        <v>4438</v>
      </c>
      <c r="Y787" s="109" t="s">
        <v>4439</v>
      </c>
      <c r="Z787" s="32" t="s">
        <v>112</v>
      </c>
      <c r="AA787" s="47"/>
      <c r="AB787" s="32" t="s">
        <v>113</v>
      </c>
      <c r="AC787" s="32" t="s">
        <v>4440</v>
      </c>
      <c r="AD787" s="261"/>
      <c r="AE787" s="47"/>
      <c r="AF787" s="34" t="s">
        <v>80</v>
      </c>
      <c r="AG787" s="56" t="s">
        <v>4441</v>
      </c>
      <c r="AH787" s="57"/>
      <c r="AI787" s="58"/>
      <c r="AJ787" s="83"/>
      <c r="AK787" s="58">
        <v>43216.0</v>
      </c>
      <c r="AL787" s="56" t="s">
        <v>4442</v>
      </c>
    </row>
    <row r="788" ht="22.5" customHeight="1">
      <c r="A788" s="30"/>
      <c r="B788" s="30" t="s">
        <v>4443</v>
      </c>
      <c r="C788" s="32" t="s">
        <v>4444</v>
      </c>
      <c r="D788" s="34" t="s">
        <v>75</v>
      </c>
      <c r="E788" s="32" t="s">
        <v>4445</v>
      </c>
      <c r="F788" s="34" t="s">
        <v>140</v>
      </c>
      <c r="G788" s="34" t="s">
        <v>85</v>
      </c>
      <c r="H788" s="36"/>
      <c r="I788" s="36"/>
      <c r="J788" s="36"/>
      <c r="K788" s="32" t="s">
        <v>70</v>
      </c>
      <c r="L788" s="34" t="s">
        <v>141</v>
      </c>
      <c r="M788" s="32" t="s">
        <v>88</v>
      </c>
      <c r="N788" s="32" t="s">
        <v>89</v>
      </c>
      <c r="O788" s="32" t="s">
        <v>994</v>
      </c>
      <c r="P788" s="38"/>
      <c r="Q788" s="38"/>
      <c r="R788" s="36"/>
      <c r="S788" s="32" t="s">
        <v>994</v>
      </c>
      <c r="T788" s="42"/>
      <c r="U788" s="38"/>
      <c r="V788" s="34" t="s">
        <v>80</v>
      </c>
      <c r="W788" s="32" t="s">
        <v>4446</v>
      </c>
      <c r="X788" s="32" t="s">
        <v>4447</v>
      </c>
      <c r="Y788" s="45" t="s">
        <v>4448</v>
      </c>
      <c r="Z788" s="32" t="s">
        <v>112</v>
      </c>
      <c r="AA788" s="47"/>
      <c r="AB788" s="32" t="s">
        <v>113</v>
      </c>
      <c r="AC788" s="32" t="s">
        <v>4449</v>
      </c>
      <c r="AD788" s="51"/>
      <c r="AE788" s="53"/>
      <c r="AF788" s="34" t="s">
        <v>80</v>
      </c>
      <c r="AG788" s="56" t="s">
        <v>4450</v>
      </c>
      <c r="AH788" s="57"/>
      <c r="AI788" s="58"/>
      <c r="AJ788" s="58"/>
      <c r="AK788" s="58">
        <v>42773.0</v>
      </c>
      <c r="AL788" s="56" t="s">
        <v>1006</v>
      </c>
    </row>
    <row r="789" ht="22.5" customHeight="1">
      <c r="A789" s="30"/>
      <c r="B789" s="30" t="s">
        <v>4451</v>
      </c>
      <c r="C789" s="32" t="s">
        <v>4452</v>
      </c>
      <c r="D789" s="34" t="s">
        <v>75</v>
      </c>
      <c r="E789" s="32" t="s">
        <v>4453</v>
      </c>
      <c r="F789" s="34" t="s">
        <v>140</v>
      </c>
      <c r="G789" s="34" t="s">
        <v>85</v>
      </c>
      <c r="H789" s="36"/>
      <c r="I789" s="36"/>
      <c r="J789" s="36"/>
      <c r="K789" s="32" t="s">
        <v>70</v>
      </c>
      <c r="L789" s="34" t="s">
        <v>141</v>
      </c>
      <c r="M789" s="32" t="s">
        <v>218</v>
      </c>
      <c r="N789" s="32" t="s">
        <v>89</v>
      </c>
      <c r="O789" s="32" t="s">
        <v>4454</v>
      </c>
      <c r="P789" s="38"/>
      <c r="Q789" s="38"/>
      <c r="R789" s="36"/>
      <c r="S789" s="32" t="s">
        <v>4454</v>
      </c>
      <c r="T789" s="56" t="s">
        <v>4455</v>
      </c>
      <c r="U789" s="38"/>
      <c r="V789" s="34" t="s">
        <v>74</v>
      </c>
      <c r="W789" s="32" t="s">
        <v>4456</v>
      </c>
      <c r="X789" s="32" t="s">
        <v>4457</v>
      </c>
      <c r="Y789" s="45" t="s">
        <v>4458</v>
      </c>
      <c r="Z789" s="32" t="s">
        <v>112</v>
      </c>
      <c r="AA789" s="47"/>
      <c r="AB789" s="60" t="s">
        <v>66</v>
      </c>
      <c r="AC789" s="32" t="s">
        <v>4459</v>
      </c>
      <c r="AD789" s="51"/>
      <c r="AE789" s="53"/>
      <c r="AF789" s="34" t="s">
        <v>80</v>
      </c>
      <c r="AG789" s="56" t="s">
        <v>4460</v>
      </c>
      <c r="AH789" s="57"/>
      <c r="AI789" s="58"/>
      <c r="AJ789" s="58"/>
      <c r="AK789" s="58">
        <v>43201.0</v>
      </c>
      <c r="AL789" s="56" t="s">
        <v>4461</v>
      </c>
    </row>
    <row r="790" ht="22.5" customHeight="1">
      <c r="A790" s="30"/>
      <c r="B790" s="30" t="s">
        <v>4462</v>
      </c>
      <c r="C790" s="32" t="s">
        <v>4463</v>
      </c>
      <c r="D790" s="34" t="s">
        <v>75</v>
      </c>
      <c r="E790" s="32" t="s">
        <v>4464</v>
      </c>
      <c r="F790" s="34" t="s">
        <v>140</v>
      </c>
      <c r="G790" s="34" t="s">
        <v>85</v>
      </c>
      <c r="H790" s="36"/>
      <c r="I790" s="36"/>
      <c r="J790" s="36"/>
      <c r="K790" s="32" t="s">
        <v>70</v>
      </c>
      <c r="L790" s="34" t="s">
        <v>141</v>
      </c>
      <c r="M790" s="32" t="s">
        <v>88</v>
      </c>
      <c r="N790" s="32" t="s">
        <v>4106</v>
      </c>
      <c r="O790" s="32" t="s">
        <v>1023</v>
      </c>
      <c r="P790" s="38"/>
      <c r="Q790" s="38"/>
      <c r="R790" s="36"/>
      <c r="S790" s="32" t="s">
        <v>1023</v>
      </c>
      <c r="T790" s="56" t="s">
        <v>4465</v>
      </c>
      <c r="U790" s="38"/>
      <c r="V790" s="34" t="s">
        <v>80</v>
      </c>
      <c r="W790" s="32" t="s">
        <v>4466</v>
      </c>
      <c r="X790" s="32" t="s">
        <v>4467</v>
      </c>
      <c r="Y790" s="45" t="s">
        <v>4468</v>
      </c>
      <c r="Z790" s="32" t="s">
        <v>112</v>
      </c>
      <c r="AA790" s="47"/>
      <c r="AB790" s="32" t="s">
        <v>4469</v>
      </c>
      <c r="AC790" s="32" t="s">
        <v>4470</v>
      </c>
      <c r="AD790" s="51"/>
      <c r="AE790" s="53"/>
      <c r="AF790" s="34" t="s">
        <v>80</v>
      </c>
      <c r="AG790" s="56" t="s">
        <v>4471</v>
      </c>
      <c r="AH790" s="57"/>
      <c r="AI790" s="58">
        <v>43357.0</v>
      </c>
      <c r="AJ790" s="58"/>
      <c r="AK790" s="58">
        <v>43298.0</v>
      </c>
      <c r="AL790" s="56" t="s">
        <v>1028</v>
      </c>
    </row>
    <row r="791" ht="22.5" customHeight="1">
      <c r="A791" s="30"/>
      <c r="B791" s="30" t="s">
        <v>4472</v>
      </c>
      <c r="C791" s="32" t="s">
        <v>4473</v>
      </c>
      <c r="D791" s="34" t="s">
        <v>75</v>
      </c>
      <c r="E791" s="32" t="s">
        <v>4474</v>
      </c>
      <c r="F791" s="34" t="s">
        <v>140</v>
      </c>
      <c r="G791" s="34" t="s">
        <v>85</v>
      </c>
      <c r="H791" s="36"/>
      <c r="I791" s="36"/>
      <c r="J791" s="36"/>
      <c r="K791" s="32" t="s">
        <v>70</v>
      </c>
      <c r="L791" s="34" t="s">
        <v>141</v>
      </c>
      <c r="M791" s="32" t="s">
        <v>218</v>
      </c>
      <c r="N791" s="32" t="s">
        <v>89</v>
      </c>
      <c r="O791" s="32" t="s">
        <v>4475</v>
      </c>
      <c r="P791" s="38"/>
      <c r="Q791" s="38"/>
      <c r="R791" s="36"/>
      <c r="S791" s="32" t="s">
        <v>4475</v>
      </c>
      <c r="T791" s="56" t="s">
        <v>4476</v>
      </c>
      <c r="U791" s="38"/>
      <c r="V791" s="34" t="s">
        <v>74</v>
      </c>
      <c r="W791" s="32" t="s">
        <v>4477</v>
      </c>
      <c r="X791" s="32" t="s">
        <v>4478</v>
      </c>
      <c r="Y791" s="45" t="s">
        <v>4479</v>
      </c>
      <c r="Z791" s="32" t="s">
        <v>112</v>
      </c>
      <c r="AA791" s="47"/>
      <c r="AB791" s="32" t="s">
        <v>113</v>
      </c>
      <c r="AC791" s="32" t="s">
        <v>4480</v>
      </c>
      <c r="AD791" s="51"/>
      <c r="AE791" s="53"/>
      <c r="AF791" s="180" t="s">
        <v>80</v>
      </c>
      <c r="AG791" s="56" t="s">
        <v>4481</v>
      </c>
      <c r="AH791" s="47"/>
      <c r="AI791" s="58"/>
      <c r="AJ791" s="58">
        <v>43080.0</v>
      </c>
      <c r="AK791" s="58">
        <v>43235.0</v>
      </c>
      <c r="AL791" s="56" t="s">
        <v>4482</v>
      </c>
    </row>
    <row r="792" ht="22.5" customHeight="1">
      <c r="A792" s="30"/>
      <c r="B792" s="30" t="s">
        <v>4483</v>
      </c>
      <c r="C792" s="32" t="s">
        <v>4484</v>
      </c>
      <c r="D792" s="34" t="s">
        <v>75</v>
      </c>
      <c r="E792" s="32" t="s">
        <v>4485</v>
      </c>
      <c r="F792" s="34" t="s">
        <v>93</v>
      </c>
      <c r="G792" s="34" t="s">
        <v>85</v>
      </c>
      <c r="H792" s="36"/>
      <c r="I792" s="36"/>
      <c r="J792" s="36"/>
      <c r="K792" s="32" t="s">
        <v>70</v>
      </c>
      <c r="L792" s="34" t="s">
        <v>141</v>
      </c>
      <c r="M792" s="32" t="s">
        <v>218</v>
      </c>
      <c r="N792" s="32" t="s">
        <v>89</v>
      </c>
      <c r="O792" s="32"/>
      <c r="P792" s="38"/>
      <c r="Q792" s="38"/>
      <c r="R792" s="36"/>
      <c r="S792" s="32"/>
      <c r="T792" s="56" t="s">
        <v>4486</v>
      </c>
      <c r="U792" s="38"/>
      <c r="V792" s="34"/>
      <c r="W792" s="32" t="s">
        <v>4487</v>
      </c>
      <c r="X792" s="32" t="s">
        <v>4488</v>
      </c>
      <c r="Y792" s="45" t="s">
        <v>4489</v>
      </c>
      <c r="Z792" s="32" t="s">
        <v>112</v>
      </c>
      <c r="AA792" s="47"/>
      <c r="AB792" s="32" t="s">
        <v>347</v>
      </c>
      <c r="AC792" s="32" t="s">
        <v>4490</v>
      </c>
      <c r="AD792" s="51"/>
      <c r="AE792" s="53"/>
      <c r="AF792" s="180" t="s">
        <v>80</v>
      </c>
      <c r="AG792" s="56" t="s">
        <v>4491</v>
      </c>
      <c r="AH792" s="47"/>
      <c r="AI792" s="58"/>
      <c r="AJ792" s="58">
        <v>43056.0</v>
      </c>
      <c r="AK792" s="58">
        <v>43167.0</v>
      </c>
      <c r="AL792" s="63"/>
    </row>
    <row r="793" ht="22.5" customHeight="1">
      <c r="A793" s="53"/>
      <c r="B793" s="57" t="s">
        <v>4492</v>
      </c>
      <c r="C793" s="57" t="s">
        <v>4493</v>
      </c>
      <c r="D793" s="54" t="s">
        <v>75</v>
      </c>
      <c r="E793" s="60" t="s">
        <v>4494</v>
      </c>
      <c r="F793" s="54"/>
      <c r="G793" s="54" t="s">
        <v>85</v>
      </c>
      <c r="H793" s="47"/>
      <c r="I793" s="47"/>
      <c r="J793" s="47"/>
      <c r="K793" s="32" t="s">
        <v>70</v>
      </c>
      <c r="L793" s="54" t="s">
        <v>87</v>
      </c>
      <c r="M793" s="32" t="s">
        <v>313</v>
      </c>
      <c r="N793" s="32" t="s">
        <v>89</v>
      </c>
      <c r="O793" s="57"/>
      <c r="P793" s="32"/>
      <c r="Q793" s="47"/>
      <c r="R793" s="47"/>
      <c r="S793" s="57"/>
      <c r="T793" s="56" t="s">
        <v>2260</v>
      </c>
      <c r="U793" s="47"/>
      <c r="V793" s="34"/>
      <c r="W793" s="149" t="s">
        <v>2261</v>
      </c>
      <c r="X793" s="198" t="s">
        <v>2515</v>
      </c>
      <c r="Y793" s="45" t="s">
        <v>2263</v>
      </c>
      <c r="Z793" s="32" t="s">
        <v>112</v>
      </c>
      <c r="AA793" s="47"/>
      <c r="AB793" s="32" t="s">
        <v>113</v>
      </c>
      <c r="AC793" s="68" t="s">
        <v>4495</v>
      </c>
      <c r="AD793" s="73"/>
      <c r="AE793" s="47"/>
      <c r="AF793" s="54" t="s">
        <v>80</v>
      </c>
      <c r="AG793" s="56" t="s">
        <v>4496</v>
      </c>
      <c r="AH793" s="47"/>
      <c r="AI793" s="41"/>
      <c r="AJ793" s="77"/>
      <c r="AK793" s="83"/>
      <c r="AL793" s="63"/>
    </row>
    <row r="794" ht="22.5" customHeight="1">
      <c r="A794" s="53"/>
      <c r="B794" s="57" t="s">
        <v>4497</v>
      </c>
      <c r="C794" s="57" t="s">
        <v>4498</v>
      </c>
      <c r="D794" s="54" t="s">
        <v>75</v>
      </c>
      <c r="E794" s="149" t="s">
        <v>4499</v>
      </c>
      <c r="F794" s="54" t="s">
        <v>140</v>
      </c>
      <c r="G794" s="54" t="s">
        <v>85</v>
      </c>
      <c r="H794" s="47"/>
      <c r="I794" s="47"/>
      <c r="J794" s="47"/>
      <c r="K794" s="32" t="s">
        <v>70</v>
      </c>
      <c r="L794" s="54" t="s">
        <v>141</v>
      </c>
      <c r="M794" s="63" t="s">
        <v>218</v>
      </c>
      <c r="N794" s="32" t="s">
        <v>89</v>
      </c>
      <c r="O794" s="57" t="s">
        <v>4500</v>
      </c>
      <c r="P794" s="32" t="s">
        <v>4501</v>
      </c>
      <c r="Q794" s="47"/>
      <c r="R794" s="47"/>
      <c r="S794" s="57" t="s">
        <v>4500</v>
      </c>
      <c r="T794" s="45" t="s">
        <v>4502</v>
      </c>
      <c r="U794" s="47"/>
      <c r="V794" s="65"/>
      <c r="W794" s="57" t="s">
        <v>4503</v>
      </c>
      <c r="X794" s="57" t="s">
        <v>4504</v>
      </c>
      <c r="Y794" s="67" t="s">
        <v>4505</v>
      </c>
      <c r="Z794" s="32" t="s">
        <v>112</v>
      </c>
      <c r="AA794" s="47"/>
      <c r="AB794" s="57" t="s">
        <v>481</v>
      </c>
      <c r="AC794" s="68" t="s">
        <v>4506</v>
      </c>
      <c r="AD794" s="73"/>
      <c r="AE794" s="47"/>
      <c r="AF794" s="54" t="s">
        <v>80</v>
      </c>
      <c r="AG794" s="56" t="s">
        <v>4507</v>
      </c>
      <c r="AH794" s="47"/>
      <c r="AI794" s="41"/>
      <c r="AJ794" s="77"/>
      <c r="AK794" s="83">
        <v>42944.0</v>
      </c>
      <c r="AL794" s="56" t="s">
        <v>4508</v>
      </c>
    </row>
    <row r="795" ht="22.5" customHeight="1">
      <c r="A795" s="53"/>
      <c r="B795" s="57" t="s">
        <v>4509</v>
      </c>
      <c r="C795" s="57" t="s">
        <v>4510</v>
      </c>
      <c r="D795" s="54" t="s">
        <v>584</v>
      </c>
      <c r="E795" s="149" t="s">
        <v>4511</v>
      </c>
      <c r="F795" s="54" t="s">
        <v>140</v>
      </c>
      <c r="G795" s="54" t="s">
        <v>85</v>
      </c>
      <c r="H795" s="47"/>
      <c r="I795" s="47"/>
      <c r="J795" s="47"/>
      <c r="K795" s="32" t="s">
        <v>70</v>
      </c>
      <c r="L795" s="54" t="s">
        <v>141</v>
      </c>
      <c r="M795" s="63" t="s">
        <v>218</v>
      </c>
      <c r="N795" s="32" t="s">
        <v>89</v>
      </c>
      <c r="O795" s="57" t="s">
        <v>196</v>
      </c>
      <c r="P795" s="32" t="s">
        <v>3802</v>
      </c>
      <c r="Q795" s="47"/>
      <c r="R795" s="47"/>
      <c r="S795" s="32" t="s">
        <v>196</v>
      </c>
      <c r="T795" s="45" t="s">
        <v>4512</v>
      </c>
      <c r="U795" s="47"/>
      <c r="V795" s="65"/>
      <c r="W795" s="57" t="s">
        <v>4513</v>
      </c>
      <c r="X795" s="57" t="s">
        <v>4514</v>
      </c>
      <c r="Y795" s="67" t="s">
        <v>4515</v>
      </c>
      <c r="Z795" s="32" t="s">
        <v>112</v>
      </c>
      <c r="AA795" s="47"/>
      <c r="AB795" s="57" t="s">
        <v>389</v>
      </c>
      <c r="AC795" s="68" t="s">
        <v>4516</v>
      </c>
      <c r="AD795" s="73"/>
      <c r="AE795" s="47"/>
      <c r="AF795" s="54" t="s">
        <v>80</v>
      </c>
      <c r="AG795" s="56" t="s">
        <v>4517</v>
      </c>
      <c r="AH795" s="47"/>
      <c r="AI795" s="41"/>
      <c r="AJ795" s="83">
        <v>42954.0</v>
      </c>
      <c r="AK795" s="83">
        <v>43222.0</v>
      </c>
      <c r="AL795" s="56" t="s">
        <v>208</v>
      </c>
    </row>
    <row r="796" ht="22.5" customHeight="1">
      <c r="A796" s="53"/>
      <c r="B796" s="57" t="s">
        <v>4509</v>
      </c>
      <c r="C796" s="57" t="s">
        <v>4518</v>
      </c>
      <c r="D796" s="54" t="s">
        <v>75</v>
      </c>
      <c r="E796" s="149" t="s">
        <v>4519</v>
      </c>
      <c r="F796" s="54" t="s">
        <v>140</v>
      </c>
      <c r="G796" s="54" t="s">
        <v>85</v>
      </c>
      <c r="H796" s="47"/>
      <c r="I796" s="47"/>
      <c r="J796" s="47"/>
      <c r="K796" s="32" t="s">
        <v>70</v>
      </c>
      <c r="L796" s="54" t="s">
        <v>141</v>
      </c>
      <c r="M796" s="63" t="s">
        <v>218</v>
      </c>
      <c r="N796" s="32" t="s">
        <v>89</v>
      </c>
      <c r="O796" s="57" t="s">
        <v>196</v>
      </c>
      <c r="P796" s="32" t="s">
        <v>3802</v>
      </c>
      <c r="Q796" s="47"/>
      <c r="R796" s="47"/>
      <c r="S796" s="32" t="s">
        <v>196</v>
      </c>
      <c r="T796" s="45" t="s">
        <v>4520</v>
      </c>
      <c r="U796" s="47"/>
      <c r="V796" s="65"/>
      <c r="W796" s="57" t="s">
        <v>4521</v>
      </c>
      <c r="X796" s="57" t="s">
        <v>4514</v>
      </c>
      <c r="Y796" s="67" t="s">
        <v>4515</v>
      </c>
      <c r="Z796" s="32" t="s">
        <v>112</v>
      </c>
      <c r="AA796" s="47"/>
      <c r="AB796" s="57" t="s">
        <v>389</v>
      </c>
      <c r="AC796" s="68" t="s">
        <v>4522</v>
      </c>
      <c r="AD796" s="73"/>
      <c r="AE796" s="47"/>
      <c r="AF796" s="54" t="s">
        <v>80</v>
      </c>
      <c r="AG796" s="56" t="s">
        <v>4517</v>
      </c>
      <c r="AH796" s="47"/>
      <c r="AI796" s="41"/>
      <c r="AJ796" s="83">
        <v>42954.0</v>
      </c>
      <c r="AK796" s="83">
        <v>43222.0</v>
      </c>
      <c r="AL796" s="56" t="s">
        <v>208</v>
      </c>
    </row>
    <row r="797" ht="22.5" customHeight="1">
      <c r="A797" s="53"/>
      <c r="B797" s="57" t="s">
        <v>4523</v>
      </c>
      <c r="C797" s="57" t="s">
        <v>4524</v>
      </c>
      <c r="D797" s="54" t="s">
        <v>75</v>
      </c>
      <c r="E797" s="57" t="s">
        <v>4525</v>
      </c>
      <c r="F797" s="54" t="s">
        <v>140</v>
      </c>
      <c r="G797" s="54" t="s">
        <v>85</v>
      </c>
      <c r="H797" s="47"/>
      <c r="I797" s="47"/>
      <c r="J797" s="47"/>
      <c r="K797" s="32" t="s">
        <v>70</v>
      </c>
      <c r="L797" s="54" t="s">
        <v>141</v>
      </c>
      <c r="M797" s="63" t="s">
        <v>88</v>
      </c>
      <c r="N797" s="32" t="s">
        <v>89</v>
      </c>
      <c r="O797" s="32" t="s">
        <v>2117</v>
      </c>
      <c r="P797" s="47"/>
      <c r="Q797" s="47"/>
      <c r="R797" s="47"/>
      <c r="S797" s="32" t="s">
        <v>2117</v>
      </c>
      <c r="T797" s="45" t="s">
        <v>4526</v>
      </c>
      <c r="U797" s="47"/>
      <c r="V797" s="65"/>
      <c r="W797" s="57" t="s">
        <v>4527</v>
      </c>
      <c r="X797" s="57" t="s">
        <v>4528</v>
      </c>
      <c r="Y797" s="67" t="s">
        <v>4529</v>
      </c>
      <c r="Z797" s="32" t="s">
        <v>112</v>
      </c>
      <c r="AA797" s="47"/>
      <c r="AB797" s="57" t="s">
        <v>481</v>
      </c>
      <c r="AC797" s="68" t="s">
        <v>4530</v>
      </c>
      <c r="AD797" s="73"/>
      <c r="AE797" s="47"/>
      <c r="AF797" s="54" t="s">
        <v>80</v>
      </c>
      <c r="AG797" s="56" t="s">
        <v>4531</v>
      </c>
      <c r="AH797" s="47"/>
      <c r="AI797" s="41"/>
      <c r="AJ797" s="77"/>
      <c r="AK797" s="83">
        <v>42164.0</v>
      </c>
      <c r="AL797" s="56" t="s">
        <v>4532</v>
      </c>
    </row>
    <row r="798" ht="22.5" customHeight="1">
      <c r="A798" s="53"/>
      <c r="B798" s="57" t="s">
        <v>4533</v>
      </c>
      <c r="C798" s="57" t="s">
        <v>4534</v>
      </c>
      <c r="D798" s="54" t="s">
        <v>75</v>
      </c>
      <c r="E798" s="57" t="s">
        <v>4535</v>
      </c>
      <c r="F798" s="54" t="s">
        <v>140</v>
      </c>
      <c r="G798" s="54" t="s">
        <v>85</v>
      </c>
      <c r="H798" s="47"/>
      <c r="I798" s="47"/>
      <c r="J798" s="47"/>
      <c r="K798" s="32" t="s">
        <v>70</v>
      </c>
      <c r="L798" s="54" t="s">
        <v>141</v>
      </c>
      <c r="M798" s="63" t="s">
        <v>218</v>
      </c>
      <c r="N798" s="32" t="s">
        <v>89</v>
      </c>
      <c r="O798" s="32" t="s">
        <v>196</v>
      </c>
      <c r="P798" s="47"/>
      <c r="Q798" s="47"/>
      <c r="R798" s="47"/>
      <c r="S798" s="32" t="s">
        <v>196</v>
      </c>
      <c r="T798" s="45" t="s">
        <v>4536</v>
      </c>
      <c r="U798" s="47"/>
      <c r="V798" s="65"/>
      <c r="W798" s="57" t="s">
        <v>4537</v>
      </c>
      <c r="X798" s="57" t="s">
        <v>4538</v>
      </c>
      <c r="Y798" s="67" t="s">
        <v>4539</v>
      </c>
      <c r="Z798" s="32" t="s">
        <v>112</v>
      </c>
      <c r="AA798" s="47"/>
      <c r="AB798" s="60" t="s">
        <v>240</v>
      </c>
      <c r="AC798" s="68" t="s">
        <v>4540</v>
      </c>
      <c r="AD798" s="73"/>
      <c r="AE798" s="47"/>
      <c r="AF798" s="54" t="s">
        <v>80</v>
      </c>
      <c r="AG798" s="56" t="s">
        <v>4541</v>
      </c>
      <c r="AH798" s="47"/>
      <c r="AI798" s="41"/>
      <c r="AJ798" s="77"/>
      <c r="AK798" s="83">
        <v>42607.0</v>
      </c>
      <c r="AL798" s="56" t="s">
        <v>208</v>
      </c>
    </row>
    <row r="799" ht="22.5" customHeight="1">
      <c r="A799" s="53"/>
      <c r="B799" s="57" t="s">
        <v>4542</v>
      </c>
      <c r="C799" s="57" t="s">
        <v>4543</v>
      </c>
      <c r="D799" s="54" t="s">
        <v>584</v>
      </c>
      <c r="E799" s="57" t="s">
        <v>4544</v>
      </c>
      <c r="F799" s="54" t="s">
        <v>140</v>
      </c>
      <c r="G799" s="54" t="s">
        <v>85</v>
      </c>
      <c r="H799" s="47"/>
      <c r="I799" s="47"/>
      <c r="J799" s="47"/>
      <c r="K799" s="32" t="s">
        <v>70</v>
      </c>
      <c r="L799" s="54" t="s">
        <v>141</v>
      </c>
      <c r="M799" s="63" t="s">
        <v>218</v>
      </c>
      <c r="N799" s="32" t="s">
        <v>4106</v>
      </c>
      <c r="O799" s="32" t="s">
        <v>402</v>
      </c>
      <c r="P799" s="47"/>
      <c r="Q799" s="47"/>
      <c r="R799" s="47"/>
      <c r="S799" s="32" t="s">
        <v>402</v>
      </c>
      <c r="T799" s="45" t="s">
        <v>4545</v>
      </c>
      <c r="U799" s="47"/>
      <c r="V799" s="54" t="s">
        <v>80</v>
      </c>
      <c r="W799" s="57" t="s">
        <v>4546</v>
      </c>
      <c r="X799" s="57" t="s">
        <v>4547</v>
      </c>
      <c r="Y799" s="67" t="s">
        <v>4548</v>
      </c>
      <c r="Z799" s="32" t="s">
        <v>112</v>
      </c>
      <c r="AA799" s="47"/>
      <c r="AB799" s="60" t="s">
        <v>402</v>
      </c>
      <c r="AC799" s="68" t="s">
        <v>4549</v>
      </c>
      <c r="AD799" s="73"/>
      <c r="AE799" s="47"/>
      <c r="AF799" s="54" t="s">
        <v>80</v>
      </c>
      <c r="AG799" s="56" t="s">
        <v>4550</v>
      </c>
      <c r="AH799" s="47"/>
      <c r="AI799" s="41"/>
      <c r="AJ799" s="77"/>
      <c r="AK799" s="83">
        <v>43207.0</v>
      </c>
      <c r="AL799" s="56" t="s">
        <v>1033</v>
      </c>
    </row>
    <row r="800" ht="22.5" customHeight="1">
      <c r="A800" s="53"/>
      <c r="B800" s="57" t="s">
        <v>951</v>
      </c>
      <c r="C800" s="57" t="s">
        <v>4551</v>
      </c>
      <c r="D800" s="54" t="s">
        <v>75</v>
      </c>
      <c r="E800" s="57" t="s">
        <v>4552</v>
      </c>
      <c r="F800" s="54" t="s">
        <v>140</v>
      </c>
      <c r="G800" s="54" t="s">
        <v>85</v>
      </c>
      <c r="H800" s="47"/>
      <c r="I800" s="47"/>
      <c r="J800" s="47"/>
      <c r="K800" s="32" t="s">
        <v>70</v>
      </c>
      <c r="L800" s="54" t="s">
        <v>141</v>
      </c>
      <c r="M800" s="63" t="s">
        <v>218</v>
      </c>
      <c r="N800" s="32" t="s">
        <v>89</v>
      </c>
      <c r="O800" s="32" t="s">
        <v>196</v>
      </c>
      <c r="P800" s="57"/>
      <c r="Q800" s="47"/>
      <c r="R800" s="47"/>
      <c r="S800" s="32" t="s">
        <v>196</v>
      </c>
      <c r="T800" s="45" t="s">
        <v>4553</v>
      </c>
      <c r="U800" s="47"/>
      <c r="V800" s="54" t="s">
        <v>80</v>
      </c>
      <c r="W800" s="57" t="s">
        <v>4554</v>
      </c>
      <c r="X800" s="57" t="s">
        <v>4555</v>
      </c>
      <c r="Y800" s="67" t="s">
        <v>4556</v>
      </c>
      <c r="Z800" s="32" t="s">
        <v>112</v>
      </c>
      <c r="AA800" s="47"/>
      <c r="AB800" s="60" t="s">
        <v>389</v>
      </c>
      <c r="AC800" s="68" t="s">
        <v>4557</v>
      </c>
      <c r="AD800" s="73"/>
      <c r="AE800" s="47"/>
      <c r="AF800" s="54" t="s">
        <v>80</v>
      </c>
      <c r="AG800" s="56" t="s">
        <v>964</v>
      </c>
      <c r="AH800" s="47"/>
      <c r="AI800" s="41"/>
      <c r="AJ800" s="77"/>
      <c r="AK800" s="83">
        <v>43222.0</v>
      </c>
      <c r="AL800" s="56" t="s">
        <v>208</v>
      </c>
    </row>
    <row r="801" ht="22.5" customHeight="1">
      <c r="A801" s="53"/>
      <c r="B801" s="57" t="s">
        <v>951</v>
      </c>
      <c r="C801" s="57" t="s">
        <v>4558</v>
      </c>
      <c r="D801" s="54" t="s">
        <v>75</v>
      </c>
      <c r="E801" s="57" t="s">
        <v>4559</v>
      </c>
      <c r="F801" s="54" t="s">
        <v>140</v>
      </c>
      <c r="G801" s="54" t="s">
        <v>85</v>
      </c>
      <c r="H801" s="47"/>
      <c r="I801" s="47"/>
      <c r="J801" s="47"/>
      <c r="K801" s="32" t="s">
        <v>70</v>
      </c>
      <c r="L801" s="54" t="s">
        <v>141</v>
      </c>
      <c r="M801" s="63" t="s">
        <v>313</v>
      </c>
      <c r="N801" s="32" t="s">
        <v>89</v>
      </c>
      <c r="O801" s="32" t="s">
        <v>196</v>
      </c>
      <c r="P801" s="57" t="s">
        <v>1569</v>
      </c>
      <c r="Q801" s="47"/>
      <c r="R801" s="47"/>
      <c r="S801" s="32" t="s">
        <v>196</v>
      </c>
      <c r="T801" s="45" t="s">
        <v>4560</v>
      </c>
      <c r="U801" s="47"/>
      <c r="V801" s="54" t="s">
        <v>80</v>
      </c>
      <c r="W801" s="57" t="s">
        <v>4561</v>
      </c>
      <c r="X801" s="57" t="s">
        <v>960</v>
      </c>
      <c r="Y801" s="67" t="s">
        <v>4562</v>
      </c>
      <c r="Z801" s="32" t="s">
        <v>112</v>
      </c>
      <c r="AA801" s="47"/>
      <c r="AB801" s="60" t="s">
        <v>481</v>
      </c>
      <c r="AC801" s="68" t="s">
        <v>4563</v>
      </c>
      <c r="AD801" s="73"/>
      <c r="AE801" s="47"/>
      <c r="AF801" s="54" t="s">
        <v>80</v>
      </c>
      <c r="AG801" s="56" t="s">
        <v>964</v>
      </c>
      <c r="AH801" s="47"/>
      <c r="AI801" s="41"/>
      <c r="AJ801" s="77"/>
      <c r="AK801" s="83">
        <v>43138.0</v>
      </c>
      <c r="AL801" s="56" t="s">
        <v>208</v>
      </c>
    </row>
    <row r="802" ht="22.5" customHeight="1">
      <c r="A802" s="53"/>
      <c r="B802" s="57" t="s">
        <v>4564</v>
      </c>
      <c r="C802" s="57" t="s">
        <v>4565</v>
      </c>
      <c r="D802" s="54" t="s">
        <v>75</v>
      </c>
      <c r="E802" s="322" t="s">
        <v>4566</v>
      </c>
      <c r="F802" s="54" t="s">
        <v>140</v>
      </c>
      <c r="G802" s="54" t="s">
        <v>85</v>
      </c>
      <c r="H802" s="47"/>
      <c r="I802" s="47"/>
      <c r="J802" s="47"/>
      <c r="K802" s="32" t="s">
        <v>70</v>
      </c>
      <c r="L802" s="54" t="s">
        <v>141</v>
      </c>
      <c r="M802" s="63" t="s">
        <v>218</v>
      </c>
      <c r="N802" s="32" t="s">
        <v>89</v>
      </c>
      <c r="O802" s="32" t="s">
        <v>4567</v>
      </c>
      <c r="P802" s="47"/>
      <c r="Q802" s="47"/>
      <c r="R802" s="47"/>
      <c r="S802" s="32" t="s">
        <v>4567</v>
      </c>
      <c r="T802" s="38"/>
      <c r="U802" s="47"/>
      <c r="V802" s="65"/>
      <c r="W802" s="57" t="s">
        <v>4568</v>
      </c>
      <c r="X802" s="57" t="s">
        <v>4569</v>
      </c>
      <c r="Y802" s="67" t="s">
        <v>4570</v>
      </c>
      <c r="Z802" s="32" t="s">
        <v>112</v>
      </c>
      <c r="AA802" s="47"/>
      <c r="AB802" s="60"/>
      <c r="AC802" s="255" t="s">
        <v>4571</v>
      </c>
      <c r="AD802" s="73"/>
      <c r="AE802" s="47"/>
      <c r="AF802" s="54" t="s">
        <v>80</v>
      </c>
      <c r="AG802" s="56" t="s">
        <v>4572</v>
      </c>
      <c r="AH802" s="57"/>
      <c r="AI802" s="58">
        <v>43281.0</v>
      </c>
      <c r="AJ802" s="83"/>
      <c r="AK802" s="83">
        <v>42696.0</v>
      </c>
      <c r="AL802" s="56" t="s">
        <v>188</v>
      </c>
    </row>
    <row r="803" ht="22.5" customHeight="1">
      <c r="A803" s="53"/>
      <c r="B803" s="30" t="s">
        <v>4573</v>
      </c>
      <c r="C803" s="149" t="s">
        <v>4574</v>
      </c>
      <c r="D803" s="34" t="s">
        <v>91</v>
      </c>
      <c r="E803" s="32" t="s">
        <v>4575</v>
      </c>
      <c r="F803" s="34"/>
      <c r="G803" s="34" t="s">
        <v>85</v>
      </c>
      <c r="H803" s="36"/>
      <c r="I803" s="36"/>
      <c r="J803" s="36"/>
      <c r="K803" s="32" t="s">
        <v>70</v>
      </c>
      <c r="L803" s="34" t="s">
        <v>87</v>
      </c>
      <c r="M803" s="32" t="s">
        <v>88</v>
      </c>
      <c r="N803" s="32" t="s">
        <v>89</v>
      </c>
      <c r="O803" s="38"/>
      <c r="P803" s="38"/>
      <c r="Q803" s="38"/>
      <c r="R803" s="36"/>
      <c r="S803" s="38"/>
      <c r="T803" s="56" t="s">
        <v>4576</v>
      </c>
      <c r="U803" s="38"/>
      <c r="V803" s="41"/>
      <c r="W803" s="32" t="s">
        <v>4577</v>
      </c>
      <c r="X803" s="111" t="s">
        <v>4578</v>
      </c>
      <c r="Y803" s="45" t="s">
        <v>4579</v>
      </c>
      <c r="Z803" s="32" t="s">
        <v>112</v>
      </c>
      <c r="AA803" s="38"/>
      <c r="AB803" s="123" t="s">
        <v>113</v>
      </c>
      <c r="AC803" s="60" t="s">
        <v>4580</v>
      </c>
      <c r="AD803" s="51"/>
      <c r="AE803" s="53"/>
      <c r="AF803" s="180" t="s">
        <v>80</v>
      </c>
      <c r="AG803" s="56" t="s">
        <v>4581</v>
      </c>
      <c r="AH803" s="53"/>
      <c r="AI803" s="77"/>
      <c r="AJ803" s="83">
        <v>43032.0</v>
      </c>
      <c r="AK803" s="77"/>
      <c r="AL803" s="42"/>
    </row>
    <row r="804" ht="22.5" customHeight="1">
      <c r="A804" s="53"/>
      <c r="B804" s="57" t="s">
        <v>4582</v>
      </c>
      <c r="C804" s="57" t="s">
        <v>4583</v>
      </c>
      <c r="D804" s="54" t="s">
        <v>75</v>
      </c>
      <c r="E804" s="322" t="s">
        <v>4584</v>
      </c>
      <c r="F804" s="54" t="s">
        <v>140</v>
      </c>
      <c r="G804" s="54" t="s">
        <v>85</v>
      </c>
      <c r="H804" s="47"/>
      <c r="I804" s="47"/>
      <c r="J804" s="47"/>
      <c r="K804" s="32" t="s">
        <v>70</v>
      </c>
      <c r="L804" s="54" t="s">
        <v>141</v>
      </c>
      <c r="M804" s="63" t="s">
        <v>313</v>
      </c>
      <c r="N804" s="32" t="s">
        <v>1404</v>
      </c>
      <c r="O804" s="32" t="s">
        <v>220</v>
      </c>
      <c r="P804" s="57" t="s">
        <v>4585</v>
      </c>
      <c r="Q804" s="47"/>
      <c r="R804" s="47"/>
      <c r="S804" s="32" t="s">
        <v>220</v>
      </c>
      <c r="T804" s="45" t="s">
        <v>4586</v>
      </c>
      <c r="U804" s="47"/>
      <c r="V804" s="65"/>
      <c r="W804" s="57" t="s">
        <v>4587</v>
      </c>
      <c r="X804" s="57" t="s">
        <v>4588</v>
      </c>
      <c r="Y804" s="67" t="s">
        <v>4589</v>
      </c>
      <c r="Z804" s="32" t="s">
        <v>112</v>
      </c>
      <c r="AA804" s="47"/>
      <c r="AB804" s="60" t="s">
        <v>113</v>
      </c>
      <c r="AC804" s="255" t="s">
        <v>4590</v>
      </c>
      <c r="AD804" s="73"/>
      <c r="AE804" s="47"/>
      <c r="AF804" s="54" t="s">
        <v>80</v>
      </c>
      <c r="AG804" s="56" t="s">
        <v>4591</v>
      </c>
      <c r="AH804" s="57"/>
      <c r="AI804" s="58"/>
      <c r="AJ804" s="83"/>
      <c r="AK804" s="83">
        <v>42800.0</v>
      </c>
      <c r="AL804" s="56" t="s">
        <v>232</v>
      </c>
    </row>
    <row r="805" ht="22.5" customHeight="1">
      <c r="A805" s="53"/>
      <c r="B805" s="57" t="s">
        <v>4592</v>
      </c>
      <c r="C805" s="57" t="s">
        <v>4593</v>
      </c>
      <c r="D805" s="54" t="s">
        <v>75</v>
      </c>
      <c r="E805" s="57" t="s">
        <v>4594</v>
      </c>
      <c r="F805" s="54"/>
      <c r="G805" s="54" t="s">
        <v>85</v>
      </c>
      <c r="H805" s="47"/>
      <c r="I805" s="47"/>
      <c r="J805" s="47"/>
      <c r="K805" s="32" t="s">
        <v>70</v>
      </c>
      <c r="L805" s="54" t="s">
        <v>87</v>
      </c>
      <c r="M805" s="63" t="s">
        <v>218</v>
      </c>
      <c r="N805" s="32" t="s">
        <v>89</v>
      </c>
      <c r="O805" s="32"/>
      <c r="P805" s="47"/>
      <c r="Q805" s="47"/>
      <c r="R805" s="47"/>
      <c r="S805" s="32"/>
      <c r="T805" s="45" t="s">
        <v>4595</v>
      </c>
      <c r="U805" s="47"/>
      <c r="V805" s="65"/>
      <c r="W805" s="57" t="s">
        <v>4596</v>
      </c>
      <c r="X805" s="149" t="s">
        <v>4597</v>
      </c>
      <c r="Y805" s="67" t="s">
        <v>4598</v>
      </c>
      <c r="Z805" s="32" t="s">
        <v>112</v>
      </c>
      <c r="AA805" s="47"/>
      <c r="AB805" s="60" t="s">
        <v>113</v>
      </c>
      <c r="AC805" s="68" t="s">
        <v>4599</v>
      </c>
      <c r="AD805" s="73"/>
      <c r="AE805" s="57"/>
      <c r="AF805" s="54" t="s">
        <v>80</v>
      </c>
      <c r="AG805" s="56" t="s">
        <v>4600</v>
      </c>
      <c r="AH805" s="47"/>
      <c r="AI805" s="58"/>
      <c r="AJ805" s="83">
        <v>43047.0</v>
      </c>
      <c r="AK805" s="83"/>
      <c r="AL805" s="63"/>
    </row>
    <row r="806" ht="22.5" customHeight="1">
      <c r="A806" s="53"/>
      <c r="B806" s="57" t="s">
        <v>4601</v>
      </c>
      <c r="C806" s="57" t="s">
        <v>4602</v>
      </c>
      <c r="D806" s="54" t="s">
        <v>75</v>
      </c>
      <c r="E806" s="57" t="s">
        <v>4603</v>
      </c>
      <c r="F806" s="54" t="s">
        <v>140</v>
      </c>
      <c r="G806" s="54" t="s">
        <v>85</v>
      </c>
      <c r="H806" s="47"/>
      <c r="I806" s="47"/>
      <c r="J806" s="47"/>
      <c r="K806" s="32" t="s">
        <v>70</v>
      </c>
      <c r="L806" s="54" t="s">
        <v>87</v>
      </c>
      <c r="M806" s="63" t="s">
        <v>218</v>
      </c>
      <c r="N806" s="32" t="s">
        <v>89</v>
      </c>
      <c r="O806" s="32" t="s">
        <v>954</v>
      </c>
      <c r="P806" s="57" t="s">
        <v>1928</v>
      </c>
      <c r="Q806" s="47"/>
      <c r="R806" s="47"/>
      <c r="S806" s="32" t="s">
        <v>954</v>
      </c>
      <c r="T806" s="45" t="s">
        <v>4604</v>
      </c>
      <c r="U806" s="67" t="s">
        <v>4605</v>
      </c>
      <c r="V806" s="54" t="s">
        <v>80</v>
      </c>
      <c r="W806" s="57" t="s">
        <v>4606</v>
      </c>
      <c r="X806" s="149" t="s">
        <v>4607</v>
      </c>
      <c r="Y806" s="67" t="s">
        <v>4608</v>
      </c>
      <c r="Z806" s="32" t="s">
        <v>112</v>
      </c>
      <c r="AA806" s="47"/>
      <c r="AB806" s="60" t="s">
        <v>389</v>
      </c>
      <c r="AC806" s="68" t="s">
        <v>4609</v>
      </c>
      <c r="AD806" s="73"/>
      <c r="AE806" s="57"/>
      <c r="AF806" s="54" t="s">
        <v>80</v>
      </c>
      <c r="AG806" s="56" t="s">
        <v>4610</v>
      </c>
      <c r="AH806" s="47"/>
      <c r="AI806" s="58"/>
      <c r="AJ806" s="83">
        <v>43221.0</v>
      </c>
      <c r="AK806" s="83">
        <v>43088.0</v>
      </c>
      <c r="AL806" s="56" t="s">
        <v>965</v>
      </c>
    </row>
    <row r="807" ht="22.5" customHeight="1">
      <c r="A807" s="53"/>
      <c r="B807" s="57" t="s">
        <v>4611</v>
      </c>
      <c r="C807" s="57" t="s">
        <v>4612</v>
      </c>
      <c r="D807" s="54" t="s">
        <v>75</v>
      </c>
      <c r="E807" s="57" t="s">
        <v>4613</v>
      </c>
      <c r="F807" s="54" t="s">
        <v>140</v>
      </c>
      <c r="G807" s="54" t="s">
        <v>85</v>
      </c>
      <c r="H807" s="47"/>
      <c r="I807" s="47"/>
      <c r="J807" s="47"/>
      <c r="K807" s="32" t="s">
        <v>70</v>
      </c>
      <c r="L807" s="54" t="s">
        <v>141</v>
      </c>
      <c r="M807" s="63" t="s">
        <v>218</v>
      </c>
      <c r="N807" s="32" t="s">
        <v>89</v>
      </c>
      <c r="O807" s="32" t="s">
        <v>969</v>
      </c>
      <c r="P807" s="57" t="s">
        <v>1635</v>
      </c>
      <c r="Q807" s="47"/>
      <c r="R807" s="47"/>
      <c r="S807" s="32" t="s">
        <v>969</v>
      </c>
      <c r="T807" s="45" t="s">
        <v>4614</v>
      </c>
      <c r="U807" s="47"/>
      <c r="V807" s="54" t="s">
        <v>80</v>
      </c>
      <c r="W807" s="57" t="s">
        <v>4615</v>
      </c>
      <c r="X807" s="149" t="s">
        <v>4616</v>
      </c>
      <c r="Y807" s="67" t="s">
        <v>4617</v>
      </c>
      <c r="Z807" s="32" t="s">
        <v>112</v>
      </c>
      <c r="AA807" s="47"/>
      <c r="AB807" s="60" t="s">
        <v>66</v>
      </c>
      <c r="AC807" s="68" t="s">
        <v>4618</v>
      </c>
      <c r="AD807" s="73"/>
      <c r="AE807" s="57"/>
      <c r="AF807" s="54" t="s">
        <v>80</v>
      </c>
      <c r="AG807" s="56" t="s">
        <v>4619</v>
      </c>
      <c r="AH807" s="47"/>
      <c r="AI807" s="58"/>
      <c r="AJ807" s="83"/>
      <c r="AK807" s="83">
        <v>43244.0</v>
      </c>
      <c r="AL807" s="56" t="s">
        <v>1043</v>
      </c>
    </row>
    <row r="808" ht="22.5" customHeight="1">
      <c r="A808" s="53"/>
      <c r="B808" s="57" t="s">
        <v>4620</v>
      </c>
      <c r="C808" s="57" t="s">
        <v>4621</v>
      </c>
      <c r="D808" s="54" t="s">
        <v>584</v>
      </c>
      <c r="E808" s="57" t="s">
        <v>4622</v>
      </c>
      <c r="F808" s="54" t="s">
        <v>140</v>
      </c>
      <c r="G808" s="54" t="s">
        <v>85</v>
      </c>
      <c r="H808" s="47"/>
      <c r="I808" s="47"/>
      <c r="J808" s="47"/>
      <c r="K808" s="32" t="s">
        <v>70</v>
      </c>
      <c r="L808" s="54" t="s">
        <v>141</v>
      </c>
      <c r="M808" s="63" t="s">
        <v>88</v>
      </c>
      <c r="N808" s="32" t="s">
        <v>89</v>
      </c>
      <c r="O808" s="32" t="s">
        <v>196</v>
      </c>
      <c r="P808" s="57"/>
      <c r="Q808" s="47"/>
      <c r="R808" s="47"/>
      <c r="S808" s="32" t="s">
        <v>196</v>
      </c>
      <c r="T808" s="45" t="s">
        <v>4623</v>
      </c>
      <c r="U808" s="67" t="s">
        <v>4624</v>
      </c>
      <c r="V808" s="54" t="s">
        <v>80</v>
      </c>
      <c r="W808" s="57" t="s">
        <v>4625</v>
      </c>
      <c r="X808" s="149" t="s">
        <v>4626</v>
      </c>
      <c r="Y808" s="67" t="s">
        <v>4627</v>
      </c>
      <c r="Z808" s="32" t="s">
        <v>112</v>
      </c>
      <c r="AA808" s="47"/>
      <c r="AB808" s="60" t="s">
        <v>389</v>
      </c>
      <c r="AC808" s="68" t="s">
        <v>4628</v>
      </c>
      <c r="AD808" s="73"/>
      <c r="AE808" s="57"/>
      <c r="AF808" s="54" t="s">
        <v>80</v>
      </c>
      <c r="AG808" s="56" t="s">
        <v>4629</v>
      </c>
      <c r="AH808" s="47"/>
      <c r="AI808" s="58"/>
      <c r="AJ808" s="83"/>
      <c r="AK808" s="83">
        <v>43152.0</v>
      </c>
      <c r="AL808" s="56" t="s">
        <v>208</v>
      </c>
    </row>
    <row r="809" ht="22.5" customHeight="1">
      <c r="A809" s="53"/>
      <c r="B809" s="57" t="s">
        <v>4630</v>
      </c>
      <c r="C809" s="57" t="s">
        <v>4631</v>
      </c>
      <c r="D809" s="54" t="s">
        <v>75</v>
      </c>
      <c r="E809" s="57" t="s">
        <v>4632</v>
      </c>
      <c r="F809" s="54"/>
      <c r="G809" s="54" t="s">
        <v>85</v>
      </c>
      <c r="H809" s="47"/>
      <c r="I809" s="47"/>
      <c r="J809" s="47"/>
      <c r="K809" s="32" t="s">
        <v>70</v>
      </c>
      <c r="L809" s="54" t="s">
        <v>87</v>
      </c>
      <c r="M809" s="63" t="s">
        <v>218</v>
      </c>
      <c r="N809" s="32" t="s">
        <v>89</v>
      </c>
      <c r="O809" s="32"/>
      <c r="P809" s="57"/>
      <c r="Q809" s="47"/>
      <c r="R809" s="47"/>
      <c r="S809" s="32"/>
      <c r="T809" s="45" t="s">
        <v>4633</v>
      </c>
      <c r="U809" s="47"/>
      <c r="V809" s="54"/>
      <c r="W809" s="57" t="s">
        <v>4634</v>
      </c>
      <c r="X809" s="149" t="s">
        <v>4635</v>
      </c>
      <c r="Y809" s="67" t="s">
        <v>4636</v>
      </c>
      <c r="Z809" s="32" t="s">
        <v>112</v>
      </c>
      <c r="AA809" s="47"/>
      <c r="AB809" s="60" t="s">
        <v>389</v>
      </c>
      <c r="AC809" s="68" t="s">
        <v>4637</v>
      </c>
      <c r="AD809" s="73"/>
      <c r="AE809" s="57"/>
      <c r="AF809" s="54" t="s">
        <v>80</v>
      </c>
      <c r="AG809" s="56" t="s">
        <v>4638</v>
      </c>
      <c r="AH809" s="47"/>
      <c r="AI809" s="58"/>
      <c r="AJ809" s="83">
        <v>43137.0</v>
      </c>
      <c r="AK809" s="83"/>
      <c r="AL809" s="63"/>
    </row>
    <row r="810" ht="22.5" customHeight="1">
      <c r="A810" s="53"/>
      <c r="B810" s="57" t="s">
        <v>4639</v>
      </c>
      <c r="C810" s="172" t="s">
        <v>4639</v>
      </c>
      <c r="D810" s="54" t="s">
        <v>75</v>
      </c>
      <c r="E810" s="57" t="s">
        <v>139</v>
      </c>
      <c r="F810" s="54" t="s">
        <v>140</v>
      </c>
      <c r="G810" s="54" t="s">
        <v>85</v>
      </c>
      <c r="H810" s="47"/>
      <c r="I810" s="47"/>
      <c r="J810" s="47"/>
      <c r="K810" s="32" t="s">
        <v>70</v>
      </c>
      <c r="L810" s="54" t="s">
        <v>141</v>
      </c>
      <c r="M810" s="63" t="s">
        <v>88</v>
      </c>
      <c r="N810" s="32" t="s">
        <v>89</v>
      </c>
      <c r="O810" s="32" t="s">
        <v>915</v>
      </c>
      <c r="P810" s="32" t="s">
        <v>4640</v>
      </c>
      <c r="Q810" s="47"/>
      <c r="R810" s="47"/>
      <c r="S810" s="32" t="s">
        <v>915</v>
      </c>
      <c r="T810" s="38"/>
      <c r="U810" s="47"/>
      <c r="V810" s="65"/>
      <c r="W810" s="57" t="s">
        <v>4641</v>
      </c>
      <c r="X810" s="57" t="s">
        <v>4642</v>
      </c>
      <c r="Y810" s="67" t="s">
        <v>4643</v>
      </c>
      <c r="Z810" s="32" t="s">
        <v>112</v>
      </c>
      <c r="AA810" s="47"/>
      <c r="AB810" s="57" t="s">
        <v>834</v>
      </c>
      <c r="AC810" s="68" t="s">
        <v>4644</v>
      </c>
      <c r="AD810" s="73"/>
      <c r="AE810" s="57"/>
      <c r="AF810" s="54" t="s">
        <v>80</v>
      </c>
      <c r="AG810" s="45" t="s">
        <v>4645</v>
      </c>
      <c r="AH810" s="47"/>
      <c r="AI810" s="58"/>
      <c r="AJ810" s="77"/>
      <c r="AK810" s="83">
        <v>42654.0</v>
      </c>
      <c r="AL810" s="56" t="s">
        <v>928</v>
      </c>
    </row>
    <row r="811" ht="22.5" customHeight="1">
      <c r="A811" s="53"/>
      <c r="B811" s="57" t="s">
        <v>4646</v>
      </c>
      <c r="C811" s="172" t="s">
        <v>4647</v>
      </c>
      <c r="D811" s="54" t="s">
        <v>75</v>
      </c>
      <c r="E811" s="57" t="s">
        <v>4648</v>
      </c>
      <c r="F811" s="54" t="s">
        <v>140</v>
      </c>
      <c r="G811" s="54" t="s">
        <v>85</v>
      </c>
      <c r="H811" s="47"/>
      <c r="I811" s="47"/>
      <c r="J811" s="47"/>
      <c r="K811" s="32" t="s">
        <v>70</v>
      </c>
      <c r="L811" s="54" t="s">
        <v>141</v>
      </c>
      <c r="M811" s="63" t="s">
        <v>218</v>
      </c>
      <c r="N811" s="32" t="s">
        <v>89</v>
      </c>
      <c r="O811" s="32" t="s">
        <v>1418</v>
      </c>
      <c r="P811" s="32"/>
      <c r="Q811" s="47"/>
      <c r="R811" s="47"/>
      <c r="S811" s="32" t="s">
        <v>1418</v>
      </c>
      <c r="T811" s="45" t="s">
        <v>4649</v>
      </c>
      <c r="U811" s="47"/>
      <c r="V811" s="65"/>
      <c r="W811" s="57" t="s">
        <v>4650</v>
      </c>
      <c r="X811" s="57" t="s">
        <v>4651</v>
      </c>
      <c r="Y811" s="67" t="s">
        <v>4652</v>
      </c>
      <c r="Z811" s="32" t="s">
        <v>112</v>
      </c>
      <c r="AA811" s="47"/>
      <c r="AB811" s="57" t="s">
        <v>481</v>
      </c>
      <c r="AC811" s="68" t="s">
        <v>4653</v>
      </c>
      <c r="AD811" s="73"/>
      <c r="AE811" s="57"/>
      <c r="AF811" s="54" t="s">
        <v>80</v>
      </c>
      <c r="AG811" s="45" t="s">
        <v>4654</v>
      </c>
      <c r="AH811" s="47"/>
      <c r="AI811" s="58">
        <v>43434.0</v>
      </c>
      <c r="AJ811" s="77"/>
      <c r="AK811" s="83">
        <v>42838.0</v>
      </c>
      <c r="AL811" s="56" t="s">
        <v>2952</v>
      </c>
    </row>
    <row r="812" ht="22.5" customHeight="1">
      <c r="A812" s="53"/>
      <c r="B812" s="57" t="s">
        <v>4655</v>
      </c>
      <c r="C812" s="172" t="s">
        <v>4656</v>
      </c>
      <c r="D812" s="54" t="s">
        <v>75</v>
      </c>
      <c r="E812" s="57" t="s">
        <v>4657</v>
      </c>
      <c r="F812" s="54" t="s">
        <v>140</v>
      </c>
      <c r="G812" s="54" t="s">
        <v>85</v>
      </c>
      <c r="H812" s="47"/>
      <c r="I812" s="47"/>
      <c r="J812" s="47"/>
      <c r="K812" s="32" t="s">
        <v>70</v>
      </c>
      <c r="L812" s="54" t="s">
        <v>141</v>
      </c>
      <c r="M812" s="63" t="s">
        <v>218</v>
      </c>
      <c r="N812" s="32" t="s">
        <v>89</v>
      </c>
      <c r="O812" s="32" t="s">
        <v>915</v>
      </c>
      <c r="P812" s="32"/>
      <c r="Q812" s="47"/>
      <c r="R812" s="47"/>
      <c r="S812" s="32" t="s">
        <v>915</v>
      </c>
      <c r="T812" s="45" t="s">
        <v>4658</v>
      </c>
      <c r="U812" s="47"/>
      <c r="V812" s="65"/>
      <c r="W812" s="57" t="s">
        <v>4659</v>
      </c>
      <c r="X812" s="57" t="s">
        <v>4660</v>
      </c>
      <c r="Y812" s="67" t="s">
        <v>4661</v>
      </c>
      <c r="Z812" s="32" t="s">
        <v>112</v>
      </c>
      <c r="AA812" s="47"/>
      <c r="AB812" s="57" t="s">
        <v>240</v>
      </c>
      <c r="AC812" s="32" t="s">
        <v>4662</v>
      </c>
      <c r="AD812" s="73"/>
      <c r="AE812" s="57"/>
      <c r="AF812" s="54" t="s">
        <v>80</v>
      </c>
      <c r="AG812" s="45" t="s">
        <v>4663</v>
      </c>
      <c r="AH812" s="47"/>
      <c r="AI812" s="58"/>
      <c r="AJ812" s="83">
        <v>42815.0</v>
      </c>
      <c r="AK812" s="83">
        <v>42894.0</v>
      </c>
      <c r="AL812" s="56" t="s">
        <v>928</v>
      </c>
    </row>
    <row r="813" ht="22.5" customHeight="1">
      <c r="A813" s="53"/>
      <c r="B813" s="57" t="s">
        <v>4664</v>
      </c>
      <c r="C813" s="57" t="s">
        <v>4665</v>
      </c>
      <c r="D813" s="54" t="s">
        <v>91</v>
      </c>
      <c r="E813" s="57" t="s">
        <v>230</v>
      </c>
      <c r="F813" s="54" t="s">
        <v>140</v>
      </c>
      <c r="G813" s="54" t="s">
        <v>85</v>
      </c>
      <c r="H813" s="47"/>
      <c r="I813" s="47"/>
      <c r="J813" s="47"/>
      <c r="K813" s="32" t="s">
        <v>70</v>
      </c>
      <c r="L813" s="54" t="s">
        <v>141</v>
      </c>
      <c r="M813" s="63" t="s">
        <v>383</v>
      </c>
      <c r="N813" s="32" t="s">
        <v>89</v>
      </c>
      <c r="O813" s="32" t="s">
        <v>196</v>
      </c>
      <c r="P813" s="32" t="s">
        <v>2084</v>
      </c>
      <c r="Q813" s="47"/>
      <c r="R813" s="47"/>
      <c r="S813" s="32" t="s">
        <v>196</v>
      </c>
      <c r="T813" s="38"/>
      <c r="U813" s="47"/>
      <c r="V813" s="65"/>
      <c r="W813" s="57" t="s">
        <v>4666</v>
      </c>
      <c r="X813" s="57" t="s">
        <v>4667</v>
      </c>
      <c r="Y813" s="57"/>
      <c r="Z813" s="32" t="s">
        <v>112</v>
      </c>
      <c r="AA813" s="47"/>
      <c r="AB813" s="57" t="s">
        <v>389</v>
      </c>
      <c r="AC813" s="32" t="s">
        <v>4668</v>
      </c>
      <c r="AD813" s="73"/>
      <c r="AE813" s="57"/>
      <c r="AF813" s="54" t="s">
        <v>80</v>
      </c>
      <c r="AG813" s="56" t="s">
        <v>4669</v>
      </c>
      <c r="AH813" s="47"/>
      <c r="AI813" s="41"/>
      <c r="AJ813" s="77"/>
      <c r="AK813" s="83">
        <v>42599.0</v>
      </c>
      <c r="AL813" s="56" t="s">
        <v>208</v>
      </c>
    </row>
    <row r="814" ht="22.5" customHeight="1">
      <c r="A814" s="148"/>
      <c r="B814" s="63" t="s">
        <v>4670</v>
      </c>
      <c r="C814" s="63" t="s">
        <v>4671</v>
      </c>
      <c r="D814" s="34" t="s">
        <v>75</v>
      </c>
      <c r="E814" s="63" t="s">
        <v>4672</v>
      </c>
      <c r="F814" s="34" t="s">
        <v>140</v>
      </c>
      <c r="G814" s="34" t="s">
        <v>85</v>
      </c>
      <c r="H814" s="36"/>
      <c r="I814" s="36"/>
      <c r="J814" s="36"/>
      <c r="K814" s="32" t="s">
        <v>70</v>
      </c>
      <c r="L814" s="34" t="s">
        <v>141</v>
      </c>
      <c r="M814" s="63" t="s">
        <v>383</v>
      </c>
      <c r="N814" s="32" t="s">
        <v>89</v>
      </c>
      <c r="O814" s="32" t="s">
        <v>196</v>
      </c>
      <c r="P814" s="47"/>
      <c r="Q814" s="38"/>
      <c r="R814" s="36"/>
      <c r="S814" s="32" t="s">
        <v>196</v>
      </c>
      <c r="T814" s="38"/>
      <c r="U814" s="323"/>
      <c r="V814" s="41"/>
      <c r="W814" s="63" t="s">
        <v>4673</v>
      </c>
      <c r="X814" s="63" t="s">
        <v>4674</v>
      </c>
      <c r="Y814" s="56" t="s">
        <v>4675</v>
      </c>
      <c r="Z814" s="32" t="s">
        <v>112</v>
      </c>
      <c r="AA814" s="38"/>
      <c r="AB814" s="60" t="s">
        <v>834</v>
      </c>
      <c r="AC814" s="63" t="s">
        <v>4676</v>
      </c>
      <c r="AD814" s="153"/>
      <c r="AE814" s="262"/>
      <c r="AF814" s="34" t="s">
        <v>80</v>
      </c>
      <c r="AG814" s="56" t="s">
        <v>4677</v>
      </c>
      <c r="AH814" s="47"/>
      <c r="AI814" s="155"/>
      <c r="AJ814" s="47"/>
      <c r="AK814" s="58">
        <v>43278.0</v>
      </c>
      <c r="AL814" s="56" t="s">
        <v>208</v>
      </c>
    </row>
    <row r="815" ht="22.5" customHeight="1">
      <c r="A815" s="53"/>
      <c r="B815" s="57" t="s">
        <v>4678</v>
      </c>
      <c r="C815" s="57" t="s">
        <v>4679</v>
      </c>
      <c r="D815" s="54" t="s">
        <v>75</v>
      </c>
      <c r="E815" s="57" t="s">
        <v>4680</v>
      </c>
      <c r="F815" s="54" t="s">
        <v>140</v>
      </c>
      <c r="G815" s="54" t="s">
        <v>85</v>
      </c>
      <c r="H815" s="47"/>
      <c r="I815" s="47"/>
      <c r="J815" s="47"/>
      <c r="K815" s="32" t="s">
        <v>70</v>
      </c>
      <c r="L815" s="54" t="s">
        <v>141</v>
      </c>
      <c r="M815" s="63" t="s">
        <v>383</v>
      </c>
      <c r="N815" s="32" t="s">
        <v>89</v>
      </c>
      <c r="O815" s="32" t="s">
        <v>1864</v>
      </c>
      <c r="P815" s="47"/>
      <c r="Q815" s="47"/>
      <c r="R815" s="47"/>
      <c r="S815" s="32" t="s">
        <v>1864</v>
      </c>
      <c r="T815" s="38"/>
      <c r="U815" s="47"/>
      <c r="V815" s="54" t="s">
        <v>80</v>
      </c>
      <c r="W815" s="57" t="s">
        <v>4681</v>
      </c>
      <c r="X815" s="57" t="s">
        <v>4682</v>
      </c>
      <c r="Y815" s="67" t="s">
        <v>4683</v>
      </c>
      <c r="Z815" s="32" t="s">
        <v>112</v>
      </c>
      <c r="AA815" s="47"/>
      <c r="AB815" s="60" t="s">
        <v>834</v>
      </c>
      <c r="AC815" s="32" t="s">
        <v>4684</v>
      </c>
      <c r="AD815" s="73"/>
      <c r="AE815" s="47"/>
      <c r="AF815" s="54" t="s">
        <v>80</v>
      </c>
      <c r="AG815" s="56" t="s">
        <v>4685</v>
      </c>
      <c r="AH815" s="47"/>
      <c r="AI815" s="58"/>
      <c r="AJ815" s="77"/>
      <c r="AK815" s="83">
        <v>42898.0</v>
      </c>
      <c r="AL815" s="56" t="s">
        <v>2588</v>
      </c>
    </row>
    <row r="816" ht="22.5" customHeight="1">
      <c r="A816" s="53"/>
      <c r="B816" s="57" t="s">
        <v>4686</v>
      </c>
      <c r="C816" s="57" t="s">
        <v>4687</v>
      </c>
      <c r="D816" s="54" t="s">
        <v>584</v>
      </c>
      <c r="E816" s="57" t="s">
        <v>4688</v>
      </c>
      <c r="F816" s="54"/>
      <c r="G816" s="54" t="s">
        <v>85</v>
      </c>
      <c r="H816" s="47"/>
      <c r="I816" s="47"/>
      <c r="J816" s="47"/>
      <c r="K816" s="32" t="s">
        <v>70</v>
      </c>
      <c r="L816" s="54" t="s">
        <v>87</v>
      </c>
      <c r="M816" s="63" t="s">
        <v>218</v>
      </c>
      <c r="N816" s="32" t="s">
        <v>89</v>
      </c>
      <c r="O816" s="32"/>
      <c r="P816" s="47"/>
      <c r="Q816" s="47"/>
      <c r="R816" s="47"/>
      <c r="S816" s="32"/>
      <c r="T816" s="45" t="s">
        <v>4689</v>
      </c>
      <c r="U816" s="47"/>
      <c r="V816" s="54"/>
      <c r="W816" s="57" t="s">
        <v>4690</v>
      </c>
      <c r="X816" s="57" t="s">
        <v>4691</v>
      </c>
      <c r="Y816" s="67" t="s">
        <v>4692</v>
      </c>
      <c r="Z816" s="32" t="s">
        <v>112</v>
      </c>
      <c r="AA816" s="47"/>
      <c r="AB816" s="60" t="s">
        <v>113</v>
      </c>
      <c r="AC816" s="32" t="s">
        <v>4693</v>
      </c>
      <c r="AD816" s="73"/>
      <c r="AE816" s="47"/>
      <c r="AF816" s="54" t="s">
        <v>80</v>
      </c>
      <c r="AG816" s="56" t="s">
        <v>4694</v>
      </c>
      <c r="AH816" s="47"/>
      <c r="AI816" s="58"/>
      <c r="AJ816" s="83">
        <v>43319.0</v>
      </c>
      <c r="AK816" s="83"/>
      <c r="AL816" s="63"/>
    </row>
    <row r="817" ht="22.5" customHeight="1">
      <c r="A817" s="53"/>
      <c r="B817" s="57" t="s">
        <v>4695</v>
      </c>
      <c r="C817" s="57" t="s">
        <v>4696</v>
      </c>
      <c r="D817" s="54" t="s">
        <v>75</v>
      </c>
      <c r="E817" s="57" t="s">
        <v>4697</v>
      </c>
      <c r="F817" s="54" t="s">
        <v>140</v>
      </c>
      <c r="G817" s="54" t="s">
        <v>85</v>
      </c>
      <c r="H817" s="47"/>
      <c r="I817" s="47"/>
      <c r="J817" s="47"/>
      <c r="K817" s="32" t="s">
        <v>70</v>
      </c>
      <c r="L817" s="54" t="s">
        <v>141</v>
      </c>
      <c r="M817" s="63" t="s">
        <v>88</v>
      </c>
      <c r="N817" s="32" t="s">
        <v>4106</v>
      </c>
      <c r="O817" s="32" t="s">
        <v>402</v>
      </c>
      <c r="P817" s="47"/>
      <c r="Q817" s="47"/>
      <c r="R817" s="47"/>
      <c r="S817" s="32" t="s">
        <v>402</v>
      </c>
      <c r="T817" s="45" t="s">
        <v>4698</v>
      </c>
      <c r="U817" s="47"/>
      <c r="V817" s="54" t="s">
        <v>80</v>
      </c>
      <c r="W817" s="57" t="s">
        <v>4699</v>
      </c>
      <c r="X817" s="57" t="s">
        <v>4700</v>
      </c>
      <c r="Y817" s="67" t="s">
        <v>4701</v>
      </c>
      <c r="Z817" s="32" t="s">
        <v>112</v>
      </c>
      <c r="AA817" s="47"/>
      <c r="AB817" s="60" t="s">
        <v>647</v>
      </c>
      <c r="AC817" s="32" t="s">
        <v>4702</v>
      </c>
      <c r="AD817" s="73"/>
      <c r="AE817" s="47"/>
      <c r="AF817" s="54" t="s">
        <v>80</v>
      </c>
      <c r="AG817" s="56" t="s">
        <v>4703</v>
      </c>
      <c r="AH817" s="47"/>
      <c r="AI817" s="58"/>
      <c r="AJ817" s="77"/>
      <c r="AK817" s="83">
        <v>43192.0</v>
      </c>
      <c r="AL817" s="56" t="s">
        <v>1033</v>
      </c>
    </row>
    <row r="818" ht="22.5" customHeight="1">
      <c r="A818" s="53"/>
      <c r="B818" s="57" t="s">
        <v>4704</v>
      </c>
      <c r="C818" s="57" t="s">
        <v>4705</v>
      </c>
      <c r="D818" s="54" t="s">
        <v>75</v>
      </c>
      <c r="E818" s="57" t="s">
        <v>4706</v>
      </c>
      <c r="F818" s="54" t="s">
        <v>140</v>
      </c>
      <c r="G818" s="54" t="s">
        <v>85</v>
      </c>
      <c r="H818" s="47"/>
      <c r="I818" s="47"/>
      <c r="J818" s="47"/>
      <c r="K818" s="32" t="s">
        <v>70</v>
      </c>
      <c r="L818" s="54" t="s">
        <v>141</v>
      </c>
      <c r="M818" s="63" t="s">
        <v>313</v>
      </c>
      <c r="N818" s="32" t="s">
        <v>89</v>
      </c>
      <c r="O818" s="32" t="s">
        <v>175</v>
      </c>
      <c r="P818" s="57" t="s">
        <v>556</v>
      </c>
      <c r="Q818" s="47"/>
      <c r="R818" s="47"/>
      <c r="S818" s="32" t="s">
        <v>175</v>
      </c>
      <c r="T818" s="38"/>
      <c r="U818" s="47"/>
      <c r="V818" s="54" t="s">
        <v>80</v>
      </c>
      <c r="W818" s="57" t="s">
        <v>4707</v>
      </c>
      <c r="X818" s="57" t="s">
        <v>4708</v>
      </c>
      <c r="Y818" s="67" t="s">
        <v>4709</v>
      </c>
      <c r="Z818" s="32" t="s">
        <v>112</v>
      </c>
      <c r="AA818" s="47"/>
      <c r="AB818" s="32" t="s">
        <v>575</v>
      </c>
      <c r="AC818" s="32" t="s">
        <v>4710</v>
      </c>
      <c r="AD818" s="73"/>
      <c r="AE818" s="47"/>
      <c r="AF818" s="54" t="s">
        <v>80</v>
      </c>
      <c r="AG818" s="56" t="s">
        <v>4711</v>
      </c>
      <c r="AH818" s="47"/>
      <c r="AI818" s="58"/>
      <c r="AJ818" s="83"/>
      <c r="AK818" s="83">
        <v>43158.0</v>
      </c>
      <c r="AL818" s="56" t="s">
        <v>188</v>
      </c>
    </row>
    <row r="819" ht="22.5" customHeight="1">
      <c r="A819" s="53"/>
      <c r="B819" s="57" t="s">
        <v>4712</v>
      </c>
      <c r="C819" s="57" t="s">
        <v>4713</v>
      </c>
      <c r="D819" s="54" t="s">
        <v>75</v>
      </c>
      <c r="E819" s="57" t="s">
        <v>4714</v>
      </c>
      <c r="F819" s="54"/>
      <c r="G819" s="54" t="s">
        <v>85</v>
      </c>
      <c r="H819" s="47"/>
      <c r="I819" s="47"/>
      <c r="J819" s="47"/>
      <c r="K819" s="32" t="s">
        <v>70</v>
      </c>
      <c r="L819" s="54" t="s">
        <v>87</v>
      </c>
      <c r="M819" s="63" t="s">
        <v>218</v>
      </c>
      <c r="N819" s="32" t="s">
        <v>89</v>
      </c>
      <c r="O819" s="32"/>
      <c r="P819" s="57"/>
      <c r="Q819" s="47"/>
      <c r="R819" s="47"/>
      <c r="S819" s="32"/>
      <c r="T819" s="45" t="s">
        <v>4715</v>
      </c>
      <c r="U819" s="47"/>
      <c r="V819" s="54"/>
      <c r="W819" s="57" t="s">
        <v>4716</v>
      </c>
      <c r="X819" s="57" t="s">
        <v>4717</v>
      </c>
      <c r="Y819" s="67" t="s">
        <v>4718</v>
      </c>
      <c r="Z819" s="32" t="s">
        <v>112</v>
      </c>
      <c r="AA819" s="47"/>
      <c r="AB819" s="32" t="s">
        <v>4719</v>
      </c>
      <c r="AC819" s="32" t="s">
        <v>4720</v>
      </c>
      <c r="AD819" s="73"/>
      <c r="AE819" s="47"/>
      <c r="AF819" s="54" t="s">
        <v>80</v>
      </c>
      <c r="AG819" s="56" t="s">
        <v>4721</v>
      </c>
      <c r="AH819" s="47"/>
      <c r="AI819" s="58"/>
      <c r="AJ819" s="83">
        <v>43266.0</v>
      </c>
      <c r="AK819" s="83"/>
      <c r="AL819" s="63"/>
    </row>
    <row r="820" ht="22.5" customHeight="1">
      <c r="A820" s="53"/>
      <c r="B820" s="57" t="s">
        <v>4722</v>
      </c>
      <c r="C820" s="57" t="s">
        <v>4723</v>
      </c>
      <c r="D820" s="54" t="s">
        <v>75</v>
      </c>
      <c r="E820" s="57" t="s">
        <v>4724</v>
      </c>
      <c r="F820" s="54" t="s">
        <v>140</v>
      </c>
      <c r="G820" s="54" t="s">
        <v>85</v>
      </c>
      <c r="H820" s="47"/>
      <c r="I820" s="47"/>
      <c r="J820" s="47"/>
      <c r="K820" s="32" t="s">
        <v>70</v>
      </c>
      <c r="L820" s="54" t="s">
        <v>141</v>
      </c>
      <c r="M820" s="63" t="s">
        <v>88</v>
      </c>
      <c r="N820" s="32" t="s">
        <v>89</v>
      </c>
      <c r="O820" s="32" t="s">
        <v>2119</v>
      </c>
      <c r="P820" s="57"/>
      <c r="Q820" s="47"/>
      <c r="R820" s="47"/>
      <c r="S820" s="32" t="s">
        <v>2119</v>
      </c>
      <c r="T820" s="38"/>
      <c r="U820" s="47"/>
      <c r="V820" s="54" t="s">
        <v>74</v>
      </c>
      <c r="W820" s="57" t="s">
        <v>4725</v>
      </c>
      <c r="X820" s="57" t="s">
        <v>4726</v>
      </c>
      <c r="Y820" s="67" t="s">
        <v>4727</v>
      </c>
      <c r="Z820" s="32" t="s">
        <v>112</v>
      </c>
      <c r="AA820" s="47"/>
      <c r="AB820" s="32" t="s">
        <v>389</v>
      </c>
      <c r="AC820" s="32" t="s">
        <v>4728</v>
      </c>
      <c r="AD820" s="73"/>
      <c r="AE820" s="47"/>
      <c r="AF820" s="54" t="s">
        <v>80</v>
      </c>
      <c r="AG820" s="56" t="s">
        <v>4729</v>
      </c>
      <c r="AH820" s="47"/>
      <c r="AI820" s="58"/>
      <c r="AJ820" s="83"/>
      <c r="AK820" s="83">
        <v>43327.0</v>
      </c>
      <c r="AL820" s="56" t="s">
        <v>4005</v>
      </c>
    </row>
    <row r="821" ht="22.5" customHeight="1">
      <c r="A821" s="53"/>
      <c r="B821" s="57" t="s">
        <v>4730</v>
      </c>
      <c r="C821" s="57" t="s">
        <v>4731</v>
      </c>
      <c r="D821" s="54" t="s">
        <v>75</v>
      </c>
      <c r="E821" s="57" t="s">
        <v>4732</v>
      </c>
      <c r="F821" s="54" t="s">
        <v>140</v>
      </c>
      <c r="G821" s="54" t="s">
        <v>85</v>
      </c>
      <c r="H821" s="47"/>
      <c r="I821" s="47"/>
      <c r="J821" s="47"/>
      <c r="K821" s="32" t="s">
        <v>70</v>
      </c>
      <c r="L821" s="54" t="s">
        <v>141</v>
      </c>
      <c r="M821" s="63" t="s">
        <v>88</v>
      </c>
      <c r="N821" s="32" t="s">
        <v>4106</v>
      </c>
      <c r="O821" s="32" t="s">
        <v>1418</v>
      </c>
      <c r="P821" s="57" t="s">
        <v>4733</v>
      </c>
      <c r="Q821" s="47"/>
      <c r="R821" s="47"/>
      <c r="S821" s="32" t="s">
        <v>1418</v>
      </c>
      <c r="T821" s="38"/>
      <c r="U821" s="47"/>
      <c r="V821" s="54" t="s">
        <v>80</v>
      </c>
      <c r="W821" s="57" t="s">
        <v>4734</v>
      </c>
      <c r="X821" s="57" t="s">
        <v>4735</v>
      </c>
      <c r="Y821" s="67" t="s">
        <v>4736</v>
      </c>
      <c r="Z821" s="32" t="s">
        <v>112</v>
      </c>
      <c r="AA821" s="47"/>
      <c r="AB821" s="32" t="s">
        <v>834</v>
      </c>
      <c r="AC821" s="32" t="s">
        <v>4737</v>
      </c>
      <c r="AD821" s="73"/>
      <c r="AE821" s="47"/>
      <c r="AF821" s="54" t="s">
        <v>80</v>
      </c>
      <c r="AG821" s="56" t="s">
        <v>4738</v>
      </c>
      <c r="AH821" s="47"/>
      <c r="AI821" s="58"/>
      <c r="AJ821" s="83"/>
      <c r="AK821" s="83">
        <v>43313.0</v>
      </c>
      <c r="AL821" s="56" t="s">
        <v>2952</v>
      </c>
    </row>
    <row r="822" ht="22.5" customHeight="1">
      <c r="A822" s="53"/>
      <c r="B822" s="57" t="s">
        <v>4739</v>
      </c>
      <c r="C822" s="57" t="s">
        <v>4740</v>
      </c>
      <c r="D822" s="34" t="s">
        <v>192</v>
      </c>
      <c r="E822" s="57" t="s">
        <v>4741</v>
      </c>
      <c r="F822" s="54"/>
      <c r="G822" s="54" t="s">
        <v>85</v>
      </c>
      <c r="H822" s="47"/>
      <c r="I822" s="47"/>
      <c r="J822" s="47"/>
      <c r="K822" s="32" t="s">
        <v>70</v>
      </c>
      <c r="L822" s="54" t="s">
        <v>87</v>
      </c>
      <c r="M822" s="63" t="s">
        <v>218</v>
      </c>
      <c r="N822" s="32" t="s">
        <v>434</v>
      </c>
      <c r="O822" s="32"/>
      <c r="P822" s="57"/>
      <c r="Q822" s="47"/>
      <c r="R822" s="47"/>
      <c r="S822" s="32"/>
      <c r="T822" s="45" t="s">
        <v>4742</v>
      </c>
      <c r="U822" s="47"/>
      <c r="V822" s="54"/>
      <c r="W822" s="57" t="s">
        <v>4743</v>
      </c>
      <c r="X822" s="57" t="s">
        <v>4744</v>
      </c>
      <c r="Y822" s="67" t="s">
        <v>4745</v>
      </c>
      <c r="Z822" s="32" t="s">
        <v>112</v>
      </c>
      <c r="AA822" s="47"/>
      <c r="AB822" s="121" t="s">
        <v>109</v>
      </c>
      <c r="AC822" s="32" t="s">
        <v>4746</v>
      </c>
      <c r="AD822" s="73"/>
      <c r="AE822" s="47"/>
      <c r="AF822" s="54" t="s">
        <v>80</v>
      </c>
      <c r="AG822" s="56" t="s">
        <v>4747</v>
      </c>
      <c r="AH822" s="47"/>
      <c r="AI822" s="58"/>
      <c r="AJ822" s="83">
        <v>43292.0</v>
      </c>
      <c r="AK822" s="83"/>
      <c r="AL822" s="63"/>
    </row>
    <row r="823" ht="22.5" customHeight="1">
      <c r="A823" s="53"/>
      <c r="B823" s="57" t="s">
        <v>1251</v>
      </c>
      <c r="C823" s="57" t="s">
        <v>4748</v>
      </c>
      <c r="D823" s="54" t="s">
        <v>75</v>
      </c>
      <c r="E823" s="57" t="s">
        <v>4749</v>
      </c>
      <c r="F823" s="54" t="s">
        <v>140</v>
      </c>
      <c r="G823" s="54" t="s">
        <v>85</v>
      </c>
      <c r="H823" s="47"/>
      <c r="I823" s="47"/>
      <c r="J823" s="47"/>
      <c r="K823" s="32" t="s">
        <v>70</v>
      </c>
      <c r="L823" s="54" t="s">
        <v>141</v>
      </c>
      <c r="M823" s="63" t="s">
        <v>88</v>
      </c>
      <c r="N823" s="32" t="s">
        <v>89</v>
      </c>
      <c r="O823" s="32" t="s">
        <v>175</v>
      </c>
      <c r="P823" s="57" t="s">
        <v>876</v>
      </c>
      <c r="Q823" s="47"/>
      <c r="R823" s="47"/>
      <c r="S823" s="32" t="s">
        <v>175</v>
      </c>
      <c r="T823" s="38"/>
      <c r="U823" s="47"/>
      <c r="V823" s="54" t="s">
        <v>80</v>
      </c>
      <c r="W823" s="57" t="s">
        <v>4750</v>
      </c>
      <c r="X823" s="57" t="s">
        <v>4751</v>
      </c>
      <c r="Y823" s="57" t="s">
        <v>4752</v>
      </c>
      <c r="Z823" s="32" t="s">
        <v>112</v>
      </c>
      <c r="AA823" s="47"/>
      <c r="AB823" s="32" t="s">
        <v>113</v>
      </c>
      <c r="AC823" s="32" t="s">
        <v>4753</v>
      </c>
      <c r="AD823" s="73"/>
      <c r="AE823" s="47"/>
      <c r="AF823" s="54" t="s">
        <v>80</v>
      </c>
      <c r="AG823" s="56" t="s">
        <v>1269</v>
      </c>
      <c r="AH823" s="47"/>
      <c r="AI823" s="58"/>
      <c r="AJ823" s="83"/>
      <c r="AK823" s="83">
        <v>43249.0</v>
      </c>
      <c r="AL823" s="56" t="s">
        <v>188</v>
      </c>
    </row>
    <row r="824" ht="22.5" customHeight="1">
      <c r="A824" s="53"/>
      <c r="B824" s="57" t="s">
        <v>1251</v>
      </c>
      <c r="C824" s="57" t="s">
        <v>4754</v>
      </c>
      <c r="D824" s="54" t="s">
        <v>75</v>
      </c>
      <c r="E824" s="57" t="s">
        <v>4755</v>
      </c>
      <c r="F824" s="54" t="s">
        <v>140</v>
      </c>
      <c r="G824" s="54" t="s">
        <v>85</v>
      </c>
      <c r="H824" s="47"/>
      <c r="I824" s="47"/>
      <c r="J824" s="47"/>
      <c r="K824" s="32" t="s">
        <v>70</v>
      </c>
      <c r="L824" s="54" t="s">
        <v>141</v>
      </c>
      <c r="M824" s="63" t="s">
        <v>218</v>
      </c>
      <c r="N824" s="32" t="s">
        <v>89</v>
      </c>
      <c r="O824" s="32" t="s">
        <v>2119</v>
      </c>
      <c r="P824" s="47"/>
      <c r="Q824" s="47"/>
      <c r="R824" s="47"/>
      <c r="S824" s="32" t="s">
        <v>2119</v>
      </c>
      <c r="T824" s="45" t="s">
        <v>4756</v>
      </c>
      <c r="U824" s="47"/>
      <c r="V824" s="54" t="s">
        <v>74</v>
      </c>
      <c r="W824" s="57" t="s">
        <v>4757</v>
      </c>
      <c r="X824" s="57" t="s">
        <v>4758</v>
      </c>
      <c r="Y824" s="152" t="s">
        <v>4759</v>
      </c>
      <c r="Z824" s="32" t="s">
        <v>112</v>
      </c>
      <c r="AA824" s="47"/>
      <c r="AB824" s="60" t="s">
        <v>113</v>
      </c>
      <c r="AC824" s="32" t="s">
        <v>4760</v>
      </c>
      <c r="AD824" s="73"/>
      <c r="AE824" s="47"/>
      <c r="AF824" s="54" t="s">
        <v>80</v>
      </c>
      <c r="AG824" s="56" t="s">
        <v>1269</v>
      </c>
      <c r="AH824" s="47"/>
      <c r="AI824" s="58"/>
      <c r="AJ824" s="83"/>
      <c r="AK824" s="83">
        <v>42902.0</v>
      </c>
      <c r="AL824" s="56" t="s">
        <v>4005</v>
      </c>
    </row>
    <row r="825" ht="22.5" customHeight="1">
      <c r="A825" s="53"/>
      <c r="B825" s="67" t="s">
        <v>4761</v>
      </c>
      <c r="C825" s="57" t="s">
        <v>4762</v>
      </c>
      <c r="D825" s="54" t="s">
        <v>75</v>
      </c>
      <c r="E825" s="57" t="s">
        <v>4763</v>
      </c>
      <c r="F825" s="54"/>
      <c r="G825" s="54" t="s">
        <v>85</v>
      </c>
      <c r="H825" s="47"/>
      <c r="I825" s="47"/>
      <c r="J825" s="47"/>
      <c r="K825" s="32" t="s">
        <v>70</v>
      </c>
      <c r="L825" s="54" t="s">
        <v>87</v>
      </c>
      <c r="M825" s="63" t="s">
        <v>88</v>
      </c>
      <c r="N825" s="32" t="s">
        <v>89</v>
      </c>
      <c r="O825" s="32"/>
      <c r="P825" s="47"/>
      <c r="Q825" s="47"/>
      <c r="R825" s="47"/>
      <c r="S825" s="32"/>
      <c r="T825" s="45" t="s">
        <v>4764</v>
      </c>
      <c r="U825" s="47"/>
      <c r="V825" s="54"/>
      <c r="W825" s="57" t="s">
        <v>4765</v>
      </c>
      <c r="X825" s="57" t="s">
        <v>4766</v>
      </c>
      <c r="Y825" s="152" t="s">
        <v>4767</v>
      </c>
      <c r="Z825" s="32" t="s">
        <v>112</v>
      </c>
      <c r="AA825" s="47"/>
      <c r="AB825" s="60" t="s">
        <v>575</v>
      </c>
      <c r="AC825" s="32" t="s">
        <v>4768</v>
      </c>
      <c r="AD825" s="73"/>
      <c r="AE825" s="47"/>
      <c r="AF825" s="54" t="s">
        <v>80</v>
      </c>
      <c r="AG825" s="56" t="s">
        <v>4769</v>
      </c>
      <c r="AH825" s="47"/>
      <c r="AI825" s="58"/>
      <c r="AJ825" s="83">
        <v>43000.0</v>
      </c>
      <c r="AK825" s="83"/>
      <c r="AL825" s="63"/>
    </row>
    <row r="826" ht="22.5" customHeight="1">
      <c r="A826" s="53"/>
      <c r="B826" s="57" t="s">
        <v>4770</v>
      </c>
      <c r="C826" s="57" t="s">
        <v>4771</v>
      </c>
      <c r="D826" s="54" t="s">
        <v>75</v>
      </c>
      <c r="E826" s="57" t="s">
        <v>4772</v>
      </c>
      <c r="F826" s="34" t="s">
        <v>140</v>
      </c>
      <c r="G826" s="34" t="s">
        <v>85</v>
      </c>
      <c r="H826" s="47"/>
      <c r="I826" s="47"/>
      <c r="J826" s="47"/>
      <c r="K826" s="32" t="s">
        <v>70</v>
      </c>
      <c r="L826" s="54" t="s">
        <v>141</v>
      </c>
      <c r="M826" s="63" t="s">
        <v>218</v>
      </c>
      <c r="N826" s="32" t="s">
        <v>89</v>
      </c>
      <c r="O826" s="32" t="s">
        <v>220</v>
      </c>
      <c r="P826" s="47"/>
      <c r="Q826" s="47"/>
      <c r="R826" s="47"/>
      <c r="S826" s="32" t="s">
        <v>220</v>
      </c>
      <c r="T826" s="38"/>
      <c r="U826" s="47"/>
      <c r="V826" s="54" t="s">
        <v>80</v>
      </c>
      <c r="W826" s="57" t="s">
        <v>4773</v>
      </c>
      <c r="X826" s="57" t="s">
        <v>4774</v>
      </c>
      <c r="Y826" s="67" t="s">
        <v>4775</v>
      </c>
      <c r="Z826" s="32" t="s">
        <v>112</v>
      </c>
      <c r="AA826" s="47"/>
      <c r="AB826" s="60" t="s">
        <v>389</v>
      </c>
      <c r="AC826" s="32" t="s">
        <v>4776</v>
      </c>
      <c r="AD826" s="73"/>
      <c r="AE826" s="47"/>
      <c r="AF826" s="54" t="s">
        <v>80</v>
      </c>
      <c r="AG826" s="56" t="s">
        <v>4777</v>
      </c>
      <c r="AH826" s="47"/>
      <c r="AI826" s="58"/>
      <c r="AJ826" s="83"/>
      <c r="AK826" s="83">
        <v>43264.0</v>
      </c>
      <c r="AL826" s="56" t="s">
        <v>232</v>
      </c>
    </row>
    <row r="827" ht="22.5" customHeight="1">
      <c r="A827" s="148"/>
      <c r="B827" s="149" t="s">
        <v>4778</v>
      </c>
      <c r="C827" s="149" t="s">
        <v>4779</v>
      </c>
      <c r="D827" s="34" t="s">
        <v>75</v>
      </c>
      <c r="E827" s="60" t="s">
        <v>4780</v>
      </c>
      <c r="F827" s="39" t="s">
        <v>140</v>
      </c>
      <c r="G827" s="39" t="s">
        <v>85</v>
      </c>
      <c r="H827" s="36"/>
      <c r="I827" s="150"/>
      <c r="J827" s="36"/>
      <c r="K827" s="32" t="s">
        <v>70</v>
      </c>
      <c r="L827" s="39" t="s">
        <v>141</v>
      </c>
      <c r="M827" s="63" t="s">
        <v>88</v>
      </c>
      <c r="N827" s="32" t="s">
        <v>89</v>
      </c>
      <c r="O827" s="32" t="s">
        <v>142</v>
      </c>
      <c r="P827" s="57" t="s">
        <v>2701</v>
      </c>
      <c r="Q827" s="38"/>
      <c r="R827" s="36"/>
      <c r="S827" s="32" t="s">
        <v>142</v>
      </c>
      <c r="T827" s="151"/>
      <c r="U827" s="151"/>
      <c r="V827" s="34" t="s">
        <v>80</v>
      </c>
      <c r="W827" s="149" t="s">
        <v>4781</v>
      </c>
      <c r="X827" s="149" t="s">
        <v>4782</v>
      </c>
      <c r="Y827" s="152" t="s">
        <v>4783</v>
      </c>
      <c r="Z827" s="32" t="s">
        <v>112</v>
      </c>
      <c r="AA827" s="47"/>
      <c r="AB827" s="149" t="s">
        <v>481</v>
      </c>
      <c r="AC827" s="63" t="s">
        <v>4784</v>
      </c>
      <c r="AD827" s="153"/>
      <c r="AE827" s="47"/>
      <c r="AF827" s="34" t="s">
        <v>80</v>
      </c>
      <c r="AG827" s="56" t="s">
        <v>4785</v>
      </c>
      <c r="AH827" s="47"/>
      <c r="AI827" s="65"/>
      <c r="AJ827" s="47"/>
      <c r="AK827" s="58">
        <v>43195.0</v>
      </c>
      <c r="AL827" s="56" t="s">
        <v>262</v>
      </c>
    </row>
    <row r="828" ht="22.5" customHeight="1">
      <c r="A828" s="148"/>
      <c r="B828" s="149" t="s">
        <v>4786</v>
      </c>
      <c r="C828" s="149" t="s">
        <v>4787</v>
      </c>
      <c r="D828" s="34" t="s">
        <v>75</v>
      </c>
      <c r="E828" s="60" t="s">
        <v>4788</v>
      </c>
      <c r="F828" s="39" t="s">
        <v>140</v>
      </c>
      <c r="G828" s="34" t="s">
        <v>85</v>
      </c>
      <c r="H828" s="36"/>
      <c r="I828" s="150"/>
      <c r="J828" s="36"/>
      <c r="K828" s="32" t="s">
        <v>70</v>
      </c>
      <c r="L828" s="34" t="s">
        <v>141</v>
      </c>
      <c r="M828" s="63" t="s">
        <v>88</v>
      </c>
      <c r="N828" s="32" t="s">
        <v>89</v>
      </c>
      <c r="O828" s="32" t="s">
        <v>1520</v>
      </c>
      <c r="P828" s="47"/>
      <c r="Q828" s="38"/>
      <c r="R828" s="36"/>
      <c r="S828" s="121" t="s">
        <v>1520</v>
      </c>
      <c r="T828" s="56" t="s">
        <v>4789</v>
      </c>
      <c r="U828" s="151"/>
      <c r="V828" s="41"/>
      <c r="W828" s="149" t="s">
        <v>4790</v>
      </c>
      <c r="X828" s="149" t="s">
        <v>4791</v>
      </c>
      <c r="Y828" s="152" t="s">
        <v>4792</v>
      </c>
      <c r="Z828" s="32" t="s">
        <v>112</v>
      </c>
      <c r="AA828" s="47"/>
      <c r="AB828" s="57" t="s">
        <v>290</v>
      </c>
      <c r="AC828" s="63" t="s">
        <v>4793</v>
      </c>
      <c r="AD828" s="153"/>
      <c r="AE828" s="47"/>
      <c r="AF828" s="34" t="s">
        <v>80</v>
      </c>
      <c r="AG828" s="56" t="s">
        <v>4794</v>
      </c>
      <c r="AH828" s="47"/>
      <c r="AI828" s="65"/>
      <c r="AJ828" s="47"/>
      <c r="AK828" s="58">
        <v>42726.0</v>
      </c>
      <c r="AL828" s="56" t="s">
        <v>1530</v>
      </c>
    </row>
    <row r="829" ht="22.5" customHeight="1">
      <c r="A829" s="148"/>
      <c r="B829" s="149" t="s">
        <v>4795</v>
      </c>
      <c r="C829" s="149" t="s">
        <v>4796</v>
      </c>
      <c r="D829" s="34" t="s">
        <v>91</v>
      </c>
      <c r="E829" s="60" t="s">
        <v>4797</v>
      </c>
      <c r="F829" s="39"/>
      <c r="G829" s="34" t="s">
        <v>85</v>
      </c>
      <c r="H829" s="36"/>
      <c r="I829" s="150"/>
      <c r="J829" s="36"/>
      <c r="K829" s="32" t="s">
        <v>70</v>
      </c>
      <c r="L829" s="34" t="s">
        <v>87</v>
      </c>
      <c r="M829" s="63" t="s">
        <v>313</v>
      </c>
      <c r="N829" s="32" t="s">
        <v>89</v>
      </c>
      <c r="O829" s="32"/>
      <c r="P829" s="47"/>
      <c r="Q829" s="38"/>
      <c r="R829" s="36"/>
      <c r="S829" s="121"/>
      <c r="T829" s="56" t="s">
        <v>4798</v>
      </c>
      <c r="U829" s="151"/>
      <c r="V829" s="41"/>
      <c r="W829" s="149" t="s">
        <v>4799</v>
      </c>
      <c r="X829" s="149" t="s">
        <v>4800</v>
      </c>
      <c r="Y829" s="152" t="s">
        <v>4801</v>
      </c>
      <c r="Z829" s="32" t="s">
        <v>112</v>
      </c>
      <c r="AA829" s="47"/>
      <c r="AB829" s="60" t="s">
        <v>66</v>
      </c>
      <c r="AC829" s="63" t="s">
        <v>4802</v>
      </c>
      <c r="AD829" s="153"/>
      <c r="AE829" s="47"/>
      <c r="AF829" s="34" t="s">
        <v>80</v>
      </c>
      <c r="AG829" s="56" t="s">
        <v>4803</v>
      </c>
      <c r="AH829" s="47"/>
      <c r="AI829" s="65"/>
      <c r="AJ829" s="155">
        <v>42951.0</v>
      </c>
      <c r="AK829" s="58"/>
      <c r="AL829" s="63"/>
    </row>
    <row r="830" ht="22.5" customHeight="1">
      <c r="A830" s="148"/>
      <c r="B830" s="149" t="s">
        <v>4804</v>
      </c>
      <c r="C830" s="149" t="s">
        <v>4805</v>
      </c>
      <c r="D830" s="34" t="s">
        <v>75</v>
      </c>
      <c r="E830" s="60" t="s">
        <v>4806</v>
      </c>
      <c r="F830" s="34" t="s">
        <v>140</v>
      </c>
      <c r="G830" s="34" t="s">
        <v>85</v>
      </c>
      <c r="H830" s="36"/>
      <c r="I830" s="150"/>
      <c r="J830" s="36"/>
      <c r="K830" s="32" t="s">
        <v>70</v>
      </c>
      <c r="L830" s="34" t="s">
        <v>141</v>
      </c>
      <c r="M830" s="63" t="s">
        <v>88</v>
      </c>
      <c r="N830" s="32" t="s">
        <v>89</v>
      </c>
      <c r="O830" s="32" t="s">
        <v>4567</v>
      </c>
      <c r="P830" s="47"/>
      <c r="Q830" s="38"/>
      <c r="R830" s="36"/>
      <c r="S830" s="32" t="s">
        <v>4567</v>
      </c>
      <c r="T830" s="56" t="s">
        <v>4807</v>
      </c>
      <c r="U830" s="151"/>
      <c r="V830" s="34" t="s">
        <v>80</v>
      </c>
      <c r="W830" s="149" t="s">
        <v>4808</v>
      </c>
      <c r="X830" s="149" t="s">
        <v>4809</v>
      </c>
      <c r="Y830" s="152" t="s">
        <v>4810</v>
      </c>
      <c r="Z830" s="32" t="s">
        <v>112</v>
      </c>
      <c r="AA830" s="47"/>
      <c r="AB830" s="149" t="s">
        <v>315</v>
      </c>
      <c r="AC830" s="60" t="s">
        <v>4811</v>
      </c>
      <c r="AD830" s="153"/>
      <c r="AE830" s="47"/>
      <c r="AF830" s="34" t="s">
        <v>80</v>
      </c>
      <c r="AG830" s="56" t="s">
        <v>4812</v>
      </c>
      <c r="AH830" s="47"/>
      <c r="AI830" s="65"/>
      <c r="AJ830" s="155">
        <v>42748.0</v>
      </c>
      <c r="AK830" s="58">
        <v>42802.0</v>
      </c>
      <c r="AL830" s="56" t="s">
        <v>188</v>
      </c>
    </row>
    <row r="831" ht="22.5" customHeight="1">
      <c r="A831" s="148"/>
      <c r="B831" s="149" t="s">
        <v>4813</v>
      </c>
      <c r="C831" s="149" t="s">
        <v>737</v>
      </c>
      <c r="D831" s="34" t="s">
        <v>75</v>
      </c>
      <c r="E831" s="60" t="s">
        <v>739</v>
      </c>
      <c r="F831" s="34"/>
      <c r="G831" s="34" t="s">
        <v>85</v>
      </c>
      <c r="H831" s="36"/>
      <c r="I831" s="150"/>
      <c r="J831" s="36"/>
      <c r="K831" s="32" t="s">
        <v>70</v>
      </c>
      <c r="L831" s="34" t="s">
        <v>87</v>
      </c>
      <c r="M831" s="63" t="s">
        <v>218</v>
      </c>
      <c r="N831" s="32" t="s">
        <v>89</v>
      </c>
      <c r="O831" s="32"/>
      <c r="P831" s="47"/>
      <c r="Q831" s="38"/>
      <c r="R831" s="36"/>
      <c r="S831" s="32"/>
      <c r="T831" s="56" t="s">
        <v>4814</v>
      </c>
      <c r="U831" s="151"/>
      <c r="V831" s="34" t="s">
        <v>80</v>
      </c>
      <c r="W831" s="149" t="s">
        <v>747</v>
      </c>
      <c r="X831" s="149" t="s">
        <v>748</v>
      </c>
      <c r="Y831" s="152" t="s">
        <v>749</v>
      </c>
      <c r="Z831" s="32" t="s">
        <v>112</v>
      </c>
      <c r="AA831" s="47"/>
      <c r="AB831" s="32" t="s">
        <v>481</v>
      </c>
      <c r="AC831" s="60" t="s">
        <v>760</v>
      </c>
      <c r="AD831" s="153"/>
      <c r="AE831" s="57"/>
      <c r="AF831" s="295" t="s">
        <v>80</v>
      </c>
      <c r="AG831" s="56" t="s">
        <v>4815</v>
      </c>
      <c r="AH831" s="47"/>
      <c r="AI831" s="65"/>
      <c r="AJ831" s="155">
        <v>43182.0</v>
      </c>
      <c r="AK831" s="58"/>
      <c r="AL831" s="63"/>
    </row>
    <row r="832" ht="22.5" customHeight="1">
      <c r="A832" s="148"/>
      <c r="B832" s="149" t="s">
        <v>4816</v>
      </c>
      <c r="C832" s="149" t="s">
        <v>4817</v>
      </c>
      <c r="D832" s="34" t="s">
        <v>75</v>
      </c>
      <c r="E832" s="60" t="s">
        <v>4818</v>
      </c>
      <c r="F832" s="34" t="s">
        <v>140</v>
      </c>
      <c r="G832" s="34" t="s">
        <v>85</v>
      </c>
      <c r="H832" s="36"/>
      <c r="I832" s="150"/>
      <c r="J832" s="36"/>
      <c r="K832" s="32" t="s">
        <v>70</v>
      </c>
      <c r="L832" s="34" t="s">
        <v>141</v>
      </c>
      <c r="M832" s="63" t="s">
        <v>383</v>
      </c>
      <c r="N832" s="32" t="s">
        <v>89</v>
      </c>
      <c r="O832" s="32" t="s">
        <v>196</v>
      </c>
      <c r="P832" s="57" t="s">
        <v>1569</v>
      </c>
      <c r="Q832" s="38"/>
      <c r="R832" s="36"/>
      <c r="S832" s="32" t="s">
        <v>196</v>
      </c>
      <c r="T832" s="56" t="s">
        <v>4819</v>
      </c>
      <c r="U832" s="151"/>
      <c r="V832" s="34" t="s">
        <v>80</v>
      </c>
      <c r="W832" s="149" t="s">
        <v>4820</v>
      </c>
      <c r="X832" s="149" t="s">
        <v>4821</v>
      </c>
      <c r="Y832" s="152" t="s">
        <v>4822</v>
      </c>
      <c r="Z832" s="32" t="s">
        <v>112</v>
      </c>
      <c r="AA832" s="47"/>
      <c r="AB832" s="149" t="s">
        <v>702</v>
      </c>
      <c r="AC832" s="60" t="s">
        <v>4823</v>
      </c>
      <c r="AD832" s="153"/>
      <c r="AE832" s="47"/>
      <c r="AF832" s="34" t="s">
        <v>80</v>
      </c>
      <c r="AG832" s="56" t="s">
        <v>4824</v>
      </c>
      <c r="AH832" s="47"/>
      <c r="AI832" s="65"/>
      <c r="AJ832" s="155">
        <v>43070.0</v>
      </c>
      <c r="AK832" s="58">
        <v>42930.0</v>
      </c>
      <c r="AL832" s="56" t="s">
        <v>208</v>
      </c>
    </row>
    <row r="833" ht="22.5" customHeight="1">
      <c r="A833" s="148"/>
      <c r="B833" s="63" t="s">
        <v>888</v>
      </c>
      <c r="C833" s="57" t="s">
        <v>4825</v>
      </c>
      <c r="D833" s="41" t="s">
        <v>75</v>
      </c>
      <c r="E833" s="32" t="s">
        <v>4826</v>
      </c>
      <c r="F833" s="39" t="s">
        <v>140</v>
      </c>
      <c r="G833" s="34" t="s">
        <v>85</v>
      </c>
      <c r="H833" s="36"/>
      <c r="I833" s="150"/>
      <c r="J833" s="36"/>
      <c r="K833" s="32" t="s">
        <v>70</v>
      </c>
      <c r="L833" s="34" t="s">
        <v>141</v>
      </c>
      <c r="M833" s="63" t="s">
        <v>383</v>
      </c>
      <c r="N833" s="32" t="s">
        <v>434</v>
      </c>
      <c r="O833" s="32" t="s">
        <v>969</v>
      </c>
      <c r="P833" s="57"/>
      <c r="Q833" s="38"/>
      <c r="R833" s="36"/>
      <c r="S833" s="32" t="s">
        <v>969</v>
      </c>
      <c r="T833" s="56" t="s">
        <v>2203</v>
      </c>
      <c r="U833" s="151"/>
      <c r="V833" s="34" t="s">
        <v>80</v>
      </c>
      <c r="W833" s="139" t="s">
        <v>561</v>
      </c>
      <c r="X833" s="139" t="s">
        <v>1287</v>
      </c>
      <c r="Y833" s="202" t="s">
        <v>1288</v>
      </c>
      <c r="Z833" s="32" t="s">
        <v>112</v>
      </c>
      <c r="AA833" s="32"/>
      <c r="AB833" s="32" t="s">
        <v>113</v>
      </c>
      <c r="AC833" s="60" t="s">
        <v>4827</v>
      </c>
      <c r="AD833" s="38"/>
      <c r="AE833" s="153"/>
      <c r="AF833" s="34" t="s">
        <v>80</v>
      </c>
      <c r="AG833" s="56" t="s">
        <v>900</v>
      </c>
      <c r="AH833" s="63"/>
      <c r="AI833" s="41"/>
      <c r="AJ833" s="61"/>
      <c r="AK833" s="58">
        <v>43251.0</v>
      </c>
      <c r="AL833" s="56" t="s">
        <v>1043</v>
      </c>
    </row>
    <row r="834" ht="22.5" customHeight="1">
      <c r="A834" s="53"/>
      <c r="B834" s="57" t="s">
        <v>4828</v>
      </c>
      <c r="C834" s="57" t="s">
        <v>4829</v>
      </c>
      <c r="D834" s="54" t="s">
        <v>75</v>
      </c>
      <c r="E834" s="57" t="s">
        <v>4830</v>
      </c>
      <c r="F834" s="54"/>
      <c r="G834" s="54" t="s">
        <v>85</v>
      </c>
      <c r="H834" s="47"/>
      <c r="I834" s="47"/>
      <c r="J834" s="47"/>
      <c r="K834" s="32" t="s">
        <v>70</v>
      </c>
      <c r="L834" s="54" t="s">
        <v>87</v>
      </c>
      <c r="M834" s="63" t="s">
        <v>88</v>
      </c>
      <c r="N834" s="32" t="s">
        <v>89</v>
      </c>
      <c r="O834" s="32"/>
      <c r="P834" s="57"/>
      <c r="Q834" s="47"/>
      <c r="R834" s="47"/>
      <c r="S834" s="32"/>
      <c r="T834" s="45" t="s">
        <v>4831</v>
      </c>
      <c r="U834" s="47"/>
      <c r="V834" s="54"/>
      <c r="W834" s="57" t="s">
        <v>4832</v>
      </c>
      <c r="X834" s="57" t="s">
        <v>4833</v>
      </c>
      <c r="Y834" s="67" t="s">
        <v>4834</v>
      </c>
      <c r="Z834" s="32" t="s">
        <v>112</v>
      </c>
      <c r="AA834" s="47"/>
      <c r="AB834" s="32" t="s">
        <v>1183</v>
      </c>
      <c r="AC834" s="32" t="s">
        <v>4835</v>
      </c>
      <c r="AD834" s="73"/>
      <c r="AE834" s="47"/>
      <c r="AF834" s="54" t="s">
        <v>80</v>
      </c>
      <c r="AG834" s="56" t="s">
        <v>4836</v>
      </c>
      <c r="AH834" s="47"/>
      <c r="AI834" s="324"/>
      <c r="AJ834" s="83">
        <v>42985.0</v>
      </c>
      <c r="AK834" s="83"/>
      <c r="AL834" s="63"/>
    </row>
    <row r="835" ht="22.5" customHeight="1">
      <c r="A835" s="53"/>
      <c r="B835" s="57" t="s">
        <v>4837</v>
      </c>
      <c r="C835" s="57" t="s">
        <v>4838</v>
      </c>
      <c r="D835" s="54" t="s">
        <v>75</v>
      </c>
      <c r="E835" s="57" t="s">
        <v>4839</v>
      </c>
      <c r="F835" s="54" t="s">
        <v>140</v>
      </c>
      <c r="G835" s="54" t="s">
        <v>85</v>
      </c>
      <c r="H835" s="47"/>
      <c r="I835" s="47"/>
      <c r="J835" s="47"/>
      <c r="K835" s="32" t="s">
        <v>70</v>
      </c>
      <c r="L835" s="54" t="s">
        <v>141</v>
      </c>
      <c r="M835" s="63" t="s">
        <v>218</v>
      </c>
      <c r="N835" s="32" t="s">
        <v>89</v>
      </c>
      <c r="O835" s="32" t="s">
        <v>1570</v>
      </c>
      <c r="P835" s="57"/>
      <c r="Q835" s="47"/>
      <c r="R835" s="47"/>
      <c r="S835" s="32" t="s">
        <v>1570</v>
      </c>
      <c r="T835" s="38"/>
      <c r="U835" s="47"/>
      <c r="V835" s="54" t="s">
        <v>74</v>
      </c>
      <c r="W835" s="57" t="s">
        <v>4840</v>
      </c>
      <c r="X835" s="57" t="s">
        <v>4841</v>
      </c>
      <c r="Y835" s="67" t="s">
        <v>4842</v>
      </c>
      <c r="Z835" s="32" t="s">
        <v>112</v>
      </c>
      <c r="AA835" s="47"/>
      <c r="AB835" s="57" t="s">
        <v>389</v>
      </c>
      <c r="AC835" s="32" t="s">
        <v>4843</v>
      </c>
      <c r="AD835" s="73"/>
      <c r="AE835" s="47"/>
      <c r="AF835" s="54" t="s">
        <v>80</v>
      </c>
      <c r="AG835" s="56" t="s">
        <v>4844</v>
      </c>
      <c r="AH835" s="47"/>
      <c r="AI835" s="324"/>
      <c r="AJ835" s="83"/>
      <c r="AK835" s="83">
        <v>43194.0</v>
      </c>
      <c r="AL835" s="109" t="s">
        <v>2055</v>
      </c>
    </row>
    <row r="836" ht="22.5" customHeight="1">
      <c r="A836" s="53"/>
      <c r="B836" s="57" t="s">
        <v>4845</v>
      </c>
      <c r="C836" s="57" t="s">
        <v>4846</v>
      </c>
      <c r="D836" s="54" t="s">
        <v>75</v>
      </c>
      <c r="E836" s="57" t="s">
        <v>4847</v>
      </c>
      <c r="F836" s="54" t="s">
        <v>93</v>
      </c>
      <c r="G836" s="54" t="s">
        <v>85</v>
      </c>
      <c r="H836" s="47"/>
      <c r="I836" s="47"/>
      <c r="J836" s="47"/>
      <c r="K836" s="32" t="s">
        <v>70</v>
      </c>
      <c r="L836" s="54" t="s">
        <v>87</v>
      </c>
      <c r="M836" s="63" t="s">
        <v>218</v>
      </c>
      <c r="N836" s="32" t="s">
        <v>89</v>
      </c>
      <c r="O836" s="57"/>
      <c r="P836" s="32"/>
      <c r="Q836" s="47"/>
      <c r="R836" s="47"/>
      <c r="S836" s="57"/>
      <c r="T836" s="45" t="s">
        <v>4848</v>
      </c>
      <c r="U836" s="47"/>
      <c r="V836" s="65"/>
      <c r="W836" s="57" t="s">
        <v>4849</v>
      </c>
      <c r="X836" s="57" t="s">
        <v>4850</v>
      </c>
      <c r="Y836" s="67" t="s">
        <v>4851</v>
      </c>
      <c r="Z836" s="32" t="s">
        <v>112</v>
      </c>
      <c r="AA836" s="47"/>
      <c r="AB836" s="60" t="s">
        <v>481</v>
      </c>
      <c r="AC836" s="60" t="s">
        <v>4852</v>
      </c>
      <c r="AD836" s="73"/>
      <c r="AE836" s="47"/>
      <c r="AF836" s="54" t="s">
        <v>80</v>
      </c>
      <c r="AG836" s="56" t="s">
        <v>4853</v>
      </c>
      <c r="AH836" s="47"/>
      <c r="AI836" s="41"/>
      <c r="AJ836" s="83">
        <v>43138.0</v>
      </c>
      <c r="AK836" s="83"/>
      <c r="AL836" s="63"/>
    </row>
    <row r="837" ht="22.5" customHeight="1">
      <c r="A837" s="53"/>
      <c r="B837" s="57" t="s">
        <v>4854</v>
      </c>
      <c r="C837" s="57" t="s">
        <v>4854</v>
      </c>
      <c r="D837" s="54" t="s">
        <v>75</v>
      </c>
      <c r="E837" s="172" t="s">
        <v>4855</v>
      </c>
      <c r="F837" s="54" t="s">
        <v>140</v>
      </c>
      <c r="G837" s="54" t="s">
        <v>85</v>
      </c>
      <c r="H837" s="47"/>
      <c r="I837" s="47"/>
      <c r="J837" s="47"/>
      <c r="K837" s="32" t="s">
        <v>70</v>
      </c>
      <c r="L837" s="54" t="s">
        <v>141</v>
      </c>
      <c r="M837" s="63" t="s">
        <v>88</v>
      </c>
      <c r="N837" s="32" t="s">
        <v>89</v>
      </c>
      <c r="O837" s="57" t="s">
        <v>1296</v>
      </c>
      <c r="P837" s="32" t="s">
        <v>1297</v>
      </c>
      <c r="Q837" s="47"/>
      <c r="R837" s="47"/>
      <c r="S837" s="57" t="s">
        <v>1296</v>
      </c>
      <c r="T837" s="45" t="s">
        <v>4856</v>
      </c>
      <c r="U837" s="47"/>
      <c r="V837" s="65"/>
      <c r="W837" s="57" t="s">
        <v>4857</v>
      </c>
      <c r="X837" s="57" t="s">
        <v>4858</v>
      </c>
      <c r="Y837" s="67" t="s">
        <v>4859</v>
      </c>
      <c r="Z837" s="32" t="s">
        <v>112</v>
      </c>
      <c r="AA837" s="47"/>
      <c r="AB837" s="60" t="s">
        <v>389</v>
      </c>
      <c r="AC837" s="60" t="s">
        <v>4860</v>
      </c>
      <c r="AD837" s="73"/>
      <c r="AE837" s="57" t="s">
        <v>4861</v>
      </c>
      <c r="AF837" s="54" t="s">
        <v>80</v>
      </c>
      <c r="AG837" s="56" t="s">
        <v>4862</v>
      </c>
      <c r="AH837" s="47"/>
      <c r="AI837" s="34"/>
      <c r="AJ837" s="77"/>
      <c r="AK837" s="83">
        <v>42445.0</v>
      </c>
      <c r="AL837" s="56" t="s">
        <v>1306</v>
      </c>
    </row>
    <row r="838" ht="22.5" customHeight="1">
      <c r="A838" s="53"/>
      <c r="B838" s="57" t="s">
        <v>4863</v>
      </c>
      <c r="C838" s="57" t="s">
        <v>4864</v>
      </c>
      <c r="D838" s="54" t="s">
        <v>75</v>
      </c>
      <c r="E838" s="172" t="s">
        <v>4865</v>
      </c>
      <c r="F838" s="54" t="s">
        <v>140</v>
      </c>
      <c r="G838" s="54" t="s">
        <v>85</v>
      </c>
      <c r="H838" s="47"/>
      <c r="I838" s="47"/>
      <c r="J838" s="47"/>
      <c r="K838" s="32" t="s">
        <v>70</v>
      </c>
      <c r="L838" s="54" t="s">
        <v>141</v>
      </c>
      <c r="M838" s="63" t="s">
        <v>88</v>
      </c>
      <c r="N838" s="32" t="s">
        <v>89</v>
      </c>
      <c r="O838" s="57" t="s">
        <v>954</v>
      </c>
      <c r="P838" s="32" t="s">
        <v>955</v>
      </c>
      <c r="Q838" s="47"/>
      <c r="R838" s="47"/>
      <c r="S838" s="57" t="s">
        <v>954</v>
      </c>
      <c r="T838" s="45" t="s">
        <v>4866</v>
      </c>
      <c r="U838" s="47"/>
      <c r="V838" s="54" t="s">
        <v>80</v>
      </c>
      <c r="W838" s="57" t="s">
        <v>4867</v>
      </c>
      <c r="X838" s="57" t="s">
        <v>4868</v>
      </c>
      <c r="Y838" s="67" t="s">
        <v>4869</v>
      </c>
      <c r="Z838" s="32" t="s">
        <v>112</v>
      </c>
      <c r="AA838" s="47"/>
      <c r="AB838" s="60" t="s">
        <v>575</v>
      </c>
      <c r="AC838" s="60" t="s">
        <v>4870</v>
      </c>
      <c r="AD838" s="73"/>
      <c r="AE838" s="57"/>
      <c r="AF838" s="54" t="s">
        <v>80</v>
      </c>
      <c r="AG838" s="56" t="s">
        <v>4871</v>
      </c>
      <c r="AH838" s="47"/>
      <c r="AI838" s="34"/>
      <c r="AJ838" s="77"/>
      <c r="AK838" s="83">
        <v>43199.0</v>
      </c>
      <c r="AL838" s="63"/>
    </row>
    <row r="839" ht="22.5" customHeight="1">
      <c r="A839" s="53"/>
      <c r="B839" s="57" t="s">
        <v>4872</v>
      </c>
      <c r="C839" s="57" t="s">
        <v>4873</v>
      </c>
      <c r="D839" s="54" t="s">
        <v>75</v>
      </c>
      <c r="E839" s="172" t="s">
        <v>4874</v>
      </c>
      <c r="F839" s="54" t="s">
        <v>140</v>
      </c>
      <c r="G839" s="54" t="s">
        <v>85</v>
      </c>
      <c r="H839" s="47"/>
      <c r="I839" s="47"/>
      <c r="J839" s="47"/>
      <c r="K839" s="32" t="s">
        <v>70</v>
      </c>
      <c r="L839" s="54" t="s">
        <v>141</v>
      </c>
      <c r="M839" s="63" t="s">
        <v>383</v>
      </c>
      <c r="N839" s="32" t="s">
        <v>89</v>
      </c>
      <c r="O839" s="57" t="s">
        <v>1023</v>
      </c>
      <c r="P839" s="32" t="s">
        <v>1085</v>
      </c>
      <c r="Q839" s="47"/>
      <c r="R839" s="47"/>
      <c r="S839" s="57" t="s">
        <v>1023</v>
      </c>
      <c r="T839" s="45" t="s">
        <v>4875</v>
      </c>
      <c r="U839" s="47"/>
      <c r="V839" s="34" t="s">
        <v>80</v>
      </c>
      <c r="W839" s="57" t="s">
        <v>4876</v>
      </c>
      <c r="X839" s="57" t="s">
        <v>4877</v>
      </c>
      <c r="Y839" s="67" t="s">
        <v>4878</v>
      </c>
      <c r="Z839" s="32" t="s">
        <v>112</v>
      </c>
      <c r="AA839" s="47"/>
      <c r="AB839" s="60" t="s">
        <v>361</v>
      </c>
      <c r="AC839" s="60" t="s">
        <v>4879</v>
      </c>
      <c r="AD839" s="73"/>
      <c r="AE839" s="47"/>
      <c r="AF839" s="54" t="s">
        <v>80</v>
      </c>
      <c r="AG839" s="56" t="s">
        <v>4880</v>
      </c>
      <c r="AH839" s="47"/>
      <c r="AI839" s="41"/>
      <c r="AJ839" s="77"/>
      <c r="AK839" s="83">
        <v>42832.0</v>
      </c>
      <c r="AL839" s="56" t="s">
        <v>1028</v>
      </c>
    </row>
    <row r="840" ht="22.5" customHeight="1">
      <c r="A840" s="53"/>
      <c r="B840" s="57" t="s">
        <v>854</v>
      </c>
      <c r="C840" s="57" t="s">
        <v>4881</v>
      </c>
      <c r="D840" s="54" t="s">
        <v>75</v>
      </c>
      <c r="E840" s="57" t="s">
        <v>4882</v>
      </c>
      <c r="F840" s="54" t="s">
        <v>140</v>
      </c>
      <c r="G840" s="54" t="s">
        <v>85</v>
      </c>
      <c r="H840" s="47"/>
      <c r="I840" s="47"/>
      <c r="J840" s="47"/>
      <c r="K840" s="32" t="s">
        <v>70</v>
      </c>
      <c r="L840" s="54" t="s">
        <v>141</v>
      </c>
      <c r="M840" s="63" t="s">
        <v>383</v>
      </c>
      <c r="N840" s="32" t="s">
        <v>89</v>
      </c>
      <c r="O840" s="32" t="s">
        <v>220</v>
      </c>
      <c r="P840" s="47"/>
      <c r="Q840" s="47"/>
      <c r="R840" s="47"/>
      <c r="S840" s="32" t="s">
        <v>220</v>
      </c>
      <c r="T840" s="38"/>
      <c r="U840" s="47"/>
      <c r="V840" s="54" t="s">
        <v>80</v>
      </c>
      <c r="W840" s="57" t="s">
        <v>4883</v>
      </c>
      <c r="X840" s="57" t="s">
        <v>863</v>
      </c>
      <c r="Y840" s="67" t="s">
        <v>864</v>
      </c>
      <c r="Z840" s="32" t="s">
        <v>112</v>
      </c>
      <c r="AA840" s="47"/>
      <c r="AB840" s="32"/>
      <c r="AC840" s="32" t="s">
        <v>4884</v>
      </c>
      <c r="AD840" s="73"/>
      <c r="AE840" s="57"/>
      <c r="AF840" s="54" t="s">
        <v>80</v>
      </c>
      <c r="AG840" s="56" t="s">
        <v>869</v>
      </c>
      <c r="AH840" s="47"/>
      <c r="AI840" s="41"/>
      <c r="AJ840" s="77"/>
      <c r="AK840" s="83">
        <v>42342.0</v>
      </c>
      <c r="AL840" s="56" t="s">
        <v>232</v>
      </c>
    </row>
    <row r="841" ht="22.5" customHeight="1">
      <c r="A841" s="53"/>
      <c r="B841" s="57" t="s">
        <v>901</v>
      </c>
      <c r="C841" s="57" t="s">
        <v>4885</v>
      </c>
      <c r="D841" s="34" t="s">
        <v>192</v>
      </c>
      <c r="E841" s="57" t="s">
        <v>4886</v>
      </c>
      <c r="F841" s="54" t="s">
        <v>140</v>
      </c>
      <c r="G841" s="54" t="s">
        <v>85</v>
      </c>
      <c r="H841" s="155"/>
      <c r="I841" s="155"/>
      <c r="J841" s="155"/>
      <c r="K841" s="32" t="s">
        <v>70</v>
      </c>
      <c r="L841" s="54" t="s">
        <v>141</v>
      </c>
      <c r="M841" s="63" t="s">
        <v>218</v>
      </c>
      <c r="N841" s="32" t="s">
        <v>434</v>
      </c>
      <c r="O841" s="32" t="s">
        <v>4887</v>
      </c>
      <c r="P841" s="32"/>
      <c r="Q841" s="47"/>
      <c r="R841" s="47"/>
      <c r="S841" s="32" t="s">
        <v>196</v>
      </c>
      <c r="T841" s="38"/>
      <c r="U841" s="47"/>
      <c r="V841" s="65"/>
      <c r="W841" s="60" t="s">
        <v>904</v>
      </c>
      <c r="X841" s="57" t="s">
        <v>905</v>
      </c>
      <c r="Y841" s="67" t="s">
        <v>906</v>
      </c>
      <c r="Z841" s="32" t="s">
        <v>112</v>
      </c>
      <c r="AA841" s="47"/>
      <c r="AB841" s="123" t="s">
        <v>113</v>
      </c>
      <c r="AC841" s="32" t="s">
        <v>4888</v>
      </c>
      <c r="AD841" s="261"/>
      <c r="AE841" s="47"/>
      <c r="AF841" s="54" t="s">
        <v>80</v>
      </c>
      <c r="AG841" s="56" t="s">
        <v>911</v>
      </c>
      <c r="AH841" s="47"/>
      <c r="AI841" s="58"/>
      <c r="AJ841" s="77"/>
      <c r="AK841" s="83">
        <v>42800.0</v>
      </c>
      <c r="AL841" s="56" t="s">
        <v>208</v>
      </c>
    </row>
    <row r="842" ht="22.5" customHeight="1">
      <c r="A842" s="53"/>
      <c r="B842" s="57" t="s">
        <v>901</v>
      </c>
      <c r="C842" s="57" t="s">
        <v>4889</v>
      </c>
      <c r="D842" s="54" t="s">
        <v>75</v>
      </c>
      <c r="E842" s="57" t="s">
        <v>4890</v>
      </c>
      <c r="F842" s="54" t="s">
        <v>140</v>
      </c>
      <c r="G842" s="54" t="s">
        <v>85</v>
      </c>
      <c r="H842" s="155"/>
      <c r="I842" s="155"/>
      <c r="J842" s="155"/>
      <c r="K842" s="32" t="s">
        <v>70</v>
      </c>
      <c r="L842" s="54" t="s">
        <v>141</v>
      </c>
      <c r="M842" s="63" t="s">
        <v>218</v>
      </c>
      <c r="N842" s="32" t="s">
        <v>1404</v>
      </c>
      <c r="O842" s="32" t="s">
        <v>1510</v>
      </c>
      <c r="P842" s="47"/>
      <c r="Q842" s="47"/>
      <c r="R842" s="47"/>
      <c r="S842" s="32" t="s">
        <v>1510</v>
      </c>
      <c r="T842" s="45" t="s">
        <v>4891</v>
      </c>
      <c r="U842" s="67" t="s">
        <v>4892</v>
      </c>
      <c r="V842" s="54" t="s">
        <v>74</v>
      </c>
      <c r="W842" s="57" t="s">
        <v>4893</v>
      </c>
      <c r="X842" s="57" t="s">
        <v>4894</v>
      </c>
      <c r="Y842" s="67" t="s">
        <v>906</v>
      </c>
      <c r="Z842" s="32" t="s">
        <v>112</v>
      </c>
      <c r="AA842" s="47"/>
      <c r="AB842" s="60" t="s">
        <v>113</v>
      </c>
      <c r="AC842" s="32" t="s">
        <v>4895</v>
      </c>
      <c r="AD842" s="261"/>
      <c r="AE842" s="47"/>
      <c r="AF842" s="54" t="s">
        <v>80</v>
      </c>
      <c r="AG842" s="56" t="s">
        <v>911</v>
      </c>
      <c r="AH842" s="47"/>
      <c r="AI842" s="58"/>
      <c r="AJ842" s="77"/>
      <c r="AK842" s="83">
        <v>42655.0</v>
      </c>
      <c r="AL842" s="56" t="s">
        <v>3006</v>
      </c>
    </row>
    <row r="843" ht="22.5" customHeight="1">
      <c r="A843" s="53"/>
      <c r="B843" s="57" t="s">
        <v>4896</v>
      </c>
      <c r="C843" s="57" t="s">
        <v>4897</v>
      </c>
      <c r="D843" s="54" t="s">
        <v>75</v>
      </c>
      <c r="E843" s="57" t="s">
        <v>4898</v>
      </c>
      <c r="F843" s="54" t="s">
        <v>140</v>
      </c>
      <c r="G843" s="54" t="s">
        <v>85</v>
      </c>
      <c r="H843" s="155"/>
      <c r="I843" s="155"/>
      <c r="J843" s="155"/>
      <c r="K843" s="32" t="s">
        <v>70</v>
      </c>
      <c r="L843" s="54" t="s">
        <v>141</v>
      </c>
      <c r="M843" s="63" t="s">
        <v>218</v>
      </c>
      <c r="N843" s="32" t="s">
        <v>89</v>
      </c>
      <c r="O843" s="32" t="s">
        <v>142</v>
      </c>
      <c r="P843" s="57" t="s">
        <v>4899</v>
      </c>
      <c r="Q843" s="47"/>
      <c r="R843" s="47"/>
      <c r="S843" s="32" t="s">
        <v>142</v>
      </c>
      <c r="T843" s="38"/>
      <c r="U843" s="47"/>
      <c r="V843" s="54" t="s">
        <v>80</v>
      </c>
      <c r="W843" s="57" t="s">
        <v>4900</v>
      </c>
      <c r="X843" s="57" t="s">
        <v>4901</v>
      </c>
      <c r="Y843" s="57" t="s">
        <v>4902</v>
      </c>
      <c r="Z843" s="32" t="s">
        <v>112</v>
      </c>
      <c r="AA843" s="47"/>
      <c r="AB843" s="60" t="s">
        <v>481</v>
      </c>
      <c r="AC843" s="32" t="s">
        <v>4903</v>
      </c>
      <c r="AD843" s="261"/>
      <c r="AE843" s="47"/>
      <c r="AF843" s="54" t="s">
        <v>80</v>
      </c>
      <c r="AG843" s="56" t="s">
        <v>4904</v>
      </c>
      <c r="AH843" s="47"/>
      <c r="AI843" s="58"/>
      <c r="AJ843" s="77"/>
      <c r="AK843" s="83">
        <v>43171.0</v>
      </c>
      <c r="AL843" s="56" t="s">
        <v>262</v>
      </c>
    </row>
    <row r="844" ht="22.5" customHeight="1">
      <c r="A844" s="53"/>
      <c r="B844" s="57" t="s">
        <v>4905</v>
      </c>
      <c r="C844" s="57" t="s">
        <v>4906</v>
      </c>
      <c r="D844" s="54" t="s">
        <v>584</v>
      </c>
      <c r="E844" s="57" t="s">
        <v>4907</v>
      </c>
      <c r="F844" s="54" t="s">
        <v>140</v>
      </c>
      <c r="G844" s="54" t="s">
        <v>85</v>
      </c>
      <c r="H844" s="47"/>
      <c r="I844" s="47"/>
      <c r="J844" s="47"/>
      <c r="K844" s="32" t="s">
        <v>70</v>
      </c>
      <c r="L844" s="54" t="s">
        <v>141</v>
      </c>
      <c r="M844" s="63" t="s">
        <v>218</v>
      </c>
      <c r="N844" s="32" t="s">
        <v>89</v>
      </c>
      <c r="O844" s="32" t="s">
        <v>142</v>
      </c>
      <c r="P844" s="57" t="s">
        <v>4031</v>
      </c>
      <c r="Q844" s="47"/>
      <c r="R844" s="47"/>
      <c r="S844" s="32" t="s">
        <v>142</v>
      </c>
      <c r="T844" s="45" t="s">
        <v>4908</v>
      </c>
      <c r="U844" s="47"/>
      <c r="V844" s="54" t="s">
        <v>80</v>
      </c>
      <c r="W844" s="57" t="s">
        <v>4909</v>
      </c>
      <c r="X844" s="57" t="s">
        <v>4910</v>
      </c>
      <c r="Y844" s="67" t="s">
        <v>4911</v>
      </c>
      <c r="Z844" s="32" t="s">
        <v>112</v>
      </c>
      <c r="AA844" s="47"/>
      <c r="AB844" s="60" t="s">
        <v>481</v>
      </c>
      <c r="AC844" s="60" t="s">
        <v>4912</v>
      </c>
      <c r="AD844" s="73"/>
      <c r="AE844" s="47"/>
      <c r="AF844" s="54" t="s">
        <v>80</v>
      </c>
      <c r="AG844" s="56" t="s">
        <v>4913</v>
      </c>
      <c r="AH844" s="47"/>
      <c r="AI844" s="41"/>
      <c r="AJ844" s="83">
        <v>43249.0</v>
      </c>
      <c r="AK844" s="83">
        <v>43216.0</v>
      </c>
      <c r="AL844" s="56" t="s">
        <v>262</v>
      </c>
    </row>
    <row r="845" ht="22.5" customHeight="1">
      <c r="A845" s="325"/>
      <c r="B845" s="57" t="s">
        <v>4914</v>
      </c>
      <c r="C845" s="57" t="s">
        <v>4915</v>
      </c>
      <c r="D845" s="54" t="s">
        <v>91</v>
      </c>
      <c r="E845" s="326" t="s">
        <v>4916</v>
      </c>
      <c r="F845" s="54" t="s">
        <v>140</v>
      </c>
      <c r="G845" s="54" t="s">
        <v>85</v>
      </c>
      <c r="H845" s="47"/>
      <c r="I845" s="47"/>
      <c r="J845" s="47"/>
      <c r="K845" s="32" t="s">
        <v>70</v>
      </c>
      <c r="L845" s="54" t="s">
        <v>141</v>
      </c>
      <c r="M845" s="63" t="s">
        <v>218</v>
      </c>
      <c r="N845" s="32" t="s">
        <v>89</v>
      </c>
      <c r="O845" s="32" t="s">
        <v>142</v>
      </c>
      <c r="P845" s="57" t="s">
        <v>915</v>
      </c>
      <c r="Q845" s="47"/>
      <c r="R845" s="47"/>
      <c r="S845" s="32" t="s">
        <v>142</v>
      </c>
      <c r="T845" s="45" t="s">
        <v>4917</v>
      </c>
      <c r="U845" s="47"/>
      <c r="V845" s="54" t="s">
        <v>80</v>
      </c>
      <c r="W845" s="57" t="s">
        <v>4918</v>
      </c>
      <c r="X845" s="57" t="s">
        <v>4919</v>
      </c>
      <c r="Y845" s="57"/>
      <c r="Z845" s="32" t="s">
        <v>112</v>
      </c>
      <c r="AA845" s="47"/>
      <c r="AB845" s="60" t="s">
        <v>4920</v>
      </c>
      <c r="AC845" s="60" t="s">
        <v>4921</v>
      </c>
      <c r="AD845" s="73"/>
      <c r="AE845" s="47"/>
      <c r="AF845" s="54" t="s">
        <v>80</v>
      </c>
      <c r="AG845" s="56" t="s">
        <v>4922</v>
      </c>
      <c r="AH845" s="47"/>
      <c r="AI845" s="41"/>
      <c r="AJ845" s="83"/>
      <c r="AK845" s="83">
        <v>43307.0</v>
      </c>
      <c r="AL845" s="56" t="s">
        <v>262</v>
      </c>
    </row>
    <row r="846" ht="22.5" customHeight="1">
      <c r="A846" s="53"/>
      <c r="B846" s="57" t="s">
        <v>2299</v>
      </c>
      <c r="C846" s="57" t="s">
        <v>4923</v>
      </c>
      <c r="D846" s="54" t="s">
        <v>75</v>
      </c>
      <c r="E846" s="57" t="s">
        <v>4924</v>
      </c>
      <c r="F846" s="54" t="s">
        <v>140</v>
      </c>
      <c r="G846" s="54" t="s">
        <v>85</v>
      </c>
      <c r="H846" s="47"/>
      <c r="I846" s="47"/>
      <c r="J846" s="47"/>
      <c r="K846" s="32" t="s">
        <v>70</v>
      </c>
      <c r="L846" s="54" t="s">
        <v>141</v>
      </c>
      <c r="M846" s="63" t="s">
        <v>218</v>
      </c>
      <c r="N846" s="32" t="s">
        <v>89</v>
      </c>
      <c r="O846" s="32" t="s">
        <v>1570</v>
      </c>
      <c r="P846" s="47"/>
      <c r="Q846" s="47"/>
      <c r="R846" s="47"/>
      <c r="S846" s="32" t="s">
        <v>1570</v>
      </c>
      <c r="T846" s="38"/>
      <c r="U846" s="47"/>
      <c r="V846" s="54" t="s">
        <v>74</v>
      </c>
      <c r="W846" s="57" t="s">
        <v>4925</v>
      </c>
      <c r="X846" s="57" t="s">
        <v>2306</v>
      </c>
      <c r="Y846" s="67" t="s">
        <v>4926</v>
      </c>
      <c r="Z846" s="32" t="s">
        <v>112</v>
      </c>
      <c r="AA846" s="47"/>
      <c r="AB846" s="57" t="s">
        <v>389</v>
      </c>
      <c r="AC846" s="60" t="s">
        <v>4927</v>
      </c>
      <c r="AD846" s="73"/>
      <c r="AE846" s="47"/>
      <c r="AF846" s="54" t="s">
        <v>80</v>
      </c>
      <c r="AG846" s="56" t="s">
        <v>2309</v>
      </c>
      <c r="AH846" s="47"/>
      <c r="AI846" s="41"/>
      <c r="AJ846" s="77"/>
      <c r="AK846" s="83">
        <v>42828.0</v>
      </c>
      <c r="AL846" s="109" t="s">
        <v>2055</v>
      </c>
    </row>
    <row r="847" ht="22.5" customHeight="1">
      <c r="A847" s="53"/>
      <c r="B847" s="57" t="s">
        <v>2299</v>
      </c>
      <c r="C847" s="57" t="s">
        <v>4928</v>
      </c>
      <c r="D847" s="54" t="s">
        <v>75</v>
      </c>
      <c r="E847" s="57" t="s">
        <v>4929</v>
      </c>
      <c r="F847" s="54" t="s">
        <v>140</v>
      </c>
      <c r="G847" s="54" t="s">
        <v>85</v>
      </c>
      <c r="H847" s="47"/>
      <c r="I847" s="47"/>
      <c r="J847" s="47"/>
      <c r="K847" s="32" t="s">
        <v>70</v>
      </c>
      <c r="L847" s="54" t="s">
        <v>141</v>
      </c>
      <c r="M847" s="63" t="s">
        <v>218</v>
      </c>
      <c r="N847" s="32" t="s">
        <v>89</v>
      </c>
      <c r="O847" s="32" t="s">
        <v>1570</v>
      </c>
      <c r="P847" s="47"/>
      <c r="Q847" s="47"/>
      <c r="R847" s="47"/>
      <c r="S847" s="32" t="s">
        <v>1570</v>
      </c>
      <c r="T847" s="38"/>
      <c r="U847" s="47"/>
      <c r="V847" s="54" t="s">
        <v>74</v>
      </c>
      <c r="W847" s="57" t="s">
        <v>4925</v>
      </c>
      <c r="X847" s="57" t="s">
        <v>2306</v>
      </c>
      <c r="Y847" s="67" t="s">
        <v>4926</v>
      </c>
      <c r="Z847" s="32" t="s">
        <v>112</v>
      </c>
      <c r="AA847" s="47"/>
      <c r="AB847" s="57" t="s">
        <v>389</v>
      </c>
      <c r="AC847" s="60" t="s">
        <v>4930</v>
      </c>
      <c r="AD847" s="73"/>
      <c r="AE847" s="47"/>
      <c r="AF847" s="54" t="s">
        <v>80</v>
      </c>
      <c r="AG847" s="56" t="s">
        <v>2309</v>
      </c>
      <c r="AH847" s="47"/>
      <c r="AI847" s="41"/>
      <c r="AJ847" s="77"/>
      <c r="AK847" s="83">
        <v>43217.0</v>
      </c>
      <c r="AL847" s="109" t="s">
        <v>2055</v>
      </c>
    </row>
    <row r="848" ht="22.5" customHeight="1">
      <c r="A848" s="53"/>
      <c r="B848" s="57" t="s">
        <v>4931</v>
      </c>
      <c r="C848" s="57" t="s">
        <v>4932</v>
      </c>
      <c r="D848" s="54" t="s">
        <v>75</v>
      </c>
      <c r="E848" s="57" t="s">
        <v>4933</v>
      </c>
      <c r="F848" s="54" t="s">
        <v>140</v>
      </c>
      <c r="G848" s="54" t="s">
        <v>85</v>
      </c>
      <c r="H848" s="47"/>
      <c r="I848" s="47"/>
      <c r="J848" s="47"/>
      <c r="K848" s="32" t="s">
        <v>70</v>
      </c>
      <c r="L848" s="54" t="s">
        <v>141</v>
      </c>
      <c r="M848" s="63" t="s">
        <v>218</v>
      </c>
      <c r="N848" s="32" t="s">
        <v>89</v>
      </c>
      <c r="O848" s="32" t="s">
        <v>1418</v>
      </c>
      <c r="P848" s="47"/>
      <c r="Q848" s="47"/>
      <c r="R848" s="47"/>
      <c r="S848" s="32" t="s">
        <v>1418</v>
      </c>
      <c r="T848" s="45" t="s">
        <v>4934</v>
      </c>
      <c r="U848" s="47"/>
      <c r="V848" s="54" t="s">
        <v>80</v>
      </c>
      <c r="W848" s="57" t="s">
        <v>4935</v>
      </c>
      <c r="X848" s="57" t="s">
        <v>4936</v>
      </c>
      <c r="Y848" s="67" t="s">
        <v>4937</v>
      </c>
      <c r="Z848" s="32" t="s">
        <v>112</v>
      </c>
      <c r="AA848" s="47"/>
      <c r="AB848" s="57" t="s">
        <v>389</v>
      </c>
      <c r="AC848" s="60" t="s">
        <v>4938</v>
      </c>
      <c r="AD848" s="73"/>
      <c r="AE848" s="47"/>
      <c r="AF848" s="54" t="s">
        <v>80</v>
      </c>
      <c r="AG848" s="56" t="s">
        <v>4939</v>
      </c>
      <c r="AH848" s="47"/>
      <c r="AI848" s="41"/>
      <c r="AJ848" s="77"/>
      <c r="AK848" s="83">
        <v>42562.0</v>
      </c>
      <c r="AL848" s="56" t="s">
        <v>2952</v>
      </c>
    </row>
    <row r="849" ht="22.5" customHeight="1">
      <c r="A849" s="53"/>
      <c r="B849" s="57" t="s">
        <v>4940</v>
      </c>
      <c r="C849" s="57" t="s">
        <v>4941</v>
      </c>
      <c r="D849" s="54" t="s">
        <v>75</v>
      </c>
      <c r="E849" s="57" t="s">
        <v>4942</v>
      </c>
      <c r="F849" s="54"/>
      <c r="G849" s="54" t="s">
        <v>85</v>
      </c>
      <c r="H849" s="47"/>
      <c r="I849" s="47"/>
      <c r="J849" s="47"/>
      <c r="K849" s="32" t="s">
        <v>70</v>
      </c>
      <c r="L849" s="54" t="s">
        <v>87</v>
      </c>
      <c r="M849" s="63" t="s">
        <v>218</v>
      </c>
      <c r="N849" s="32" t="s">
        <v>89</v>
      </c>
      <c r="O849" s="32"/>
      <c r="P849" s="47"/>
      <c r="Q849" s="47"/>
      <c r="R849" s="47"/>
      <c r="S849" s="32"/>
      <c r="T849" s="45" t="s">
        <v>4943</v>
      </c>
      <c r="U849" s="47"/>
      <c r="V849" s="54"/>
      <c r="W849" s="57" t="s">
        <v>4944</v>
      </c>
      <c r="X849" s="57" t="s">
        <v>4945</v>
      </c>
      <c r="Y849" s="67" t="s">
        <v>4946</v>
      </c>
      <c r="Z849" s="32" t="s">
        <v>112</v>
      </c>
      <c r="AA849" s="47"/>
      <c r="AB849" s="57" t="s">
        <v>389</v>
      </c>
      <c r="AC849" s="60" t="s">
        <v>4947</v>
      </c>
      <c r="AD849" s="73"/>
      <c r="AE849" s="47"/>
      <c r="AF849" s="54" t="s">
        <v>80</v>
      </c>
      <c r="AG849" s="56" t="s">
        <v>4948</v>
      </c>
      <c r="AH849" s="47"/>
      <c r="AI849" s="41"/>
      <c r="AJ849" s="83">
        <v>43249.0</v>
      </c>
      <c r="AK849" s="83"/>
      <c r="AL849" s="63"/>
    </row>
    <row r="850" ht="22.5" customHeight="1">
      <c r="A850" s="53"/>
      <c r="B850" s="57" t="s">
        <v>4949</v>
      </c>
      <c r="C850" s="57" t="s">
        <v>4950</v>
      </c>
      <c r="D850" s="54" t="s">
        <v>75</v>
      </c>
      <c r="E850" s="57" t="s">
        <v>4951</v>
      </c>
      <c r="F850" s="54" t="s">
        <v>140</v>
      </c>
      <c r="G850" s="54" t="s">
        <v>85</v>
      </c>
      <c r="H850" s="47"/>
      <c r="I850" s="47"/>
      <c r="J850" s="47"/>
      <c r="K850" s="32" t="s">
        <v>70</v>
      </c>
      <c r="L850" s="54" t="s">
        <v>141</v>
      </c>
      <c r="M850" s="63" t="s">
        <v>88</v>
      </c>
      <c r="N850" s="32" t="s">
        <v>89</v>
      </c>
      <c r="O850" s="32" t="s">
        <v>994</v>
      </c>
      <c r="P850" s="57" t="s">
        <v>4952</v>
      </c>
      <c r="Q850" s="47"/>
      <c r="R850" s="47"/>
      <c r="S850" s="32" t="s">
        <v>994</v>
      </c>
      <c r="T850" s="38"/>
      <c r="U850" s="47"/>
      <c r="V850" s="54" t="s">
        <v>80</v>
      </c>
      <c r="W850" s="57" t="s">
        <v>4953</v>
      </c>
      <c r="X850" s="57" t="s">
        <v>4954</v>
      </c>
      <c r="Y850" s="67" t="s">
        <v>4955</v>
      </c>
      <c r="Z850" s="32" t="s">
        <v>112</v>
      </c>
      <c r="AA850" s="47"/>
      <c r="AB850" s="57" t="s">
        <v>718</v>
      </c>
      <c r="AC850" s="60" t="s">
        <v>4956</v>
      </c>
      <c r="AD850" s="73"/>
      <c r="AE850" s="47"/>
      <c r="AF850" s="54" t="s">
        <v>80</v>
      </c>
      <c r="AG850" s="56" t="s">
        <v>4957</v>
      </c>
      <c r="AH850" s="47"/>
      <c r="AI850" s="41"/>
      <c r="AJ850" s="77"/>
      <c r="AK850" s="83">
        <v>42872.0</v>
      </c>
      <c r="AL850" s="56" t="s">
        <v>1006</v>
      </c>
    </row>
    <row r="851" ht="22.5" customHeight="1">
      <c r="A851" s="53"/>
      <c r="B851" s="57" t="s">
        <v>4958</v>
      </c>
      <c r="C851" s="57" t="s">
        <v>4959</v>
      </c>
      <c r="D851" s="54" t="s">
        <v>75</v>
      </c>
      <c r="E851" s="57" t="s">
        <v>4960</v>
      </c>
      <c r="F851" s="54" t="s">
        <v>140</v>
      </c>
      <c r="G851" s="54" t="s">
        <v>85</v>
      </c>
      <c r="H851" s="47"/>
      <c r="I851" s="47"/>
      <c r="J851" s="47"/>
      <c r="K851" s="32" t="s">
        <v>70</v>
      </c>
      <c r="L851" s="54" t="s">
        <v>141</v>
      </c>
      <c r="M851" s="63" t="s">
        <v>88</v>
      </c>
      <c r="N851" s="32" t="s">
        <v>1404</v>
      </c>
      <c r="O851" s="32" t="s">
        <v>196</v>
      </c>
      <c r="P851" s="32" t="s">
        <v>1826</v>
      </c>
      <c r="Q851" s="47"/>
      <c r="R851" s="47"/>
      <c r="S851" s="32" t="s">
        <v>196</v>
      </c>
      <c r="T851" s="45" t="s">
        <v>4961</v>
      </c>
      <c r="U851" s="67" t="s">
        <v>4962</v>
      </c>
      <c r="V851" s="54" t="s">
        <v>80</v>
      </c>
      <c r="W851" s="57" t="s">
        <v>4963</v>
      </c>
      <c r="X851" s="57" t="s">
        <v>4964</v>
      </c>
      <c r="Y851" s="67" t="s">
        <v>4965</v>
      </c>
      <c r="Z851" s="32" t="s">
        <v>112</v>
      </c>
      <c r="AA851" s="47"/>
      <c r="AB851" s="57" t="s">
        <v>649</v>
      </c>
      <c r="AC851" s="60" t="s">
        <v>4966</v>
      </c>
      <c r="AD851" s="73"/>
      <c r="AE851" s="47"/>
      <c r="AF851" s="54" t="s">
        <v>80</v>
      </c>
      <c r="AG851" s="56" t="s">
        <v>4967</v>
      </c>
      <c r="AH851" s="47"/>
      <c r="AI851" s="58">
        <v>43252.0</v>
      </c>
      <c r="AJ851" s="77"/>
      <c r="AK851" s="83">
        <v>42901.0</v>
      </c>
      <c r="AL851" s="56" t="s">
        <v>208</v>
      </c>
    </row>
    <row r="852" ht="22.5" customHeight="1">
      <c r="A852" s="53"/>
      <c r="B852" s="57" t="s">
        <v>4968</v>
      </c>
      <c r="C852" s="57" t="s">
        <v>4969</v>
      </c>
      <c r="D852" s="54" t="s">
        <v>91</v>
      </c>
      <c r="E852" s="57" t="s">
        <v>4970</v>
      </c>
      <c r="F852" s="54"/>
      <c r="G852" s="54" t="s">
        <v>85</v>
      </c>
      <c r="H852" s="47"/>
      <c r="I852" s="47"/>
      <c r="J852" s="47"/>
      <c r="K852" s="32" t="s">
        <v>70</v>
      </c>
      <c r="L852" s="54" t="s">
        <v>87</v>
      </c>
      <c r="M852" s="63" t="s">
        <v>218</v>
      </c>
      <c r="N852" s="32" t="s">
        <v>89</v>
      </c>
      <c r="O852" s="32"/>
      <c r="P852" s="32"/>
      <c r="Q852" s="47"/>
      <c r="R852" s="47"/>
      <c r="S852" s="32"/>
      <c r="T852" s="45" t="s">
        <v>4971</v>
      </c>
      <c r="U852" s="47"/>
      <c r="V852" s="54"/>
      <c r="W852" s="57" t="s">
        <v>4972</v>
      </c>
      <c r="X852" s="57" t="s">
        <v>4973</v>
      </c>
      <c r="Y852" s="67" t="s">
        <v>4974</v>
      </c>
      <c r="Z852" s="32" t="s">
        <v>112</v>
      </c>
      <c r="AA852" s="47"/>
      <c r="AB852" s="57" t="s">
        <v>1183</v>
      </c>
      <c r="AC852" s="60" t="s">
        <v>4975</v>
      </c>
      <c r="AD852" s="73"/>
      <c r="AE852" s="47"/>
      <c r="AF852" s="54" t="s">
        <v>80</v>
      </c>
      <c r="AG852" s="56" t="s">
        <v>4976</v>
      </c>
      <c r="AH852" s="47"/>
      <c r="AI852" s="58"/>
      <c r="AJ852" s="83">
        <v>43304.0</v>
      </c>
      <c r="AK852" s="83"/>
      <c r="AL852" s="63"/>
    </row>
    <row r="853" ht="22.5" customHeight="1">
      <c r="A853" s="53"/>
      <c r="B853" s="57" t="s">
        <v>4977</v>
      </c>
      <c r="C853" s="57" t="s">
        <v>4978</v>
      </c>
      <c r="D853" s="54" t="s">
        <v>75</v>
      </c>
      <c r="E853" s="57" t="s">
        <v>4979</v>
      </c>
      <c r="F853" s="54" t="s">
        <v>140</v>
      </c>
      <c r="G853" s="54" t="s">
        <v>85</v>
      </c>
      <c r="H853" s="47"/>
      <c r="I853" s="47"/>
      <c r="J853" s="47"/>
      <c r="K853" s="32" t="s">
        <v>70</v>
      </c>
      <c r="L853" s="54" t="s">
        <v>141</v>
      </c>
      <c r="M853" s="63" t="s">
        <v>88</v>
      </c>
      <c r="N853" s="32" t="s">
        <v>89</v>
      </c>
      <c r="O853" s="32" t="s">
        <v>850</v>
      </c>
      <c r="P853" s="47"/>
      <c r="Q853" s="47"/>
      <c r="R853" s="47"/>
      <c r="S853" s="32" t="s">
        <v>850</v>
      </c>
      <c r="T853" s="45" t="s">
        <v>4980</v>
      </c>
      <c r="U853" s="47"/>
      <c r="V853" s="54" t="s">
        <v>80</v>
      </c>
      <c r="W853" s="57" t="s">
        <v>4981</v>
      </c>
      <c r="X853" s="57" t="s">
        <v>4982</v>
      </c>
      <c r="Y853" s="67" t="s">
        <v>4983</v>
      </c>
      <c r="Z853" s="32" t="s">
        <v>112</v>
      </c>
      <c r="AA853" s="47"/>
      <c r="AB853" s="57" t="s">
        <v>389</v>
      </c>
      <c r="AC853" s="60" t="s">
        <v>4984</v>
      </c>
      <c r="AD853" s="73"/>
      <c r="AE853" s="47"/>
      <c r="AF853" s="54" t="s">
        <v>80</v>
      </c>
      <c r="AG853" s="56" t="s">
        <v>4985</v>
      </c>
      <c r="AH853" s="47"/>
      <c r="AI853" s="41"/>
      <c r="AJ853" s="77"/>
      <c r="AK853" s="83">
        <v>42529.0</v>
      </c>
      <c r="AL853" s="56" t="s">
        <v>870</v>
      </c>
    </row>
    <row r="854" ht="22.5" customHeight="1">
      <c r="A854" s="53"/>
      <c r="B854" s="57" t="s">
        <v>4986</v>
      </c>
      <c r="C854" s="57" t="s">
        <v>4987</v>
      </c>
      <c r="D854" s="54" t="s">
        <v>75</v>
      </c>
      <c r="E854" s="57" t="s">
        <v>4988</v>
      </c>
      <c r="F854" s="54"/>
      <c r="G854" s="54" t="s">
        <v>85</v>
      </c>
      <c r="H854" s="47"/>
      <c r="I854" s="47"/>
      <c r="J854" s="47"/>
      <c r="K854" s="32" t="s">
        <v>70</v>
      </c>
      <c r="L854" s="54" t="s">
        <v>87</v>
      </c>
      <c r="M854" s="63" t="s">
        <v>218</v>
      </c>
      <c r="N854" s="32" t="s">
        <v>89</v>
      </c>
      <c r="O854" s="32"/>
      <c r="P854" s="47"/>
      <c r="Q854" s="47"/>
      <c r="R854" s="47"/>
      <c r="S854" s="32"/>
      <c r="T854" s="45" t="s">
        <v>4989</v>
      </c>
      <c r="U854" s="47"/>
      <c r="V854" s="54"/>
      <c r="W854" s="57" t="s">
        <v>4990</v>
      </c>
      <c r="X854" s="57" t="s">
        <v>4991</v>
      </c>
      <c r="Y854" s="67" t="s">
        <v>4992</v>
      </c>
      <c r="Z854" s="32" t="s">
        <v>112</v>
      </c>
      <c r="AA854" s="47"/>
      <c r="AB854" s="57" t="s">
        <v>481</v>
      </c>
      <c r="AC854" s="60" t="s">
        <v>4993</v>
      </c>
      <c r="AD854" s="73"/>
      <c r="AE854" s="47"/>
      <c r="AF854" s="54" t="s">
        <v>80</v>
      </c>
      <c r="AG854" s="56" t="s">
        <v>4994</v>
      </c>
      <c r="AH854" s="57" t="s">
        <v>2746</v>
      </c>
      <c r="AI854" s="41"/>
      <c r="AJ854" s="83">
        <v>43089.0</v>
      </c>
      <c r="AK854" s="83"/>
      <c r="AL854" s="63"/>
    </row>
    <row r="855" ht="22.5" customHeight="1">
      <c r="A855" s="53"/>
      <c r="B855" s="57" t="s">
        <v>4995</v>
      </c>
      <c r="C855" s="57" t="s">
        <v>4996</v>
      </c>
      <c r="D855" s="54" t="s">
        <v>75</v>
      </c>
      <c r="E855" s="57" t="s">
        <v>4997</v>
      </c>
      <c r="F855" s="54" t="s">
        <v>140</v>
      </c>
      <c r="G855" s="54" t="s">
        <v>85</v>
      </c>
      <c r="H855" s="47"/>
      <c r="I855" s="47"/>
      <c r="J855" s="47"/>
      <c r="K855" s="32" t="s">
        <v>70</v>
      </c>
      <c r="L855" s="54" t="s">
        <v>141</v>
      </c>
      <c r="M855" s="63" t="s">
        <v>218</v>
      </c>
      <c r="N855" s="32" t="s">
        <v>89</v>
      </c>
      <c r="O855" s="32" t="s">
        <v>196</v>
      </c>
      <c r="P855" s="57" t="s">
        <v>1569</v>
      </c>
      <c r="Q855" s="47"/>
      <c r="R855" s="47"/>
      <c r="S855" s="32" t="s">
        <v>196</v>
      </c>
      <c r="T855" s="45" t="s">
        <v>4998</v>
      </c>
      <c r="U855" s="47"/>
      <c r="V855" s="54" t="s">
        <v>80</v>
      </c>
      <c r="W855" s="57" t="s">
        <v>4999</v>
      </c>
      <c r="X855" s="57" t="s">
        <v>5000</v>
      </c>
      <c r="Y855" s="67" t="s">
        <v>5001</v>
      </c>
      <c r="Z855" s="32" t="s">
        <v>112</v>
      </c>
      <c r="AA855" s="47"/>
      <c r="AB855" s="57" t="s">
        <v>113</v>
      </c>
      <c r="AC855" s="60" t="s">
        <v>5002</v>
      </c>
      <c r="AD855" s="73"/>
      <c r="AE855" s="47"/>
      <c r="AF855" s="54" t="s">
        <v>80</v>
      </c>
      <c r="AG855" s="56" t="s">
        <v>5003</v>
      </c>
      <c r="AH855" s="57"/>
      <c r="AI855" s="41"/>
      <c r="AJ855" s="83"/>
      <c r="AK855" s="83">
        <v>43214.0</v>
      </c>
      <c r="AL855" s="56" t="s">
        <v>208</v>
      </c>
    </row>
    <row r="856" ht="22.5" customHeight="1">
      <c r="A856" s="53"/>
      <c r="B856" s="57" t="s">
        <v>5004</v>
      </c>
      <c r="C856" s="57" t="s">
        <v>5005</v>
      </c>
      <c r="D856" s="54" t="s">
        <v>75</v>
      </c>
      <c r="E856" s="57" t="s">
        <v>5006</v>
      </c>
      <c r="F856" s="54" t="s">
        <v>140</v>
      </c>
      <c r="G856" s="54" t="s">
        <v>85</v>
      </c>
      <c r="H856" s="47"/>
      <c r="I856" s="47"/>
      <c r="J856" s="47"/>
      <c r="K856" s="32" t="s">
        <v>70</v>
      </c>
      <c r="L856" s="54" t="s">
        <v>141</v>
      </c>
      <c r="M856" s="63" t="s">
        <v>88</v>
      </c>
      <c r="N856" s="32" t="s">
        <v>4106</v>
      </c>
      <c r="O856" s="32" t="s">
        <v>402</v>
      </c>
      <c r="P856" s="57"/>
      <c r="Q856" s="47"/>
      <c r="R856" s="47"/>
      <c r="S856" s="32" t="s">
        <v>402</v>
      </c>
      <c r="T856" s="45" t="s">
        <v>5007</v>
      </c>
      <c r="U856" s="47"/>
      <c r="V856" s="54" t="s">
        <v>80</v>
      </c>
      <c r="W856" s="57" t="s">
        <v>5008</v>
      </c>
      <c r="X856" s="57" t="s">
        <v>5009</v>
      </c>
      <c r="Y856" s="67" t="s">
        <v>5010</v>
      </c>
      <c r="Z856" s="32" t="s">
        <v>112</v>
      </c>
      <c r="AA856" s="47"/>
      <c r="AB856" s="57" t="s">
        <v>389</v>
      </c>
      <c r="AC856" s="60" t="s">
        <v>5011</v>
      </c>
      <c r="AD856" s="73"/>
      <c r="AE856" s="47"/>
      <c r="AF856" s="54" t="s">
        <v>80</v>
      </c>
      <c r="AG856" s="56" t="s">
        <v>5012</v>
      </c>
      <c r="AH856" s="57"/>
      <c r="AI856" s="41"/>
      <c r="AJ856" s="83"/>
      <c r="AK856" s="83">
        <v>43245.0</v>
      </c>
      <c r="AL856" s="56" t="s">
        <v>1033</v>
      </c>
    </row>
    <row r="857" ht="22.5" customHeight="1">
      <c r="A857" s="53"/>
      <c r="B857" s="57" t="s">
        <v>5013</v>
      </c>
      <c r="C857" s="57" t="s">
        <v>5014</v>
      </c>
      <c r="D857" s="54" t="s">
        <v>75</v>
      </c>
      <c r="E857" s="57" t="s">
        <v>5015</v>
      </c>
      <c r="F857" s="54" t="s">
        <v>140</v>
      </c>
      <c r="G857" s="54" t="s">
        <v>85</v>
      </c>
      <c r="H857" s="47"/>
      <c r="I857" s="47"/>
      <c r="J857" s="47"/>
      <c r="K857" s="32" t="s">
        <v>70</v>
      </c>
      <c r="L857" s="54" t="s">
        <v>141</v>
      </c>
      <c r="M857" s="63" t="s">
        <v>218</v>
      </c>
      <c r="N857" s="32" t="s">
        <v>89</v>
      </c>
      <c r="O857" s="57" t="s">
        <v>1418</v>
      </c>
      <c r="P857" s="32" t="s">
        <v>2949</v>
      </c>
      <c r="Q857" s="47"/>
      <c r="R857" s="47"/>
      <c r="S857" s="57" t="s">
        <v>1418</v>
      </c>
      <c r="T857" s="32"/>
      <c r="U857" s="47"/>
      <c r="V857" s="54" t="s">
        <v>80</v>
      </c>
      <c r="W857" s="57" t="s">
        <v>5016</v>
      </c>
      <c r="X857" s="57" t="s">
        <v>5017</v>
      </c>
      <c r="Y857" s="67" t="s">
        <v>5018</v>
      </c>
      <c r="Z857" s="32" t="s">
        <v>112</v>
      </c>
      <c r="AA857" s="47"/>
      <c r="AB857" s="32" t="s">
        <v>834</v>
      </c>
      <c r="AC857" s="32" t="s">
        <v>5019</v>
      </c>
      <c r="AD857" s="73"/>
      <c r="AE857" s="47"/>
      <c r="AF857" s="54" t="s">
        <v>80</v>
      </c>
      <c r="AG857" s="56" t="s">
        <v>5020</v>
      </c>
      <c r="AH857" s="47"/>
      <c r="AI857" s="41"/>
      <c r="AJ857" s="77"/>
      <c r="AK857" s="83">
        <v>42906.0</v>
      </c>
      <c r="AL857" s="56" t="s">
        <v>2952</v>
      </c>
    </row>
    <row r="858" ht="22.5" customHeight="1">
      <c r="A858" s="53"/>
      <c r="B858" s="57" t="s">
        <v>5021</v>
      </c>
      <c r="C858" s="57" t="s">
        <v>5022</v>
      </c>
      <c r="D858" s="54" t="s">
        <v>584</v>
      </c>
      <c r="E858" s="57" t="s">
        <v>5023</v>
      </c>
      <c r="F858" s="54"/>
      <c r="G858" s="54" t="s">
        <v>85</v>
      </c>
      <c r="H858" s="47"/>
      <c r="I858" s="47"/>
      <c r="J858" s="47"/>
      <c r="K858" s="32" t="s">
        <v>70</v>
      </c>
      <c r="L858" s="54" t="s">
        <v>87</v>
      </c>
      <c r="M858" s="63" t="s">
        <v>313</v>
      </c>
      <c r="N858" s="32" t="s">
        <v>89</v>
      </c>
      <c r="O858" s="57"/>
      <c r="P858" s="32"/>
      <c r="Q858" s="47"/>
      <c r="R858" s="47"/>
      <c r="S858" s="57"/>
      <c r="T858" s="45" t="s">
        <v>5024</v>
      </c>
      <c r="U858" s="47"/>
      <c r="V858" s="54"/>
      <c r="W858" s="57" t="s">
        <v>5025</v>
      </c>
      <c r="X858" s="57" t="s">
        <v>5026</v>
      </c>
      <c r="Y858" s="67" t="s">
        <v>5027</v>
      </c>
      <c r="Z858" s="32" t="s">
        <v>112</v>
      </c>
      <c r="AA858" s="47"/>
      <c r="AB858" s="32" t="s">
        <v>113</v>
      </c>
      <c r="AC858" s="32" t="s">
        <v>5028</v>
      </c>
      <c r="AD858" s="73"/>
      <c r="AE858" s="47"/>
      <c r="AF858" s="54" t="s">
        <v>80</v>
      </c>
      <c r="AG858" s="56" t="s">
        <v>5029</v>
      </c>
      <c r="AH858" s="47"/>
      <c r="AI858" s="41"/>
      <c r="AJ858" s="83">
        <v>43244.0</v>
      </c>
      <c r="AK858" s="83"/>
      <c r="AL858" s="63"/>
    </row>
    <row r="859" ht="22.5" customHeight="1">
      <c r="A859" s="53"/>
      <c r="B859" s="57" t="s">
        <v>5030</v>
      </c>
      <c r="C859" s="57" t="s">
        <v>5031</v>
      </c>
      <c r="D859" s="54" t="s">
        <v>75</v>
      </c>
      <c r="E859" s="57" t="s">
        <v>5032</v>
      </c>
      <c r="F859" s="54"/>
      <c r="G859" s="54" t="s">
        <v>85</v>
      </c>
      <c r="H859" s="47"/>
      <c r="I859" s="47"/>
      <c r="J859" s="47"/>
      <c r="K859" s="32" t="s">
        <v>70</v>
      </c>
      <c r="L859" s="54" t="s">
        <v>87</v>
      </c>
      <c r="M859" s="63" t="s">
        <v>88</v>
      </c>
      <c r="N859" s="32" t="s">
        <v>89</v>
      </c>
      <c r="O859" s="57"/>
      <c r="P859" s="32"/>
      <c r="Q859" s="47"/>
      <c r="R859" s="47"/>
      <c r="S859" s="57"/>
      <c r="T859" s="45" t="s">
        <v>5033</v>
      </c>
      <c r="U859" s="47"/>
      <c r="V859" s="54"/>
      <c r="W859" s="57" t="s">
        <v>5034</v>
      </c>
      <c r="X859" s="57" t="s">
        <v>5035</v>
      </c>
      <c r="Y859" s="67" t="s">
        <v>5036</v>
      </c>
      <c r="Z859" s="32" t="s">
        <v>112</v>
      </c>
      <c r="AA859" s="47"/>
      <c r="AB859" s="60" t="s">
        <v>66</v>
      </c>
      <c r="AC859" s="32" t="s">
        <v>5037</v>
      </c>
      <c r="AD859" s="73"/>
      <c r="AE859" s="47"/>
      <c r="AF859" s="54" t="s">
        <v>80</v>
      </c>
      <c r="AG859" s="56" t="s">
        <v>5038</v>
      </c>
      <c r="AH859" s="47"/>
      <c r="AI859" s="41"/>
      <c r="AJ859" s="83">
        <v>43263.0</v>
      </c>
      <c r="AK859" s="83"/>
      <c r="AL859" s="63"/>
    </row>
    <row r="860" ht="22.5" customHeight="1">
      <c r="A860" s="53"/>
      <c r="B860" s="57" t="s">
        <v>5039</v>
      </c>
      <c r="C860" s="57" t="s">
        <v>5040</v>
      </c>
      <c r="D860" s="54" t="s">
        <v>75</v>
      </c>
      <c r="E860" s="57" t="s">
        <v>5041</v>
      </c>
      <c r="F860" s="54" t="s">
        <v>140</v>
      </c>
      <c r="G860" s="54" t="s">
        <v>85</v>
      </c>
      <c r="H860" s="47"/>
      <c r="I860" s="47"/>
      <c r="J860" s="47"/>
      <c r="K860" s="32" t="s">
        <v>70</v>
      </c>
      <c r="L860" s="54" t="s">
        <v>141</v>
      </c>
      <c r="M860" s="63" t="s">
        <v>218</v>
      </c>
      <c r="N860" s="32" t="s">
        <v>89</v>
      </c>
      <c r="O860" s="57" t="s">
        <v>954</v>
      </c>
      <c r="P860" s="32" t="s">
        <v>1928</v>
      </c>
      <c r="Q860" s="47"/>
      <c r="R860" s="47"/>
      <c r="S860" s="57" t="s">
        <v>954</v>
      </c>
      <c r="T860" s="45" t="s">
        <v>5042</v>
      </c>
      <c r="U860" s="47"/>
      <c r="V860" s="54" t="s">
        <v>80</v>
      </c>
      <c r="W860" s="57" t="s">
        <v>5043</v>
      </c>
      <c r="X860" s="57" t="s">
        <v>5044</v>
      </c>
      <c r="Y860" s="67" t="s">
        <v>5045</v>
      </c>
      <c r="Z860" s="32" t="s">
        <v>112</v>
      </c>
      <c r="AA860" s="47"/>
      <c r="AB860" s="60" t="s">
        <v>389</v>
      </c>
      <c r="AC860" s="60" t="s">
        <v>5046</v>
      </c>
      <c r="AD860" s="73"/>
      <c r="AE860" s="47"/>
      <c r="AF860" s="54" t="s">
        <v>80</v>
      </c>
      <c r="AG860" s="56" t="s">
        <v>5047</v>
      </c>
      <c r="AH860" s="47"/>
      <c r="AI860" s="41"/>
      <c r="AJ860" s="77"/>
      <c r="AK860" s="83">
        <v>43269.0</v>
      </c>
      <c r="AL860" s="56" t="s">
        <v>965</v>
      </c>
    </row>
    <row r="861" ht="22.5" customHeight="1">
      <c r="A861" s="53"/>
      <c r="B861" s="57" t="s">
        <v>5048</v>
      </c>
      <c r="C861" s="57" t="s">
        <v>5049</v>
      </c>
      <c r="D861" s="54" t="s">
        <v>75</v>
      </c>
      <c r="E861" s="57" t="s">
        <v>5050</v>
      </c>
      <c r="F861" s="54"/>
      <c r="G861" s="54" t="s">
        <v>85</v>
      </c>
      <c r="H861" s="47"/>
      <c r="I861" s="47"/>
      <c r="J861" s="47"/>
      <c r="K861" s="32" t="s">
        <v>70</v>
      </c>
      <c r="L861" s="54" t="s">
        <v>87</v>
      </c>
      <c r="M861" s="63" t="s">
        <v>88</v>
      </c>
      <c r="N861" s="32" t="s">
        <v>89</v>
      </c>
      <c r="O861" s="57"/>
      <c r="P861" s="32"/>
      <c r="Q861" s="47"/>
      <c r="R861" s="47"/>
      <c r="S861" s="57"/>
      <c r="T861" s="45" t="s">
        <v>5051</v>
      </c>
      <c r="U861" s="47"/>
      <c r="V861" s="54"/>
      <c r="W861" s="57" t="s">
        <v>5052</v>
      </c>
      <c r="X861" s="57" t="s">
        <v>5053</v>
      </c>
      <c r="Y861" s="67" t="s">
        <v>5054</v>
      </c>
      <c r="Z861" s="32" t="s">
        <v>112</v>
      </c>
      <c r="AA861" s="47"/>
      <c r="AB861" s="60" t="s">
        <v>683</v>
      </c>
      <c r="AC861" s="60" t="s">
        <v>5055</v>
      </c>
      <c r="AD861" s="73"/>
      <c r="AE861" s="47"/>
      <c r="AF861" s="54" t="s">
        <v>80</v>
      </c>
      <c r="AG861" s="56" t="s">
        <v>5056</v>
      </c>
      <c r="AH861" s="47"/>
      <c r="AI861" s="41"/>
      <c r="AJ861" s="83">
        <v>43034.0</v>
      </c>
      <c r="AK861" s="83"/>
      <c r="AL861" s="63"/>
    </row>
    <row r="862" ht="22.5" customHeight="1">
      <c r="A862" s="53"/>
      <c r="B862" s="57" t="s">
        <v>5057</v>
      </c>
      <c r="C862" s="57" t="s">
        <v>5058</v>
      </c>
      <c r="D862" s="54" t="s">
        <v>75</v>
      </c>
      <c r="E862" s="57" t="s">
        <v>5059</v>
      </c>
      <c r="F862" s="54" t="s">
        <v>93</v>
      </c>
      <c r="G862" s="54" t="s">
        <v>85</v>
      </c>
      <c r="H862" s="291"/>
      <c r="I862" s="47"/>
      <c r="J862" s="47"/>
      <c r="K862" s="32" t="s">
        <v>70</v>
      </c>
      <c r="L862" s="54" t="s">
        <v>115</v>
      </c>
      <c r="M862" s="63" t="s">
        <v>218</v>
      </c>
      <c r="N862" s="32" t="s">
        <v>89</v>
      </c>
      <c r="O862" s="57" t="s">
        <v>4015</v>
      </c>
      <c r="P862" s="32"/>
      <c r="Q862" s="47"/>
      <c r="R862" s="47"/>
      <c r="S862" s="57" t="s">
        <v>4015</v>
      </c>
      <c r="T862" s="32"/>
      <c r="U862" s="47"/>
      <c r="V862" s="54" t="s">
        <v>74</v>
      </c>
      <c r="W862" s="57" t="s">
        <v>5060</v>
      </c>
      <c r="X862" s="57" t="s">
        <v>5061</v>
      </c>
      <c r="Y862" s="67" t="s">
        <v>5062</v>
      </c>
      <c r="Z862" s="32" t="s">
        <v>112</v>
      </c>
      <c r="AA862" s="47"/>
      <c r="AB862" s="60" t="s">
        <v>113</v>
      </c>
      <c r="AC862" s="60" t="s">
        <v>5063</v>
      </c>
      <c r="AD862" s="261">
        <v>43109.0</v>
      </c>
      <c r="AE862" s="47"/>
      <c r="AF862" s="54" t="s">
        <v>80</v>
      </c>
      <c r="AG862" s="56" t="s">
        <v>5064</v>
      </c>
      <c r="AH862" s="47"/>
      <c r="AI862" s="41"/>
      <c r="AJ862" s="77"/>
      <c r="AK862" s="83">
        <v>42948.0</v>
      </c>
      <c r="AL862" s="63"/>
    </row>
    <row r="863" ht="22.5" customHeight="1">
      <c r="A863" s="53"/>
      <c r="B863" s="57" t="s">
        <v>1331</v>
      </c>
      <c r="C863" s="57" t="s">
        <v>5065</v>
      </c>
      <c r="D863" s="34" t="s">
        <v>192</v>
      </c>
      <c r="E863" s="57" t="s">
        <v>5066</v>
      </c>
      <c r="F863" s="54" t="s">
        <v>140</v>
      </c>
      <c r="G863" s="54" t="s">
        <v>85</v>
      </c>
      <c r="H863" s="47"/>
      <c r="I863" s="47"/>
      <c r="J863" s="47"/>
      <c r="K863" s="32" t="s">
        <v>70</v>
      </c>
      <c r="L863" s="54" t="s">
        <v>141</v>
      </c>
      <c r="M863" s="63" t="s">
        <v>218</v>
      </c>
      <c r="N863" s="32" t="s">
        <v>434</v>
      </c>
      <c r="O863" s="57" t="s">
        <v>1023</v>
      </c>
      <c r="P863" s="32"/>
      <c r="Q863" s="47"/>
      <c r="R863" s="47"/>
      <c r="S863" s="57" t="s">
        <v>1023</v>
      </c>
      <c r="T863" s="45" t="s">
        <v>5067</v>
      </c>
      <c r="U863" s="67" t="s">
        <v>5068</v>
      </c>
      <c r="V863" s="54" t="s">
        <v>80</v>
      </c>
      <c r="W863" s="57" t="s">
        <v>5069</v>
      </c>
      <c r="X863" s="60" t="s">
        <v>5070</v>
      </c>
      <c r="Y863" s="67" t="s">
        <v>5071</v>
      </c>
      <c r="Z863" s="32" t="s">
        <v>112</v>
      </c>
      <c r="AA863" s="47"/>
      <c r="AB863" s="60" t="s">
        <v>575</v>
      </c>
      <c r="AC863" s="60" t="s">
        <v>5072</v>
      </c>
      <c r="AD863" s="73"/>
      <c r="AE863" s="47"/>
      <c r="AF863" s="54" t="s">
        <v>80</v>
      </c>
      <c r="AG863" s="56" t="s">
        <v>1339</v>
      </c>
      <c r="AH863" s="57"/>
      <c r="AI863" s="58"/>
      <c r="AJ863" s="77"/>
      <c r="AK863" s="83">
        <v>42795.0</v>
      </c>
      <c r="AL863" s="56" t="s">
        <v>1028</v>
      </c>
    </row>
    <row r="864" ht="22.5" customHeight="1">
      <c r="A864" s="53"/>
      <c r="B864" s="57" t="s">
        <v>5073</v>
      </c>
      <c r="C864" s="57" t="s">
        <v>5074</v>
      </c>
      <c r="D864" s="54" t="s">
        <v>75</v>
      </c>
      <c r="E864" s="57" t="s">
        <v>5075</v>
      </c>
      <c r="F864" s="54" t="s">
        <v>140</v>
      </c>
      <c r="G864" s="54" t="s">
        <v>85</v>
      </c>
      <c r="H864" s="47"/>
      <c r="I864" s="47"/>
      <c r="J864" s="47"/>
      <c r="K864" s="32" t="s">
        <v>70</v>
      </c>
      <c r="L864" s="54" t="s">
        <v>141</v>
      </c>
      <c r="M864" s="63" t="s">
        <v>313</v>
      </c>
      <c r="N864" s="32" t="s">
        <v>4106</v>
      </c>
      <c r="O864" s="57" t="s">
        <v>5076</v>
      </c>
      <c r="P864" s="32" t="s">
        <v>5077</v>
      </c>
      <c r="Q864" s="47"/>
      <c r="R864" s="47"/>
      <c r="S864" s="57" t="s">
        <v>220</v>
      </c>
      <c r="T864" s="45" t="s">
        <v>5078</v>
      </c>
      <c r="U864" s="262"/>
      <c r="V864" s="54" t="s">
        <v>80</v>
      </c>
      <c r="W864" s="57" t="s">
        <v>5079</v>
      </c>
      <c r="X864" s="327" t="s">
        <v>5080</v>
      </c>
      <c r="Y864" s="67" t="s">
        <v>5081</v>
      </c>
      <c r="Z864" s="32" t="s">
        <v>112</v>
      </c>
      <c r="AA864" s="47"/>
      <c r="AB864" s="60"/>
      <c r="AC864" s="60" t="s">
        <v>5082</v>
      </c>
      <c r="AD864" s="73"/>
      <c r="AE864" s="47"/>
      <c r="AF864" s="54" t="s">
        <v>80</v>
      </c>
      <c r="AG864" s="56" t="s">
        <v>5083</v>
      </c>
      <c r="AH864" s="262"/>
      <c r="AI864" s="307"/>
      <c r="AJ864" s="77"/>
      <c r="AK864" s="83">
        <v>43144.0</v>
      </c>
      <c r="AL864" s="56" t="s">
        <v>232</v>
      </c>
    </row>
    <row r="865" ht="22.5" customHeight="1">
      <c r="A865" s="53"/>
      <c r="B865" s="57" t="s">
        <v>5084</v>
      </c>
      <c r="C865" s="57" t="s">
        <v>5085</v>
      </c>
      <c r="D865" s="54" t="s">
        <v>75</v>
      </c>
      <c r="E865" s="57" t="s">
        <v>5086</v>
      </c>
      <c r="F865" s="54" t="s">
        <v>140</v>
      </c>
      <c r="G865" s="54" t="s">
        <v>85</v>
      </c>
      <c r="H865" s="47"/>
      <c r="I865" s="47"/>
      <c r="J865" s="47"/>
      <c r="K865" s="32" t="s">
        <v>70</v>
      </c>
      <c r="L865" s="54" t="s">
        <v>141</v>
      </c>
      <c r="M865" s="63" t="s">
        <v>88</v>
      </c>
      <c r="N865" s="32" t="s">
        <v>89</v>
      </c>
      <c r="O865" s="32" t="s">
        <v>142</v>
      </c>
      <c r="P865" s="57" t="s">
        <v>5087</v>
      </c>
      <c r="Q865" s="47"/>
      <c r="R865" s="47"/>
      <c r="S865" s="32" t="s">
        <v>142</v>
      </c>
      <c r="T865" s="45" t="s">
        <v>5088</v>
      </c>
      <c r="U865" s="47"/>
      <c r="V865" s="65"/>
      <c r="W865" s="57" t="s">
        <v>5089</v>
      </c>
      <c r="X865" s="57" t="s">
        <v>5090</v>
      </c>
      <c r="Y865" s="67" t="s">
        <v>5091</v>
      </c>
      <c r="Z865" s="32" t="s">
        <v>112</v>
      </c>
      <c r="AA865" s="47"/>
      <c r="AB865" s="57" t="s">
        <v>1183</v>
      </c>
      <c r="AC865" s="32" t="s">
        <v>5092</v>
      </c>
      <c r="AD865" s="73"/>
      <c r="AE865" s="57"/>
      <c r="AF865" s="54" t="s">
        <v>80</v>
      </c>
      <c r="AG865" s="56" t="s">
        <v>5093</v>
      </c>
      <c r="AH865" s="47"/>
      <c r="AI865" s="41"/>
      <c r="AJ865" s="77"/>
      <c r="AK865" s="83">
        <v>42955.0</v>
      </c>
      <c r="AL865" s="56" t="s">
        <v>262</v>
      </c>
    </row>
    <row r="866" ht="22.5" customHeight="1">
      <c r="A866" s="53"/>
      <c r="B866" s="57" t="s">
        <v>5094</v>
      </c>
      <c r="C866" s="57" t="s">
        <v>5095</v>
      </c>
      <c r="D866" s="54" t="s">
        <v>75</v>
      </c>
      <c r="E866" s="57" t="s">
        <v>5096</v>
      </c>
      <c r="F866" s="54" t="s">
        <v>140</v>
      </c>
      <c r="G866" s="54" t="s">
        <v>85</v>
      </c>
      <c r="H866" s="47"/>
      <c r="I866" s="47"/>
      <c r="J866" s="47"/>
      <c r="K866" s="32" t="s">
        <v>70</v>
      </c>
      <c r="L866" s="54" t="s">
        <v>141</v>
      </c>
      <c r="M866" s="63" t="s">
        <v>218</v>
      </c>
      <c r="N866" s="32" t="s">
        <v>89</v>
      </c>
      <c r="O866" s="32" t="s">
        <v>969</v>
      </c>
      <c r="P866" s="57"/>
      <c r="Q866" s="47"/>
      <c r="R866" s="47"/>
      <c r="S866" s="32" t="s">
        <v>969</v>
      </c>
      <c r="T866" s="45" t="s">
        <v>5097</v>
      </c>
      <c r="U866" s="47"/>
      <c r="V866" s="54" t="s">
        <v>80</v>
      </c>
      <c r="W866" s="57" t="s">
        <v>5098</v>
      </c>
      <c r="X866" s="57" t="s">
        <v>5099</v>
      </c>
      <c r="Y866" s="67" t="s">
        <v>5100</v>
      </c>
      <c r="Z866" s="32" t="s">
        <v>112</v>
      </c>
      <c r="AA866" s="47"/>
      <c r="AB866" s="60" t="s">
        <v>389</v>
      </c>
      <c r="AC866" s="32" t="s">
        <v>5101</v>
      </c>
      <c r="AD866" s="73"/>
      <c r="AE866" s="57"/>
      <c r="AF866" s="54" t="s">
        <v>80</v>
      </c>
      <c r="AG866" s="56" t="s">
        <v>5102</v>
      </c>
      <c r="AH866" s="47"/>
      <c r="AI866" s="41"/>
      <c r="AJ866" s="77"/>
      <c r="AK866" s="83">
        <v>43257.0</v>
      </c>
      <c r="AL866" s="56" t="s">
        <v>1043</v>
      </c>
    </row>
    <row r="867" ht="22.5" customHeight="1">
      <c r="A867" s="53"/>
      <c r="B867" s="57" t="s">
        <v>5103</v>
      </c>
      <c r="C867" s="57" t="s">
        <v>5104</v>
      </c>
      <c r="D867" s="54" t="s">
        <v>75</v>
      </c>
      <c r="E867" s="57" t="s">
        <v>5105</v>
      </c>
      <c r="F867" s="54" t="s">
        <v>140</v>
      </c>
      <c r="G867" s="54" t="s">
        <v>85</v>
      </c>
      <c r="H867" s="47"/>
      <c r="I867" s="47"/>
      <c r="J867" s="47"/>
      <c r="K867" s="32" t="s">
        <v>70</v>
      </c>
      <c r="L867" s="54" t="s">
        <v>141</v>
      </c>
      <c r="M867" s="63" t="s">
        <v>88</v>
      </c>
      <c r="N867" s="32" t="s">
        <v>89</v>
      </c>
      <c r="O867" s="32" t="s">
        <v>1570</v>
      </c>
      <c r="P867" s="47"/>
      <c r="Q867" s="47"/>
      <c r="R867" s="47"/>
      <c r="S867" s="32" t="s">
        <v>1570</v>
      </c>
      <c r="T867" s="38"/>
      <c r="U867" s="47"/>
      <c r="V867" s="54" t="s">
        <v>74</v>
      </c>
      <c r="W867" s="57" t="s">
        <v>5106</v>
      </c>
      <c r="X867" s="57" t="s">
        <v>5107</v>
      </c>
      <c r="Y867" s="67" t="s">
        <v>5108</v>
      </c>
      <c r="Z867" s="32" t="s">
        <v>112</v>
      </c>
      <c r="AA867" s="47"/>
      <c r="AB867" s="57" t="s">
        <v>481</v>
      </c>
      <c r="AC867" s="60" t="s">
        <v>5109</v>
      </c>
      <c r="AD867" s="73"/>
      <c r="AE867" s="47"/>
      <c r="AF867" s="54" t="s">
        <v>80</v>
      </c>
      <c r="AG867" s="56" t="s">
        <v>5110</v>
      </c>
      <c r="AH867" s="47"/>
      <c r="AI867" s="58">
        <v>43465.0</v>
      </c>
      <c r="AJ867" s="77"/>
      <c r="AK867" s="83">
        <v>42909.0</v>
      </c>
      <c r="AL867" s="109" t="s">
        <v>2055</v>
      </c>
    </row>
    <row r="868" ht="22.5" customHeight="1">
      <c r="A868" s="53"/>
      <c r="B868" s="57" t="s">
        <v>5111</v>
      </c>
      <c r="C868" s="57" t="s">
        <v>5112</v>
      </c>
      <c r="D868" s="54" t="s">
        <v>75</v>
      </c>
      <c r="E868" s="57" t="s">
        <v>5113</v>
      </c>
      <c r="F868" s="54"/>
      <c r="G868" s="54" t="s">
        <v>85</v>
      </c>
      <c r="H868" s="47"/>
      <c r="I868" s="47"/>
      <c r="J868" s="47"/>
      <c r="K868" s="32" t="s">
        <v>70</v>
      </c>
      <c r="L868" s="54" t="s">
        <v>87</v>
      </c>
      <c r="M868" s="63" t="s">
        <v>218</v>
      </c>
      <c r="N868" s="32" t="s">
        <v>89</v>
      </c>
      <c r="O868" s="32"/>
      <c r="P868" s="47"/>
      <c r="Q868" s="47"/>
      <c r="R868" s="47"/>
      <c r="S868" s="32"/>
      <c r="T868" s="45" t="s">
        <v>5114</v>
      </c>
      <c r="U868" s="47"/>
      <c r="V868" s="54"/>
      <c r="W868" s="57" t="s">
        <v>5115</v>
      </c>
      <c r="X868" s="57" t="s">
        <v>5116</v>
      </c>
      <c r="Y868" s="67" t="s">
        <v>5117</v>
      </c>
      <c r="Z868" s="32" t="s">
        <v>112</v>
      </c>
      <c r="AA868" s="47"/>
      <c r="AB868" s="60" t="s">
        <v>66</v>
      </c>
      <c r="AC868" s="60" t="s">
        <v>5118</v>
      </c>
      <c r="AD868" s="73"/>
      <c r="AE868" s="47"/>
      <c r="AF868" s="295" t="s">
        <v>80</v>
      </c>
      <c r="AG868" s="56" t="s">
        <v>5119</v>
      </c>
      <c r="AH868" s="47"/>
      <c r="AI868" s="58"/>
      <c r="AJ868" s="83">
        <v>43279.0</v>
      </c>
      <c r="AK868" s="83"/>
      <c r="AL868" s="60"/>
    </row>
    <row r="869" ht="22.5" customHeight="1">
      <c r="A869" s="185"/>
      <c r="B869" s="186" t="s">
        <v>934</v>
      </c>
      <c r="C869" s="149" t="s">
        <v>937</v>
      </c>
      <c r="D869" s="187" t="s">
        <v>75</v>
      </c>
      <c r="E869" s="188" t="s">
        <v>940</v>
      </c>
      <c r="F869" s="187" t="s">
        <v>93</v>
      </c>
      <c r="G869" s="187" t="s">
        <v>85</v>
      </c>
      <c r="H869" s="189"/>
      <c r="I869" s="189"/>
      <c r="J869" s="189"/>
      <c r="K869" s="188" t="s">
        <v>70</v>
      </c>
      <c r="L869" s="54" t="s">
        <v>141</v>
      </c>
      <c r="M869" s="63" t="s">
        <v>218</v>
      </c>
      <c r="N869" s="32" t="s">
        <v>89</v>
      </c>
      <c r="O869" s="188" t="s">
        <v>4015</v>
      </c>
      <c r="P869" s="188"/>
      <c r="Q869" s="190"/>
      <c r="R869" s="191"/>
      <c r="S869" s="188" t="s">
        <v>4015</v>
      </c>
      <c r="T869" s="45" t="s">
        <v>5120</v>
      </c>
      <c r="U869" s="190"/>
      <c r="V869" s="34" t="s">
        <v>74</v>
      </c>
      <c r="W869" s="149" t="s">
        <v>5121</v>
      </c>
      <c r="X869" s="32" t="s">
        <v>5122</v>
      </c>
      <c r="Y869" s="45" t="s">
        <v>5123</v>
      </c>
      <c r="Z869" s="32" t="s">
        <v>112</v>
      </c>
      <c r="AA869" s="47"/>
      <c r="AB869" s="57" t="s">
        <v>113</v>
      </c>
      <c r="AC869" s="60" t="s">
        <v>5124</v>
      </c>
      <c r="AD869" s="195"/>
      <c r="AE869" s="196"/>
      <c r="AF869" s="295" t="s">
        <v>80</v>
      </c>
      <c r="AG869" s="56" t="s">
        <v>5125</v>
      </c>
      <c r="AH869" s="196"/>
      <c r="AI869" s="197"/>
      <c r="AJ869" s="199">
        <v>42961.0</v>
      </c>
      <c r="AK869" s="199">
        <v>43207.0</v>
      </c>
      <c r="AL869" s="63"/>
    </row>
    <row r="870" ht="22.5" customHeight="1">
      <c r="A870" s="185"/>
      <c r="B870" s="186" t="s">
        <v>5126</v>
      </c>
      <c r="C870" s="149" t="s">
        <v>5127</v>
      </c>
      <c r="D870" s="187" t="s">
        <v>75</v>
      </c>
      <c r="E870" s="188" t="s">
        <v>5128</v>
      </c>
      <c r="F870" s="187" t="s">
        <v>140</v>
      </c>
      <c r="G870" s="187" t="s">
        <v>85</v>
      </c>
      <c r="H870" s="189"/>
      <c r="I870" s="189"/>
      <c r="J870" s="189"/>
      <c r="K870" s="188" t="s">
        <v>70</v>
      </c>
      <c r="L870" s="54" t="s">
        <v>141</v>
      </c>
      <c r="M870" s="63" t="s">
        <v>218</v>
      </c>
      <c r="N870" s="32" t="s">
        <v>89</v>
      </c>
      <c r="O870" s="188" t="s">
        <v>220</v>
      </c>
      <c r="P870" s="188"/>
      <c r="Q870" s="190"/>
      <c r="R870" s="191"/>
      <c r="S870" s="188" t="s">
        <v>220</v>
      </c>
      <c r="T870" s="32"/>
      <c r="U870" s="190"/>
      <c r="V870" s="34" t="s">
        <v>80</v>
      </c>
      <c r="W870" s="149" t="s">
        <v>5129</v>
      </c>
      <c r="X870" s="32" t="s">
        <v>5130</v>
      </c>
      <c r="Y870" s="45" t="s">
        <v>5131</v>
      </c>
      <c r="Z870" s="32" t="s">
        <v>112</v>
      </c>
      <c r="AA870" s="47"/>
      <c r="AB870" s="57" t="s">
        <v>113</v>
      </c>
      <c r="AC870" s="60" t="s">
        <v>5132</v>
      </c>
      <c r="AD870" s="195"/>
      <c r="AE870" s="196"/>
      <c r="AF870" s="320" t="s">
        <v>80</v>
      </c>
      <c r="AG870" s="56" t="s">
        <v>5133</v>
      </c>
      <c r="AH870" s="196"/>
      <c r="AI870" s="197"/>
      <c r="AJ870" s="197"/>
      <c r="AK870" s="199">
        <v>43068.0</v>
      </c>
      <c r="AL870" s="56" t="s">
        <v>232</v>
      </c>
    </row>
    <row r="871" ht="22.5" customHeight="1">
      <c r="A871" s="185"/>
      <c r="B871" s="186" t="s">
        <v>5134</v>
      </c>
      <c r="C871" s="149" t="s">
        <v>840</v>
      </c>
      <c r="D871" s="187" t="s">
        <v>75</v>
      </c>
      <c r="E871" s="188" t="s">
        <v>5135</v>
      </c>
      <c r="F871" s="187" t="s">
        <v>140</v>
      </c>
      <c r="G871" s="187" t="s">
        <v>85</v>
      </c>
      <c r="H871" s="189"/>
      <c r="I871" s="189"/>
      <c r="J871" s="189"/>
      <c r="K871" s="188" t="s">
        <v>70</v>
      </c>
      <c r="L871" s="54" t="s">
        <v>141</v>
      </c>
      <c r="M871" s="63" t="s">
        <v>88</v>
      </c>
      <c r="N871" s="32" t="s">
        <v>4106</v>
      </c>
      <c r="O871" s="188" t="s">
        <v>402</v>
      </c>
      <c r="P871" s="188"/>
      <c r="Q871" s="190"/>
      <c r="R871" s="191"/>
      <c r="S871" s="188" t="s">
        <v>402</v>
      </c>
      <c r="T871" s="45" t="s">
        <v>5136</v>
      </c>
      <c r="U871" s="190"/>
      <c r="V871" s="34" t="s">
        <v>80</v>
      </c>
      <c r="W871" s="149" t="s">
        <v>5137</v>
      </c>
      <c r="X871" s="32" t="s">
        <v>5138</v>
      </c>
      <c r="Y871" s="45" t="s">
        <v>5139</v>
      </c>
      <c r="Z871" s="32" t="s">
        <v>112</v>
      </c>
      <c r="AA871" s="47"/>
      <c r="AB871" s="57"/>
      <c r="AC871" s="60" t="s">
        <v>5140</v>
      </c>
      <c r="AD871" s="195"/>
      <c r="AE871" s="196"/>
      <c r="AF871" s="320" t="s">
        <v>80</v>
      </c>
      <c r="AG871" s="56" t="s">
        <v>5141</v>
      </c>
      <c r="AH871" s="196"/>
      <c r="AI871" s="197"/>
      <c r="AJ871" s="197"/>
      <c r="AK871" s="199">
        <v>43229.0</v>
      </c>
      <c r="AL871" s="56" t="s">
        <v>1033</v>
      </c>
    </row>
    <row r="872" ht="22.5" customHeight="1">
      <c r="A872" s="185"/>
      <c r="B872" s="186" t="s">
        <v>5142</v>
      </c>
      <c r="C872" s="149" t="s">
        <v>5143</v>
      </c>
      <c r="D872" s="187" t="s">
        <v>75</v>
      </c>
      <c r="E872" s="188" t="s">
        <v>5144</v>
      </c>
      <c r="F872" s="187" t="s">
        <v>140</v>
      </c>
      <c r="G872" s="187" t="s">
        <v>85</v>
      </c>
      <c r="H872" s="189"/>
      <c r="I872" s="189"/>
      <c r="J872" s="189"/>
      <c r="K872" s="188" t="s">
        <v>70</v>
      </c>
      <c r="L872" s="54" t="s">
        <v>141</v>
      </c>
      <c r="M872" s="63" t="s">
        <v>88</v>
      </c>
      <c r="N872" s="32" t="s">
        <v>89</v>
      </c>
      <c r="O872" s="188" t="s">
        <v>175</v>
      </c>
      <c r="P872" s="188" t="s">
        <v>686</v>
      </c>
      <c r="Q872" s="190"/>
      <c r="R872" s="191"/>
      <c r="S872" s="188" t="s">
        <v>175</v>
      </c>
      <c r="T872" s="45" t="s">
        <v>5145</v>
      </c>
      <c r="U872" s="190"/>
      <c r="V872" s="34" t="s">
        <v>80</v>
      </c>
      <c r="W872" s="149" t="s">
        <v>5146</v>
      </c>
      <c r="X872" s="32" t="s">
        <v>5147</v>
      </c>
      <c r="Y872" s="45" t="s">
        <v>5148</v>
      </c>
      <c r="Z872" s="32" t="s">
        <v>112</v>
      </c>
      <c r="AA872" s="47"/>
      <c r="AB872" s="57" t="s">
        <v>113</v>
      </c>
      <c r="AC872" s="60" t="s">
        <v>5149</v>
      </c>
      <c r="AD872" s="195"/>
      <c r="AE872" s="196"/>
      <c r="AF872" s="320" t="s">
        <v>80</v>
      </c>
      <c r="AG872" s="56" t="s">
        <v>5150</v>
      </c>
      <c r="AH872" s="196"/>
      <c r="AI872" s="197"/>
      <c r="AJ872" s="197"/>
      <c r="AK872" s="199">
        <v>43221.0</v>
      </c>
      <c r="AL872" s="56" t="s">
        <v>188</v>
      </c>
    </row>
    <row r="873" ht="22.5" customHeight="1">
      <c r="A873" s="185"/>
      <c r="B873" s="186" t="s">
        <v>5151</v>
      </c>
      <c r="C873" s="149" t="s">
        <v>5152</v>
      </c>
      <c r="D873" s="187" t="s">
        <v>75</v>
      </c>
      <c r="E873" s="188" t="s">
        <v>5153</v>
      </c>
      <c r="F873" s="187" t="s">
        <v>140</v>
      </c>
      <c r="G873" s="187" t="s">
        <v>85</v>
      </c>
      <c r="H873" s="189"/>
      <c r="I873" s="189"/>
      <c r="J873" s="189"/>
      <c r="K873" s="188" t="s">
        <v>70</v>
      </c>
      <c r="L873" s="54" t="s">
        <v>141</v>
      </c>
      <c r="M873" s="63" t="s">
        <v>218</v>
      </c>
      <c r="N873" s="32" t="s">
        <v>89</v>
      </c>
      <c r="O873" s="188" t="s">
        <v>175</v>
      </c>
      <c r="P873" s="188" t="s">
        <v>876</v>
      </c>
      <c r="Q873" s="190"/>
      <c r="R873" s="191"/>
      <c r="S873" s="188" t="s">
        <v>175</v>
      </c>
      <c r="T873" s="45" t="s">
        <v>5154</v>
      </c>
      <c r="U873" s="190"/>
      <c r="V873" s="34" t="s">
        <v>80</v>
      </c>
      <c r="W873" s="149" t="s">
        <v>5155</v>
      </c>
      <c r="X873" s="32" t="s">
        <v>5156</v>
      </c>
      <c r="Y873" s="45" t="s">
        <v>5157</v>
      </c>
      <c r="Z873" s="32" t="s">
        <v>112</v>
      </c>
      <c r="AA873" s="47"/>
      <c r="AB873" s="60" t="s">
        <v>389</v>
      </c>
      <c r="AC873" s="60" t="s">
        <v>5158</v>
      </c>
      <c r="AD873" s="195"/>
      <c r="AE873" s="196"/>
      <c r="AF873" s="320" t="s">
        <v>80</v>
      </c>
      <c r="AG873" s="56" t="s">
        <v>5159</v>
      </c>
      <c r="AH873" s="196"/>
      <c r="AI873" s="199">
        <v>43465.0</v>
      </c>
      <c r="AJ873" s="197"/>
      <c r="AK873" s="199">
        <v>43271.0</v>
      </c>
      <c r="AL873" s="56" t="s">
        <v>188</v>
      </c>
    </row>
    <row r="874" ht="22.5" customHeight="1">
      <c r="A874" s="185"/>
      <c r="B874" s="186" t="s">
        <v>4378</v>
      </c>
      <c r="C874" s="149" t="s">
        <v>5160</v>
      </c>
      <c r="D874" s="187" t="s">
        <v>75</v>
      </c>
      <c r="E874" s="188" t="s">
        <v>5161</v>
      </c>
      <c r="F874" s="187" t="s">
        <v>140</v>
      </c>
      <c r="G874" s="187" t="s">
        <v>85</v>
      </c>
      <c r="H874" s="189"/>
      <c r="I874" s="189"/>
      <c r="J874" s="189"/>
      <c r="K874" s="188" t="s">
        <v>70</v>
      </c>
      <c r="L874" s="54" t="s">
        <v>141</v>
      </c>
      <c r="M874" s="63" t="s">
        <v>88</v>
      </c>
      <c r="N874" s="32" t="s">
        <v>89</v>
      </c>
      <c r="O874" s="188" t="s">
        <v>1570</v>
      </c>
      <c r="P874" s="188"/>
      <c r="Q874" s="190"/>
      <c r="R874" s="191"/>
      <c r="S874" s="188" t="s">
        <v>1570</v>
      </c>
      <c r="T874" s="32"/>
      <c r="U874" s="190"/>
      <c r="V874" s="34" t="s">
        <v>74</v>
      </c>
      <c r="W874" s="149" t="s">
        <v>4384</v>
      </c>
      <c r="X874" s="32" t="s">
        <v>4385</v>
      </c>
      <c r="Y874" s="45" t="s">
        <v>4386</v>
      </c>
      <c r="Z874" s="32" t="s">
        <v>112</v>
      </c>
      <c r="AA874" s="47"/>
      <c r="AB874" s="60" t="s">
        <v>389</v>
      </c>
      <c r="AC874" s="60" t="s">
        <v>5162</v>
      </c>
      <c r="AD874" s="195"/>
      <c r="AE874" s="196"/>
      <c r="AF874" s="320" t="s">
        <v>80</v>
      </c>
      <c r="AG874" s="56" t="s">
        <v>4388</v>
      </c>
      <c r="AH874" s="196"/>
      <c r="AI874" s="197"/>
      <c r="AJ874" s="197"/>
      <c r="AK874" s="199">
        <v>42839.0</v>
      </c>
      <c r="AL874" s="109" t="s">
        <v>2055</v>
      </c>
    </row>
    <row r="875" ht="24.75" customHeight="1">
      <c r="A875" s="328"/>
      <c r="B875" s="329"/>
      <c r="C875" s="330"/>
      <c r="D875" s="331"/>
      <c r="E875" s="332"/>
      <c r="F875" s="331"/>
      <c r="G875" s="331"/>
      <c r="H875" s="333"/>
      <c r="I875" s="333"/>
      <c r="J875" s="333"/>
      <c r="K875" s="332"/>
      <c r="L875" s="331"/>
      <c r="M875" s="329"/>
      <c r="N875" s="332"/>
      <c r="O875" s="332"/>
      <c r="P875" s="332"/>
      <c r="Q875" s="332"/>
      <c r="R875" s="333"/>
      <c r="S875" s="332"/>
      <c r="T875" s="329"/>
      <c r="U875" s="332"/>
      <c r="V875" s="334"/>
      <c r="W875" s="280"/>
      <c r="X875" s="280"/>
      <c r="Y875" s="280"/>
      <c r="Z875" s="280"/>
      <c r="AA875" s="280"/>
      <c r="AB875" s="280"/>
      <c r="AC875" s="335"/>
      <c r="AD875" s="336"/>
      <c r="AE875" s="337"/>
      <c r="AF875" s="338"/>
      <c r="AG875" s="329"/>
      <c r="AH875" s="339"/>
      <c r="AI875" s="338"/>
      <c r="AJ875" s="338"/>
      <c r="AK875" s="338"/>
      <c r="AL875" s="329"/>
    </row>
    <row r="876" ht="24.75" customHeight="1">
      <c r="A876" s="328"/>
      <c r="B876" s="329"/>
      <c r="C876" s="330"/>
      <c r="D876" s="331"/>
      <c r="E876" s="332"/>
      <c r="F876" s="331"/>
      <c r="G876" s="331"/>
      <c r="H876" s="333"/>
      <c r="I876" s="333"/>
      <c r="J876" s="333"/>
      <c r="K876" s="332"/>
      <c r="L876" s="331"/>
      <c r="M876" s="329"/>
      <c r="N876" s="332"/>
      <c r="O876" s="332"/>
      <c r="P876" s="332"/>
      <c r="Q876" s="332"/>
      <c r="R876" s="333"/>
      <c r="S876" s="332"/>
      <c r="T876" s="329"/>
      <c r="U876" s="332"/>
      <c r="V876" s="334"/>
      <c r="W876" s="280"/>
      <c r="X876" s="280"/>
      <c r="Y876" s="280"/>
      <c r="Z876" s="280"/>
      <c r="AA876" s="280"/>
      <c r="AB876" s="280"/>
      <c r="AC876" s="335"/>
      <c r="AD876" s="336"/>
      <c r="AE876" s="337"/>
      <c r="AF876" s="338"/>
      <c r="AG876" s="329"/>
      <c r="AH876" s="339"/>
      <c r="AI876" s="338"/>
      <c r="AJ876" s="338"/>
      <c r="AK876" s="338"/>
      <c r="AL876" s="329"/>
    </row>
    <row r="877" ht="24.75" customHeight="1">
      <c r="A877" s="328"/>
      <c r="B877" s="329"/>
      <c r="C877" s="330"/>
      <c r="D877" s="331"/>
      <c r="E877" s="332"/>
      <c r="F877" s="331"/>
      <c r="G877" s="331"/>
      <c r="H877" s="333"/>
      <c r="I877" s="333"/>
      <c r="J877" s="333"/>
      <c r="K877" s="332"/>
      <c r="L877" s="331"/>
      <c r="M877" s="329"/>
      <c r="N877" s="332"/>
      <c r="O877" s="332"/>
      <c r="P877" s="332"/>
      <c r="Q877" s="332"/>
      <c r="R877" s="333"/>
      <c r="S877" s="332"/>
      <c r="T877" s="329"/>
      <c r="U877" s="332"/>
      <c r="V877" s="334"/>
      <c r="W877" s="280"/>
      <c r="X877" s="280"/>
      <c r="Y877" s="280"/>
      <c r="Z877" s="280"/>
      <c r="AA877" s="280"/>
      <c r="AB877" s="280"/>
      <c r="AC877" s="335"/>
      <c r="AD877" s="336"/>
      <c r="AE877" s="337"/>
      <c r="AF877" s="338"/>
      <c r="AG877" s="329"/>
      <c r="AH877" s="339"/>
      <c r="AI877" s="338"/>
      <c r="AJ877" s="338"/>
      <c r="AK877" s="338"/>
      <c r="AL877" s="329"/>
    </row>
    <row r="878" ht="24.75" customHeight="1">
      <c r="A878" s="328"/>
      <c r="B878" s="329"/>
      <c r="C878" s="330"/>
      <c r="D878" s="331"/>
      <c r="E878" s="332"/>
      <c r="F878" s="331"/>
      <c r="G878" s="331"/>
      <c r="H878" s="333"/>
      <c r="I878" s="333"/>
      <c r="J878" s="333"/>
      <c r="K878" s="332"/>
      <c r="L878" s="331"/>
      <c r="M878" s="329"/>
      <c r="N878" s="332"/>
      <c r="O878" s="332"/>
      <c r="P878" s="332"/>
      <c r="Q878" s="332"/>
      <c r="R878" s="333"/>
      <c r="S878" s="332"/>
      <c r="T878" s="329"/>
      <c r="U878" s="332"/>
      <c r="V878" s="334"/>
      <c r="W878" s="280"/>
      <c r="X878" s="280"/>
      <c r="Y878" s="280"/>
      <c r="Z878" s="280"/>
      <c r="AA878" s="280"/>
      <c r="AB878" s="280"/>
      <c r="AC878" s="335"/>
      <c r="AD878" s="336"/>
      <c r="AE878" s="337"/>
      <c r="AF878" s="338"/>
      <c r="AG878" s="329"/>
      <c r="AH878" s="339"/>
      <c r="AI878" s="338"/>
      <c r="AJ878" s="338"/>
      <c r="AK878" s="338"/>
      <c r="AL878" s="329"/>
    </row>
    <row r="879" ht="24.75" customHeight="1">
      <c r="A879" s="328"/>
      <c r="B879" s="329"/>
      <c r="C879" s="330"/>
      <c r="D879" s="331"/>
      <c r="E879" s="332"/>
      <c r="F879" s="331"/>
      <c r="G879" s="331"/>
      <c r="H879" s="333"/>
      <c r="I879" s="333"/>
      <c r="J879" s="333"/>
      <c r="K879" s="332"/>
      <c r="L879" s="331"/>
      <c r="M879" s="329"/>
      <c r="N879" s="332"/>
      <c r="O879" s="332"/>
      <c r="P879" s="332"/>
      <c r="Q879" s="332"/>
      <c r="R879" s="333"/>
      <c r="S879" s="332"/>
      <c r="T879" s="329"/>
      <c r="U879" s="332"/>
      <c r="V879" s="334"/>
      <c r="W879" s="280"/>
      <c r="X879" s="280"/>
      <c r="Y879" s="280"/>
      <c r="Z879" s="280"/>
      <c r="AA879" s="280"/>
      <c r="AB879" s="280"/>
      <c r="AC879" s="335"/>
      <c r="AD879" s="336"/>
      <c r="AE879" s="337"/>
      <c r="AF879" s="338"/>
      <c r="AG879" s="329"/>
      <c r="AH879" s="339"/>
      <c r="AI879" s="338"/>
      <c r="AJ879" s="338"/>
      <c r="AK879" s="338"/>
      <c r="AL879" s="329"/>
    </row>
    <row r="880" ht="24.75" customHeight="1">
      <c r="A880" s="328"/>
      <c r="B880" s="329"/>
      <c r="C880" s="330"/>
      <c r="D880" s="331"/>
      <c r="E880" s="332"/>
      <c r="F880" s="331"/>
      <c r="G880" s="331"/>
      <c r="H880" s="333"/>
      <c r="I880" s="333"/>
      <c r="J880" s="333"/>
      <c r="K880" s="332"/>
      <c r="L880" s="331"/>
      <c r="M880" s="329"/>
      <c r="N880" s="332"/>
      <c r="O880" s="332"/>
      <c r="P880" s="332"/>
      <c r="Q880" s="332"/>
      <c r="R880" s="333"/>
      <c r="S880" s="332"/>
      <c r="T880" s="329"/>
      <c r="U880" s="332"/>
      <c r="V880" s="334"/>
      <c r="W880" s="280"/>
      <c r="X880" s="280"/>
      <c r="Y880" s="280"/>
      <c r="Z880" s="280"/>
      <c r="AA880" s="280"/>
      <c r="AB880" s="280"/>
      <c r="AC880" s="335"/>
      <c r="AD880" s="336"/>
      <c r="AE880" s="337"/>
      <c r="AF880" s="338"/>
      <c r="AG880" s="329"/>
      <c r="AH880" s="339"/>
      <c r="AI880" s="338"/>
      <c r="AJ880" s="338"/>
      <c r="AK880" s="338"/>
      <c r="AL880" s="329"/>
    </row>
    <row r="881" ht="24.75" customHeight="1">
      <c r="A881" s="328"/>
      <c r="B881" s="329"/>
      <c r="C881" s="330"/>
      <c r="D881" s="331"/>
      <c r="E881" s="332"/>
      <c r="F881" s="331"/>
      <c r="G881" s="331"/>
      <c r="H881" s="333"/>
      <c r="I881" s="333"/>
      <c r="J881" s="333"/>
      <c r="K881" s="332"/>
      <c r="L881" s="331"/>
      <c r="M881" s="329"/>
      <c r="N881" s="332"/>
      <c r="O881" s="332"/>
      <c r="P881" s="332"/>
      <c r="Q881" s="332"/>
      <c r="R881" s="333"/>
      <c r="S881" s="332"/>
      <c r="T881" s="329"/>
      <c r="U881" s="332"/>
      <c r="V881" s="334"/>
      <c r="W881" s="280"/>
      <c r="X881" s="280"/>
      <c r="Y881" s="280"/>
      <c r="Z881" s="280"/>
      <c r="AA881" s="280"/>
      <c r="AB881" s="280"/>
      <c r="AC881" s="335"/>
      <c r="AD881" s="336"/>
      <c r="AE881" s="337"/>
      <c r="AF881" s="338"/>
      <c r="AG881" s="329"/>
      <c r="AH881" s="339"/>
      <c r="AI881" s="338"/>
      <c r="AJ881" s="338"/>
      <c r="AK881" s="338"/>
      <c r="AL881" s="329"/>
    </row>
    <row r="882" ht="24.75" customHeight="1">
      <c r="A882" s="328"/>
      <c r="B882" s="329"/>
      <c r="C882" s="330"/>
      <c r="D882" s="331"/>
      <c r="E882" s="332"/>
      <c r="F882" s="331"/>
      <c r="G882" s="331"/>
      <c r="H882" s="333"/>
      <c r="I882" s="333"/>
      <c r="J882" s="333"/>
      <c r="K882" s="332"/>
      <c r="L882" s="331"/>
      <c r="M882" s="329"/>
      <c r="N882" s="332"/>
      <c r="O882" s="332"/>
      <c r="P882" s="332"/>
      <c r="Q882" s="332"/>
      <c r="R882" s="333"/>
      <c r="S882" s="332"/>
      <c r="T882" s="329"/>
      <c r="U882" s="332"/>
      <c r="V882" s="334"/>
      <c r="W882" s="280"/>
      <c r="X882" s="280"/>
      <c r="Y882" s="280"/>
      <c r="Z882" s="280"/>
      <c r="AA882" s="280"/>
      <c r="AB882" s="280"/>
      <c r="AC882" s="335"/>
      <c r="AD882" s="336"/>
      <c r="AE882" s="337"/>
      <c r="AF882" s="338"/>
      <c r="AG882" s="329"/>
      <c r="AH882" s="339"/>
      <c r="AI882" s="338"/>
      <c r="AJ882" s="338"/>
      <c r="AK882" s="338"/>
      <c r="AL882" s="329"/>
    </row>
    <row r="883" ht="24.75" customHeight="1">
      <c r="A883" s="328"/>
      <c r="B883" s="329"/>
      <c r="C883" s="340"/>
      <c r="D883" s="331"/>
      <c r="E883" s="332"/>
      <c r="F883" s="331"/>
      <c r="G883" s="331"/>
      <c r="H883" s="333"/>
      <c r="I883" s="333"/>
      <c r="J883" s="333"/>
      <c r="K883" s="332"/>
      <c r="L883" s="331"/>
      <c r="M883" s="329"/>
      <c r="N883" s="332"/>
      <c r="O883" s="332"/>
      <c r="P883" s="332"/>
      <c r="Q883" s="332"/>
      <c r="R883" s="333"/>
      <c r="S883" s="332"/>
      <c r="T883" s="329"/>
      <c r="U883" s="332"/>
      <c r="V883" s="334"/>
      <c r="W883" s="280"/>
      <c r="X883" s="280"/>
      <c r="Y883" s="280"/>
      <c r="Z883" s="280"/>
      <c r="AA883" s="280"/>
      <c r="AB883" s="280"/>
      <c r="AC883" s="335"/>
      <c r="AD883" s="336"/>
      <c r="AE883" s="337"/>
      <c r="AF883" s="338"/>
      <c r="AG883" s="329"/>
      <c r="AH883" s="339"/>
      <c r="AI883" s="338"/>
      <c r="AJ883" s="338"/>
      <c r="AK883" s="338"/>
      <c r="AL883" s="329"/>
    </row>
    <row r="884" ht="24.75" customHeight="1">
      <c r="A884" s="328"/>
      <c r="B884" s="329"/>
      <c r="C884" s="340"/>
      <c r="D884" s="331"/>
      <c r="E884" s="332"/>
      <c r="F884" s="331"/>
      <c r="G884" s="331"/>
      <c r="H884" s="333"/>
      <c r="I884" s="333"/>
      <c r="J884" s="333"/>
      <c r="K884" s="332"/>
      <c r="L884" s="331"/>
      <c r="M884" s="329"/>
      <c r="N884" s="332"/>
      <c r="O884" s="332"/>
      <c r="P884" s="332"/>
      <c r="Q884" s="332"/>
      <c r="R884" s="333"/>
      <c r="S884" s="332"/>
      <c r="T884" s="329"/>
      <c r="U884" s="332"/>
      <c r="V884" s="334"/>
      <c r="W884" s="280"/>
      <c r="X884" s="280"/>
      <c r="Y884" s="280"/>
      <c r="Z884" s="280"/>
      <c r="AA884" s="280"/>
      <c r="AB884" s="280"/>
      <c r="AC884" s="335"/>
      <c r="AD884" s="336"/>
      <c r="AE884" s="337"/>
      <c r="AF884" s="338"/>
      <c r="AG884" s="329"/>
      <c r="AH884" s="339"/>
      <c r="AI884" s="338"/>
      <c r="AJ884" s="338"/>
      <c r="AK884" s="338"/>
      <c r="AL884" s="329"/>
    </row>
    <row r="885" ht="24.75" customHeight="1">
      <c r="A885" s="328"/>
      <c r="B885" s="329"/>
      <c r="C885" s="340"/>
      <c r="D885" s="331"/>
      <c r="E885" s="332"/>
      <c r="F885" s="331"/>
      <c r="G885" s="331"/>
      <c r="H885" s="333"/>
      <c r="I885" s="333"/>
      <c r="J885" s="333"/>
      <c r="K885" s="332"/>
      <c r="L885" s="331"/>
      <c r="M885" s="329"/>
      <c r="N885" s="332"/>
      <c r="O885" s="332"/>
      <c r="P885" s="332"/>
      <c r="Q885" s="332"/>
      <c r="R885" s="333"/>
      <c r="S885" s="332"/>
      <c r="T885" s="329"/>
      <c r="U885" s="332"/>
      <c r="V885" s="334"/>
      <c r="W885" s="280"/>
      <c r="X885" s="280"/>
      <c r="Y885" s="280"/>
      <c r="Z885" s="280"/>
      <c r="AA885" s="280"/>
      <c r="AB885" s="280"/>
      <c r="AC885" s="335"/>
      <c r="AD885" s="336"/>
      <c r="AE885" s="337"/>
      <c r="AF885" s="338"/>
      <c r="AG885" s="329"/>
      <c r="AH885" s="339"/>
      <c r="AI885" s="338"/>
      <c r="AJ885" s="338"/>
      <c r="AK885" s="338"/>
      <c r="AL885" s="329"/>
    </row>
    <row r="886" ht="24.75" customHeight="1">
      <c r="A886" s="328"/>
      <c r="B886" s="329"/>
      <c r="C886" s="340"/>
      <c r="D886" s="331"/>
      <c r="E886" s="332"/>
      <c r="F886" s="331"/>
      <c r="G886" s="331"/>
      <c r="H886" s="333"/>
      <c r="I886" s="333"/>
      <c r="J886" s="333"/>
      <c r="K886" s="332"/>
      <c r="L886" s="331"/>
      <c r="M886" s="329"/>
      <c r="N886" s="332"/>
      <c r="O886" s="332"/>
      <c r="P886" s="332"/>
      <c r="Q886" s="332"/>
      <c r="R886" s="333"/>
      <c r="S886" s="332"/>
      <c r="T886" s="329"/>
      <c r="U886" s="332"/>
      <c r="V886" s="334"/>
      <c r="W886" s="280"/>
      <c r="X886" s="280"/>
      <c r="Y886" s="280"/>
      <c r="Z886" s="280"/>
      <c r="AA886" s="280"/>
      <c r="AB886" s="280"/>
      <c r="AC886" s="335"/>
      <c r="AD886" s="336"/>
      <c r="AE886" s="337"/>
      <c r="AF886" s="338"/>
      <c r="AG886" s="329"/>
      <c r="AH886" s="339"/>
      <c r="AI886" s="338"/>
      <c r="AJ886" s="338"/>
      <c r="AK886" s="338"/>
      <c r="AL886" s="329"/>
    </row>
    <row r="887" ht="24.75" customHeight="1">
      <c r="A887" s="328"/>
      <c r="B887" s="329"/>
      <c r="C887" s="340"/>
      <c r="D887" s="331"/>
      <c r="E887" s="332"/>
      <c r="F887" s="331"/>
      <c r="G887" s="331"/>
      <c r="H887" s="333"/>
      <c r="I887" s="333"/>
      <c r="J887" s="333"/>
      <c r="K887" s="332"/>
      <c r="L887" s="331"/>
      <c r="M887" s="329"/>
      <c r="N887" s="332"/>
      <c r="O887" s="332"/>
      <c r="P887" s="332"/>
      <c r="Q887" s="332"/>
      <c r="R887" s="333"/>
      <c r="S887" s="332"/>
      <c r="T887" s="329"/>
      <c r="U887" s="332"/>
      <c r="V887" s="334"/>
      <c r="W887" s="280"/>
      <c r="X887" s="280"/>
      <c r="Y887" s="280"/>
      <c r="Z887" s="280"/>
      <c r="AA887" s="280"/>
      <c r="AB887" s="280"/>
      <c r="AC887" s="335"/>
      <c r="AD887" s="336"/>
      <c r="AE887" s="337"/>
      <c r="AF887" s="338"/>
      <c r="AG887" s="329"/>
      <c r="AH887" s="339"/>
      <c r="AI887" s="338"/>
      <c r="AJ887" s="338"/>
      <c r="AK887" s="338"/>
      <c r="AL887" s="329"/>
    </row>
    <row r="888" ht="24.75" customHeight="1">
      <c r="A888" s="328"/>
      <c r="B888" s="329"/>
      <c r="C888" s="340"/>
      <c r="D888" s="331"/>
      <c r="E888" s="332"/>
      <c r="F888" s="331"/>
      <c r="G888" s="331"/>
      <c r="H888" s="333"/>
      <c r="I888" s="333"/>
      <c r="J888" s="333"/>
      <c r="K888" s="332"/>
      <c r="L888" s="331"/>
      <c r="M888" s="329"/>
      <c r="N888" s="332"/>
      <c r="O888" s="332"/>
      <c r="P888" s="332"/>
      <c r="Q888" s="332"/>
      <c r="R888" s="333"/>
      <c r="S888" s="332"/>
      <c r="T888" s="329"/>
      <c r="U888" s="332"/>
      <c r="V888" s="334"/>
      <c r="W888" s="280"/>
      <c r="X888" s="280"/>
      <c r="Y888" s="280"/>
      <c r="Z888" s="280"/>
      <c r="AA888" s="280"/>
      <c r="AB888" s="280"/>
      <c r="AC888" s="335"/>
      <c r="AD888" s="336"/>
      <c r="AE888" s="337"/>
      <c r="AF888" s="338"/>
      <c r="AG888" s="329"/>
      <c r="AH888" s="339"/>
      <c r="AI888" s="338"/>
      <c r="AJ888" s="338"/>
      <c r="AK888" s="338"/>
      <c r="AL888" s="329"/>
    </row>
    <row r="889" ht="24.75" customHeight="1">
      <c r="A889" s="328"/>
      <c r="B889" s="329"/>
      <c r="C889" s="340"/>
      <c r="D889" s="331"/>
      <c r="E889" s="332"/>
      <c r="F889" s="331"/>
      <c r="G889" s="331"/>
      <c r="H889" s="333"/>
      <c r="I889" s="333"/>
      <c r="J889" s="333"/>
      <c r="K889" s="332"/>
      <c r="L889" s="331"/>
      <c r="M889" s="329"/>
      <c r="N889" s="332"/>
      <c r="O889" s="332"/>
      <c r="P889" s="332"/>
      <c r="Q889" s="332"/>
      <c r="R889" s="333"/>
      <c r="S889" s="332"/>
      <c r="T889" s="329"/>
      <c r="U889" s="332"/>
      <c r="V889" s="334"/>
      <c r="W889" s="280"/>
      <c r="X889" s="280"/>
      <c r="Y889" s="280"/>
      <c r="Z889" s="280"/>
      <c r="AA889" s="280"/>
      <c r="AB889" s="280"/>
      <c r="AC889" s="335"/>
      <c r="AD889" s="341"/>
      <c r="AE889" s="337"/>
      <c r="AF889" s="338"/>
      <c r="AG889" s="329"/>
      <c r="AH889" s="339"/>
      <c r="AI889" s="338"/>
      <c r="AJ889" s="338"/>
      <c r="AK889" s="338"/>
      <c r="AL889" s="329"/>
    </row>
    <row r="890" ht="24.75" customHeight="1">
      <c r="A890" s="328"/>
      <c r="B890" s="329"/>
      <c r="C890" s="340"/>
      <c r="D890" s="331"/>
      <c r="E890" s="332"/>
      <c r="F890" s="331"/>
      <c r="G890" s="331"/>
      <c r="H890" s="333"/>
      <c r="I890" s="333"/>
      <c r="J890" s="333"/>
      <c r="K890" s="332"/>
      <c r="L890" s="331"/>
      <c r="M890" s="329"/>
      <c r="N890" s="332"/>
      <c r="O890" s="332"/>
      <c r="P890" s="332"/>
      <c r="Q890" s="332"/>
      <c r="R890" s="333"/>
      <c r="S890" s="332"/>
      <c r="T890" s="329"/>
      <c r="U890" s="332"/>
      <c r="V890" s="334"/>
      <c r="W890" s="280"/>
      <c r="X890" s="280"/>
      <c r="Y890" s="280"/>
      <c r="Z890" s="280"/>
      <c r="AA890" s="280"/>
      <c r="AB890" s="280"/>
      <c r="AC890" s="335"/>
      <c r="AD890" s="336"/>
      <c r="AE890" s="337"/>
      <c r="AF890" s="338"/>
      <c r="AG890" s="329"/>
      <c r="AH890" s="339"/>
      <c r="AI890" s="338"/>
      <c r="AJ890" s="338"/>
      <c r="AK890" s="338"/>
      <c r="AL890" s="329"/>
    </row>
    <row r="891" ht="24.75" customHeight="1">
      <c r="A891" s="328"/>
      <c r="B891" s="329"/>
      <c r="C891" s="340"/>
      <c r="D891" s="331"/>
      <c r="E891" s="332"/>
      <c r="F891" s="331"/>
      <c r="G891" s="331"/>
      <c r="H891" s="333"/>
      <c r="I891" s="333"/>
      <c r="J891" s="333"/>
      <c r="K891" s="332"/>
      <c r="L891" s="331"/>
      <c r="M891" s="329"/>
      <c r="N891" s="332"/>
      <c r="O891" s="332"/>
      <c r="P891" s="332"/>
      <c r="Q891" s="332"/>
      <c r="R891" s="333"/>
      <c r="S891" s="332"/>
      <c r="T891" s="329"/>
      <c r="U891" s="332"/>
      <c r="V891" s="334"/>
      <c r="W891" s="280"/>
      <c r="X891" s="280"/>
      <c r="Y891" s="280"/>
      <c r="Z891" s="280"/>
      <c r="AA891" s="280"/>
      <c r="AB891" s="280"/>
      <c r="AC891" s="335"/>
      <c r="AD891" s="336"/>
      <c r="AE891" s="337"/>
      <c r="AF891" s="338"/>
      <c r="AG891" s="329"/>
      <c r="AH891" s="339"/>
      <c r="AI891" s="338"/>
      <c r="AJ891" s="338"/>
      <c r="AK891" s="338"/>
      <c r="AL891" s="329"/>
    </row>
    <row r="892" ht="24.75" customHeight="1">
      <c r="A892" s="328"/>
      <c r="B892" s="329"/>
      <c r="C892" s="340"/>
      <c r="D892" s="331"/>
      <c r="E892" s="332"/>
      <c r="F892" s="331"/>
      <c r="G892" s="331"/>
      <c r="H892" s="333"/>
      <c r="I892" s="333"/>
      <c r="J892" s="333"/>
      <c r="K892" s="332"/>
      <c r="L892" s="331"/>
      <c r="M892" s="329"/>
      <c r="N892" s="332"/>
      <c r="O892" s="332"/>
      <c r="P892" s="332"/>
      <c r="Q892" s="332"/>
      <c r="R892" s="333"/>
      <c r="S892" s="332"/>
      <c r="T892" s="329"/>
      <c r="U892" s="332"/>
      <c r="V892" s="334"/>
      <c r="W892" s="280"/>
      <c r="X892" s="280"/>
      <c r="Y892" s="280"/>
      <c r="Z892" s="280"/>
      <c r="AA892" s="280"/>
      <c r="AB892" s="280"/>
      <c r="AC892" s="335"/>
      <c r="AD892" s="336"/>
      <c r="AE892" s="337"/>
      <c r="AF892" s="338"/>
      <c r="AG892" s="329"/>
      <c r="AH892" s="339"/>
      <c r="AI892" s="338"/>
      <c r="AJ892" s="338"/>
      <c r="AK892" s="338"/>
      <c r="AL892" s="329"/>
    </row>
    <row r="893" ht="24.75" customHeight="1">
      <c r="A893" s="328"/>
      <c r="B893" s="329"/>
      <c r="C893" s="340"/>
      <c r="D893" s="331"/>
      <c r="E893" s="332"/>
      <c r="F893" s="331"/>
      <c r="G893" s="331"/>
      <c r="H893" s="333"/>
      <c r="I893" s="333"/>
      <c r="J893" s="333"/>
      <c r="K893" s="332"/>
      <c r="L893" s="331"/>
      <c r="M893" s="329"/>
      <c r="N893" s="332"/>
      <c r="O893" s="332"/>
      <c r="P893" s="332"/>
      <c r="Q893" s="332"/>
      <c r="R893" s="333"/>
      <c r="S893" s="332"/>
      <c r="T893" s="329"/>
      <c r="U893" s="332"/>
      <c r="V893" s="334"/>
      <c r="W893" s="280"/>
      <c r="X893" s="280"/>
      <c r="Y893" s="280"/>
      <c r="Z893" s="280"/>
      <c r="AA893" s="280"/>
      <c r="AB893" s="280"/>
      <c r="AC893" s="335"/>
      <c r="AD893" s="336"/>
      <c r="AE893" s="337"/>
      <c r="AF893" s="338"/>
      <c r="AG893" s="329"/>
      <c r="AH893" s="339"/>
      <c r="AI893" s="338"/>
      <c r="AJ893" s="338"/>
      <c r="AK893" s="338"/>
      <c r="AL893" s="329"/>
    </row>
    <row r="894" ht="24.75" customHeight="1">
      <c r="A894" s="328"/>
      <c r="B894" s="329"/>
      <c r="C894" s="340"/>
      <c r="D894" s="331"/>
      <c r="E894" s="332"/>
      <c r="F894" s="331"/>
      <c r="G894" s="331"/>
      <c r="H894" s="333"/>
      <c r="I894" s="333"/>
      <c r="J894" s="333"/>
      <c r="K894" s="332"/>
      <c r="L894" s="331"/>
      <c r="M894" s="329"/>
      <c r="N894" s="332"/>
      <c r="O894" s="332"/>
      <c r="P894" s="332"/>
      <c r="Q894" s="332"/>
      <c r="R894" s="333"/>
      <c r="S894" s="332"/>
      <c r="T894" s="329"/>
      <c r="U894" s="332"/>
      <c r="V894" s="334"/>
      <c r="W894" s="280"/>
      <c r="X894" s="280"/>
      <c r="Y894" s="280"/>
      <c r="Z894" s="280"/>
      <c r="AA894" s="280"/>
      <c r="AB894" s="280"/>
      <c r="AC894" s="335"/>
      <c r="AD894" s="336"/>
      <c r="AE894" s="337"/>
      <c r="AF894" s="338"/>
      <c r="AG894" s="329"/>
      <c r="AH894" s="339"/>
      <c r="AI894" s="338"/>
      <c r="AJ894" s="338"/>
      <c r="AK894" s="338"/>
      <c r="AL894" s="329"/>
    </row>
    <row r="895" ht="24.75" customHeight="1">
      <c r="A895" s="328"/>
      <c r="B895" s="329"/>
      <c r="C895" s="340"/>
      <c r="D895" s="331"/>
      <c r="E895" s="332"/>
      <c r="F895" s="331"/>
      <c r="G895" s="331"/>
      <c r="H895" s="333"/>
      <c r="I895" s="333"/>
      <c r="J895" s="333"/>
      <c r="K895" s="332"/>
      <c r="L895" s="331"/>
      <c r="M895" s="329"/>
      <c r="N895" s="332"/>
      <c r="O895" s="332"/>
      <c r="P895" s="332"/>
      <c r="Q895" s="332"/>
      <c r="R895" s="333"/>
      <c r="S895" s="332"/>
      <c r="T895" s="329"/>
      <c r="U895" s="332"/>
      <c r="V895" s="334"/>
      <c r="W895" s="280"/>
      <c r="X895" s="280"/>
      <c r="Y895" s="280"/>
      <c r="Z895" s="280"/>
      <c r="AA895" s="280"/>
      <c r="AB895" s="280"/>
      <c r="AC895" s="335"/>
      <c r="AD895" s="336"/>
      <c r="AE895" s="337"/>
      <c r="AF895" s="338"/>
      <c r="AG895" s="329"/>
      <c r="AH895" s="339"/>
      <c r="AI895" s="338"/>
      <c r="AJ895" s="338"/>
      <c r="AK895" s="338"/>
      <c r="AL895" s="329"/>
    </row>
    <row r="896" ht="24.75" customHeight="1">
      <c r="A896" s="328"/>
      <c r="B896" s="329"/>
      <c r="C896" s="340"/>
      <c r="D896" s="331"/>
      <c r="E896" s="332"/>
      <c r="F896" s="331"/>
      <c r="G896" s="331"/>
      <c r="H896" s="333"/>
      <c r="I896" s="333"/>
      <c r="J896" s="333"/>
      <c r="K896" s="332"/>
      <c r="L896" s="331"/>
      <c r="M896" s="329"/>
      <c r="N896" s="332"/>
      <c r="O896" s="332"/>
      <c r="P896" s="332"/>
      <c r="Q896" s="332"/>
      <c r="R896" s="333"/>
      <c r="S896" s="332"/>
      <c r="T896" s="329"/>
      <c r="U896" s="332"/>
      <c r="V896" s="334"/>
      <c r="W896" s="280"/>
      <c r="X896" s="280"/>
      <c r="Y896" s="280"/>
      <c r="Z896" s="280"/>
      <c r="AA896" s="280"/>
      <c r="AB896" s="280"/>
      <c r="AC896" s="335"/>
      <c r="AD896" s="336"/>
      <c r="AE896" s="337"/>
      <c r="AF896" s="338"/>
      <c r="AG896" s="329"/>
      <c r="AH896" s="339"/>
      <c r="AI896" s="338"/>
      <c r="AJ896" s="338"/>
      <c r="AK896" s="338"/>
      <c r="AL896" s="329"/>
    </row>
    <row r="897" ht="24.75" customHeight="1">
      <c r="A897" s="328"/>
      <c r="B897" s="329"/>
      <c r="C897" s="340"/>
      <c r="D897" s="331"/>
      <c r="E897" s="332"/>
      <c r="F897" s="331"/>
      <c r="G897" s="331"/>
      <c r="H897" s="333"/>
      <c r="I897" s="333"/>
      <c r="J897" s="333"/>
      <c r="K897" s="332"/>
      <c r="L897" s="331"/>
      <c r="M897" s="329"/>
      <c r="N897" s="332"/>
      <c r="O897" s="332"/>
      <c r="P897" s="332"/>
      <c r="Q897" s="332"/>
      <c r="R897" s="333"/>
      <c r="S897" s="332"/>
      <c r="T897" s="329"/>
      <c r="U897" s="332"/>
      <c r="V897" s="334"/>
      <c r="W897" s="280"/>
      <c r="X897" s="280"/>
      <c r="Y897" s="280"/>
      <c r="Z897" s="280"/>
      <c r="AA897" s="280"/>
      <c r="AB897" s="280"/>
      <c r="AC897" s="335"/>
      <c r="AD897" s="336"/>
      <c r="AE897" s="337"/>
      <c r="AF897" s="338"/>
      <c r="AG897" s="329"/>
      <c r="AH897" s="339"/>
      <c r="AI897" s="338"/>
      <c r="AJ897" s="338"/>
      <c r="AK897" s="338"/>
      <c r="AL897" s="329"/>
    </row>
    <row r="898" ht="24.75" customHeight="1">
      <c r="A898" s="328"/>
      <c r="B898" s="329"/>
      <c r="C898" s="340"/>
      <c r="D898" s="331"/>
      <c r="E898" s="332"/>
      <c r="F898" s="331"/>
      <c r="G898" s="331"/>
      <c r="H898" s="333"/>
      <c r="I898" s="333"/>
      <c r="J898" s="333"/>
      <c r="K898" s="332"/>
      <c r="L898" s="331"/>
      <c r="M898" s="329"/>
      <c r="N898" s="332"/>
      <c r="O898" s="332"/>
      <c r="P898" s="332"/>
      <c r="Q898" s="332"/>
      <c r="R898" s="333"/>
      <c r="S898" s="332"/>
      <c r="T898" s="329"/>
      <c r="U898" s="332"/>
      <c r="V898" s="334"/>
      <c r="W898" s="280"/>
      <c r="X898" s="280"/>
      <c r="Y898" s="280"/>
      <c r="Z898" s="280"/>
      <c r="AA898" s="280"/>
      <c r="AB898" s="280"/>
      <c r="AC898" s="335"/>
      <c r="AD898" s="336"/>
      <c r="AE898" s="337"/>
      <c r="AF898" s="338"/>
      <c r="AG898" s="329"/>
      <c r="AH898" s="339"/>
      <c r="AI898" s="338"/>
      <c r="AJ898" s="338"/>
      <c r="AK898" s="338"/>
      <c r="AL898" s="329"/>
    </row>
    <row r="899" ht="24.75" customHeight="1">
      <c r="A899" s="328"/>
      <c r="B899" s="329"/>
      <c r="C899" s="340"/>
      <c r="D899" s="331"/>
      <c r="E899" s="332"/>
      <c r="F899" s="331"/>
      <c r="G899" s="331"/>
      <c r="H899" s="333"/>
      <c r="I899" s="333"/>
      <c r="J899" s="333"/>
      <c r="K899" s="332"/>
      <c r="L899" s="331"/>
      <c r="M899" s="329"/>
      <c r="N899" s="332"/>
      <c r="O899" s="332"/>
      <c r="P899" s="332"/>
      <c r="Q899" s="332"/>
      <c r="R899" s="333"/>
      <c r="S899" s="332"/>
      <c r="T899" s="329"/>
      <c r="U899" s="332"/>
      <c r="V899" s="334"/>
      <c r="W899" s="280"/>
      <c r="X899" s="280"/>
      <c r="Y899" s="280"/>
      <c r="Z899" s="280"/>
      <c r="AA899" s="280"/>
      <c r="AB899" s="280"/>
      <c r="AC899" s="335"/>
      <c r="AD899" s="336"/>
      <c r="AE899" s="337"/>
      <c r="AF899" s="338"/>
      <c r="AG899" s="329"/>
      <c r="AH899" s="339"/>
      <c r="AI899" s="338"/>
      <c r="AJ899" s="338"/>
      <c r="AK899" s="338"/>
      <c r="AL899" s="329"/>
    </row>
    <row r="900" ht="24.75" customHeight="1">
      <c r="A900" s="328"/>
      <c r="B900" s="329"/>
      <c r="C900" s="340"/>
      <c r="D900" s="331"/>
      <c r="E900" s="332"/>
      <c r="F900" s="331"/>
      <c r="G900" s="331"/>
      <c r="H900" s="333"/>
      <c r="I900" s="333"/>
      <c r="J900" s="333"/>
      <c r="K900" s="332"/>
      <c r="L900" s="331"/>
      <c r="M900" s="329"/>
      <c r="N900" s="332"/>
      <c r="O900" s="332"/>
      <c r="P900" s="332"/>
      <c r="Q900" s="332"/>
      <c r="R900" s="333"/>
      <c r="S900" s="332"/>
      <c r="T900" s="329"/>
      <c r="U900" s="332"/>
      <c r="V900" s="334"/>
      <c r="W900" s="280"/>
      <c r="X900" s="280"/>
      <c r="Y900" s="280"/>
      <c r="Z900" s="280"/>
      <c r="AA900" s="280"/>
      <c r="AB900" s="280"/>
      <c r="AC900" s="335"/>
      <c r="AD900" s="336"/>
      <c r="AE900" s="337"/>
      <c r="AF900" s="338"/>
      <c r="AG900" s="329"/>
      <c r="AH900" s="339"/>
      <c r="AI900" s="338"/>
      <c r="AJ900" s="338"/>
      <c r="AK900" s="338"/>
      <c r="AL900" s="329"/>
    </row>
    <row r="901" ht="24.75" customHeight="1">
      <c r="A901" s="328"/>
      <c r="B901" s="329"/>
      <c r="C901" s="340"/>
      <c r="D901" s="331"/>
      <c r="E901" s="332"/>
      <c r="F901" s="331"/>
      <c r="G901" s="331"/>
      <c r="H901" s="333"/>
      <c r="I901" s="333"/>
      <c r="J901" s="333"/>
      <c r="K901" s="332"/>
      <c r="L901" s="331"/>
      <c r="M901" s="329"/>
      <c r="N901" s="332"/>
      <c r="O901" s="332"/>
      <c r="P901" s="332"/>
      <c r="Q901" s="332"/>
      <c r="R901" s="333"/>
      <c r="S901" s="332"/>
      <c r="T901" s="329"/>
      <c r="U901" s="332"/>
      <c r="V901" s="334"/>
      <c r="W901" s="280"/>
      <c r="X901" s="280"/>
      <c r="Y901" s="280"/>
      <c r="Z901" s="280"/>
      <c r="AA901" s="280"/>
      <c r="AB901" s="280"/>
      <c r="AC901" s="335"/>
      <c r="AD901" s="336"/>
      <c r="AE901" s="337"/>
      <c r="AF901" s="338"/>
      <c r="AG901" s="329"/>
      <c r="AH901" s="339"/>
      <c r="AI901" s="338"/>
      <c r="AJ901" s="338"/>
      <c r="AK901" s="338"/>
      <c r="AL901" s="329"/>
    </row>
    <row r="902" ht="24.75" customHeight="1">
      <c r="A902" s="328"/>
      <c r="B902" s="329"/>
      <c r="C902" s="340"/>
      <c r="D902" s="331"/>
      <c r="E902" s="332"/>
      <c r="F902" s="331"/>
      <c r="G902" s="331"/>
      <c r="H902" s="333"/>
      <c r="I902" s="333"/>
      <c r="J902" s="333"/>
      <c r="K902" s="332"/>
      <c r="L902" s="331"/>
      <c r="M902" s="329"/>
      <c r="N902" s="332"/>
      <c r="O902" s="332"/>
      <c r="P902" s="332"/>
      <c r="Q902" s="332"/>
      <c r="R902" s="333"/>
      <c r="S902" s="332"/>
      <c r="T902" s="329"/>
      <c r="U902" s="332"/>
      <c r="V902" s="334"/>
      <c r="W902" s="280"/>
      <c r="X902" s="280"/>
      <c r="Y902" s="280"/>
      <c r="Z902" s="280"/>
      <c r="AA902" s="280"/>
      <c r="AB902" s="280"/>
      <c r="AC902" s="335"/>
      <c r="AD902" s="336"/>
      <c r="AE902" s="337"/>
      <c r="AF902" s="338"/>
      <c r="AG902" s="329"/>
      <c r="AH902" s="339"/>
      <c r="AI902" s="338"/>
      <c r="AJ902" s="338"/>
      <c r="AK902" s="338"/>
      <c r="AL902" s="329"/>
    </row>
    <row r="903" ht="24.75" customHeight="1">
      <c r="A903" s="328"/>
      <c r="B903" s="329"/>
      <c r="C903" s="340"/>
      <c r="D903" s="331"/>
      <c r="E903" s="332"/>
      <c r="F903" s="331"/>
      <c r="G903" s="331"/>
      <c r="H903" s="333"/>
      <c r="I903" s="333"/>
      <c r="J903" s="333"/>
      <c r="K903" s="332"/>
      <c r="L903" s="331"/>
      <c r="M903" s="329"/>
      <c r="N903" s="332"/>
      <c r="O903" s="332"/>
      <c r="P903" s="332"/>
      <c r="Q903" s="332"/>
      <c r="R903" s="333"/>
      <c r="S903" s="332"/>
      <c r="T903" s="329"/>
      <c r="U903" s="332"/>
      <c r="V903" s="334"/>
      <c r="W903" s="280"/>
      <c r="X903" s="280"/>
      <c r="Y903" s="280"/>
      <c r="Z903" s="280"/>
      <c r="AA903" s="280"/>
      <c r="AB903" s="280"/>
      <c r="AC903" s="335"/>
      <c r="AD903" s="336"/>
      <c r="AE903" s="337"/>
      <c r="AF903" s="338"/>
      <c r="AG903" s="329"/>
      <c r="AH903" s="339"/>
      <c r="AI903" s="338"/>
      <c r="AJ903" s="338"/>
      <c r="AK903" s="338"/>
      <c r="AL903" s="329"/>
    </row>
    <row r="904" ht="24.75" customHeight="1">
      <c r="A904" s="328"/>
      <c r="B904" s="329"/>
      <c r="C904" s="340"/>
      <c r="D904" s="331"/>
      <c r="E904" s="332"/>
      <c r="F904" s="331"/>
      <c r="G904" s="331"/>
      <c r="H904" s="333"/>
      <c r="I904" s="333"/>
      <c r="J904" s="333"/>
      <c r="K904" s="332"/>
      <c r="L904" s="331"/>
      <c r="M904" s="329"/>
      <c r="N904" s="332"/>
      <c r="O904" s="332"/>
      <c r="P904" s="332"/>
      <c r="Q904" s="332"/>
      <c r="R904" s="333"/>
      <c r="S904" s="332"/>
      <c r="T904" s="329"/>
      <c r="U904" s="332"/>
      <c r="V904" s="334"/>
      <c r="W904" s="280"/>
      <c r="X904" s="280"/>
      <c r="Y904" s="280"/>
      <c r="Z904" s="280"/>
      <c r="AA904" s="280"/>
      <c r="AB904" s="280"/>
      <c r="AC904" s="335"/>
      <c r="AD904" s="336"/>
      <c r="AE904" s="337"/>
      <c r="AF904" s="338"/>
      <c r="AG904" s="329"/>
      <c r="AH904" s="339"/>
      <c r="AI904" s="338"/>
      <c r="AJ904" s="338"/>
      <c r="AK904" s="338"/>
      <c r="AL904" s="329"/>
    </row>
    <row r="905" ht="24.75" customHeight="1">
      <c r="A905" s="328"/>
      <c r="B905" s="329"/>
      <c r="C905" s="340"/>
      <c r="D905" s="331"/>
      <c r="E905" s="332"/>
      <c r="F905" s="331"/>
      <c r="G905" s="331"/>
      <c r="H905" s="333"/>
      <c r="I905" s="333"/>
      <c r="J905" s="333"/>
      <c r="K905" s="332"/>
      <c r="L905" s="331"/>
      <c r="M905" s="329"/>
      <c r="N905" s="332"/>
      <c r="O905" s="332"/>
      <c r="P905" s="332"/>
      <c r="Q905" s="332"/>
      <c r="R905" s="333"/>
      <c r="S905" s="332"/>
      <c r="T905" s="329"/>
      <c r="U905" s="332"/>
      <c r="V905" s="334"/>
      <c r="W905" s="280"/>
      <c r="X905" s="280"/>
      <c r="Y905" s="280"/>
      <c r="Z905" s="280"/>
      <c r="AA905" s="280"/>
      <c r="AB905" s="280"/>
      <c r="AC905" s="335"/>
      <c r="AD905" s="336"/>
      <c r="AE905" s="337"/>
      <c r="AF905" s="338"/>
      <c r="AG905" s="329"/>
      <c r="AH905" s="339"/>
      <c r="AI905" s="338"/>
      <c r="AJ905" s="338"/>
      <c r="AK905" s="338"/>
      <c r="AL905" s="329"/>
    </row>
    <row r="906" ht="24.75" customHeight="1">
      <c r="A906" s="328"/>
      <c r="B906" s="329"/>
      <c r="C906" s="340"/>
      <c r="D906" s="331"/>
      <c r="E906" s="332"/>
      <c r="F906" s="331"/>
      <c r="G906" s="331"/>
      <c r="H906" s="333"/>
      <c r="I906" s="333"/>
      <c r="J906" s="333"/>
      <c r="K906" s="332"/>
      <c r="L906" s="331"/>
      <c r="M906" s="329"/>
      <c r="N906" s="332"/>
      <c r="O906" s="332"/>
      <c r="P906" s="332"/>
      <c r="Q906" s="332"/>
      <c r="R906" s="333"/>
      <c r="S906" s="332"/>
      <c r="T906" s="329"/>
      <c r="U906" s="332"/>
      <c r="V906" s="334"/>
      <c r="W906" s="280"/>
      <c r="X906" s="280"/>
      <c r="Y906" s="280"/>
      <c r="Z906" s="280"/>
      <c r="AA906" s="280"/>
      <c r="AB906" s="280"/>
      <c r="AC906" s="335"/>
      <c r="AD906" s="336"/>
      <c r="AE906" s="337"/>
      <c r="AF906" s="338"/>
      <c r="AG906" s="329"/>
      <c r="AH906" s="339"/>
      <c r="AI906" s="338"/>
      <c r="AJ906" s="338"/>
      <c r="AK906" s="338"/>
      <c r="AL906" s="329"/>
    </row>
    <row r="907" ht="24.75" customHeight="1">
      <c r="A907" s="328"/>
      <c r="B907" s="329"/>
      <c r="C907" s="340"/>
      <c r="D907" s="331"/>
      <c r="E907" s="332"/>
      <c r="F907" s="331"/>
      <c r="G907" s="331"/>
      <c r="H907" s="333"/>
      <c r="I907" s="333"/>
      <c r="J907" s="333"/>
      <c r="K907" s="332"/>
      <c r="L907" s="331"/>
      <c r="M907" s="329"/>
      <c r="N907" s="332"/>
      <c r="O907" s="332"/>
      <c r="P907" s="332"/>
      <c r="Q907" s="332"/>
      <c r="R907" s="333"/>
      <c r="S907" s="332"/>
      <c r="T907" s="329"/>
      <c r="U907" s="332"/>
      <c r="V907" s="334"/>
      <c r="W907" s="280"/>
      <c r="X907" s="280"/>
      <c r="Y907" s="280"/>
      <c r="Z907" s="280"/>
      <c r="AA907" s="280"/>
      <c r="AB907" s="280"/>
      <c r="AC907" s="335"/>
      <c r="AD907" s="336"/>
      <c r="AE907" s="337"/>
      <c r="AF907" s="338"/>
      <c r="AG907" s="329"/>
      <c r="AH907" s="339"/>
      <c r="AI907" s="338"/>
      <c r="AJ907" s="338"/>
      <c r="AK907" s="338"/>
      <c r="AL907" s="329"/>
    </row>
    <row r="908" ht="24.75" customHeight="1">
      <c r="A908" s="328"/>
      <c r="B908" s="329"/>
      <c r="C908" s="340"/>
      <c r="D908" s="331"/>
      <c r="E908" s="332"/>
      <c r="F908" s="331"/>
      <c r="G908" s="331"/>
      <c r="H908" s="333"/>
      <c r="I908" s="333"/>
      <c r="J908" s="333"/>
      <c r="K908" s="332"/>
      <c r="L908" s="331"/>
      <c r="M908" s="329"/>
      <c r="N908" s="332"/>
      <c r="O908" s="332"/>
      <c r="P908" s="332"/>
      <c r="Q908" s="332"/>
      <c r="R908" s="333"/>
      <c r="S908" s="332"/>
      <c r="T908" s="329"/>
      <c r="U908" s="332"/>
      <c r="V908" s="334"/>
      <c r="W908" s="280"/>
      <c r="X908" s="280"/>
      <c r="Y908" s="280"/>
      <c r="Z908" s="280"/>
      <c r="AA908" s="280"/>
      <c r="AB908" s="280"/>
      <c r="AC908" s="335"/>
      <c r="AD908" s="336"/>
      <c r="AE908" s="337"/>
      <c r="AF908" s="338"/>
      <c r="AG908" s="329"/>
      <c r="AH908" s="339"/>
      <c r="AI908" s="338"/>
      <c r="AJ908" s="338"/>
      <c r="AK908" s="338"/>
      <c r="AL908" s="329"/>
    </row>
    <row r="909" ht="24.75" customHeight="1">
      <c r="A909" s="328"/>
      <c r="B909" s="329"/>
      <c r="C909" s="340"/>
      <c r="D909" s="331"/>
      <c r="E909" s="332"/>
      <c r="F909" s="331"/>
      <c r="G909" s="331"/>
      <c r="H909" s="333"/>
      <c r="I909" s="333"/>
      <c r="J909" s="333"/>
      <c r="K909" s="332"/>
      <c r="L909" s="331"/>
      <c r="M909" s="329"/>
      <c r="N909" s="332"/>
      <c r="O909" s="332"/>
      <c r="P909" s="332"/>
      <c r="Q909" s="332"/>
      <c r="R909" s="333"/>
      <c r="S909" s="332"/>
      <c r="T909" s="329"/>
      <c r="U909" s="332"/>
      <c r="V909" s="334"/>
      <c r="W909" s="280"/>
      <c r="X909" s="280"/>
      <c r="Y909" s="280"/>
      <c r="Z909" s="280"/>
      <c r="AA909" s="280"/>
      <c r="AB909" s="280"/>
      <c r="AC909" s="335"/>
      <c r="AD909" s="336"/>
      <c r="AE909" s="337"/>
      <c r="AF909" s="338"/>
      <c r="AG909" s="329"/>
      <c r="AH909" s="339"/>
      <c r="AI909" s="338"/>
      <c r="AJ909" s="338"/>
      <c r="AK909" s="338"/>
      <c r="AL909" s="329"/>
    </row>
    <row r="910" ht="24.75" customHeight="1">
      <c r="A910" s="328"/>
      <c r="B910" s="329"/>
      <c r="C910" s="340"/>
      <c r="D910" s="331"/>
      <c r="E910" s="332"/>
      <c r="F910" s="331"/>
      <c r="G910" s="331"/>
      <c r="H910" s="333"/>
      <c r="I910" s="333"/>
      <c r="J910" s="333"/>
      <c r="K910" s="332"/>
      <c r="L910" s="331"/>
      <c r="M910" s="329"/>
      <c r="N910" s="332"/>
      <c r="O910" s="332"/>
      <c r="P910" s="332"/>
      <c r="Q910" s="332"/>
      <c r="R910" s="333"/>
      <c r="S910" s="332"/>
      <c r="T910" s="329"/>
      <c r="U910" s="332"/>
      <c r="V910" s="334"/>
      <c r="W910" s="280"/>
      <c r="X910" s="280"/>
      <c r="Y910" s="280"/>
      <c r="Z910" s="280"/>
      <c r="AA910" s="280"/>
      <c r="AB910" s="280"/>
      <c r="AC910" s="335"/>
      <c r="AD910" s="336"/>
      <c r="AE910" s="337"/>
      <c r="AF910" s="338"/>
      <c r="AG910" s="329"/>
      <c r="AH910" s="339"/>
      <c r="AI910" s="338"/>
      <c r="AJ910" s="338"/>
      <c r="AK910" s="338"/>
      <c r="AL910" s="329"/>
    </row>
    <row r="911" ht="24.75" customHeight="1">
      <c r="A911" s="328"/>
      <c r="B911" s="329"/>
      <c r="C911" s="340"/>
      <c r="D911" s="331"/>
      <c r="E911" s="332"/>
      <c r="F911" s="331"/>
      <c r="G911" s="331"/>
      <c r="H911" s="333"/>
      <c r="I911" s="333"/>
      <c r="J911" s="333"/>
      <c r="K911" s="332"/>
      <c r="L911" s="331"/>
      <c r="M911" s="329"/>
      <c r="N911" s="332"/>
      <c r="O911" s="332"/>
      <c r="P911" s="332"/>
      <c r="Q911" s="332"/>
      <c r="R911" s="333"/>
      <c r="S911" s="332"/>
      <c r="T911" s="329"/>
      <c r="U911" s="332"/>
      <c r="V911" s="334"/>
      <c r="W911" s="280"/>
      <c r="X911" s="280"/>
      <c r="Y911" s="280"/>
      <c r="Z911" s="280"/>
      <c r="AA911" s="280"/>
      <c r="AB911" s="280"/>
      <c r="AC911" s="335"/>
      <c r="AD911" s="336"/>
      <c r="AE911" s="337"/>
      <c r="AF911" s="338"/>
      <c r="AG911" s="329"/>
      <c r="AH911" s="339"/>
      <c r="AI911" s="338"/>
      <c r="AJ911" s="338"/>
      <c r="AK911" s="338"/>
      <c r="AL911" s="329"/>
    </row>
    <row r="912" ht="24.75" customHeight="1">
      <c r="A912" s="328"/>
      <c r="B912" s="329"/>
      <c r="C912" s="340"/>
      <c r="D912" s="331"/>
      <c r="E912" s="332"/>
      <c r="F912" s="331"/>
      <c r="G912" s="331"/>
      <c r="H912" s="333"/>
      <c r="I912" s="333"/>
      <c r="J912" s="333"/>
      <c r="K912" s="332"/>
      <c r="L912" s="331"/>
      <c r="M912" s="329"/>
      <c r="N912" s="332"/>
      <c r="O912" s="332"/>
      <c r="P912" s="332"/>
      <c r="Q912" s="332"/>
      <c r="R912" s="333"/>
      <c r="S912" s="332"/>
      <c r="T912" s="329"/>
      <c r="U912" s="332"/>
      <c r="V912" s="334"/>
      <c r="W912" s="280"/>
      <c r="X912" s="280"/>
      <c r="Y912" s="280"/>
      <c r="Z912" s="280"/>
      <c r="AA912" s="280"/>
      <c r="AB912" s="280"/>
      <c r="AC912" s="335"/>
      <c r="AD912" s="336"/>
      <c r="AE912" s="337"/>
      <c r="AF912" s="338"/>
      <c r="AG912" s="329"/>
      <c r="AH912" s="339"/>
      <c r="AI912" s="338"/>
      <c r="AJ912" s="338"/>
      <c r="AK912" s="338"/>
      <c r="AL912" s="329"/>
    </row>
    <row r="913" ht="24.75" customHeight="1">
      <c r="A913" s="328"/>
      <c r="B913" s="329"/>
      <c r="C913" s="340"/>
      <c r="D913" s="331"/>
      <c r="E913" s="332"/>
      <c r="F913" s="331"/>
      <c r="G913" s="331"/>
      <c r="H913" s="333"/>
      <c r="I913" s="333"/>
      <c r="J913" s="333"/>
      <c r="K913" s="332"/>
      <c r="L913" s="331"/>
      <c r="M913" s="329"/>
      <c r="N913" s="332"/>
      <c r="O913" s="332"/>
      <c r="P913" s="332"/>
      <c r="Q913" s="332"/>
      <c r="R913" s="333"/>
      <c r="S913" s="332"/>
      <c r="T913" s="329"/>
      <c r="U913" s="332"/>
      <c r="V913" s="334"/>
      <c r="W913" s="280"/>
      <c r="X913" s="280"/>
      <c r="Y913" s="280"/>
      <c r="Z913" s="280"/>
      <c r="AA913" s="280"/>
      <c r="AB913" s="280"/>
      <c r="AC913" s="335"/>
      <c r="AD913" s="336"/>
      <c r="AE913" s="337"/>
      <c r="AF913" s="338"/>
      <c r="AG913" s="329"/>
      <c r="AH913" s="339"/>
      <c r="AI913" s="338"/>
      <c r="AJ913" s="338"/>
      <c r="AK913" s="338"/>
      <c r="AL913" s="329"/>
    </row>
    <row r="914" ht="24.75" customHeight="1">
      <c r="A914" s="328"/>
      <c r="B914" s="329"/>
      <c r="C914" s="340"/>
      <c r="D914" s="331"/>
      <c r="E914" s="332"/>
      <c r="F914" s="331"/>
      <c r="G914" s="331"/>
      <c r="H914" s="333"/>
      <c r="I914" s="333"/>
      <c r="J914" s="333"/>
      <c r="K914" s="332"/>
      <c r="L914" s="331"/>
      <c r="M914" s="329"/>
      <c r="N914" s="332"/>
      <c r="O914" s="332"/>
      <c r="P914" s="332"/>
      <c r="Q914" s="332"/>
      <c r="R914" s="333"/>
      <c r="S914" s="332"/>
      <c r="T914" s="329"/>
      <c r="U914" s="332"/>
      <c r="V914" s="334"/>
      <c r="W914" s="280"/>
      <c r="X914" s="280"/>
      <c r="Y914" s="280"/>
      <c r="Z914" s="280"/>
      <c r="AA914" s="280"/>
      <c r="AB914" s="280"/>
      <c r="AC914" s="335"/>
      <c r="AD914" s="336"/>
      <c r="AE914" s="337"/>
      <c r="AF914" s="338"/>
      <c r="AG914" s="329"/>
      <c r="AH914" s="339"/>
      <c r="AI914" s="338"/>
      <c r="AJ914" s="338"/>
      <c r="AK914" s="338"/>
      <c r="AL914" s="329"/>
    </row>
    <row r="915" ht="24.75" customHeight="1">
      <c r="A915" s="328"/>
      <c r="B915" s="329"/>
      <c r="C915" s="340"/>
      <c r="D915" s="331"/>
      <c r="E915" s="332"/>
      <c r="F915" s="331"/>
      <c r="G915" s="331"/>
      <c r="H915" s="333"/>
      <c r="I915" s="333"/>
      <c r="J915" s="333"/>
      <c r="K915" s="332"/>
      <c r="L915" s="331"/>
      <c r="M915" s="329"/>
      <c r="N915" s="332"/>
      <c r="O915" s="332"/>
      <c r="P915" s="332"/>
      <c r="Q915" s="332"/>
      <c r="R915" s="333"/>
      <c r="S915" s="332"/>
      <c r="T915" s="329"/>
      <c r="U915" s="332"/>
      <c r="V915" s="334"/>
      <c r="W915" s="280"/>
      <c r="X915" s="280"/>
      <c r="Y915" s="280"/>
      <c r="Z915" s="280"/>
      <c r="AA915" s="280"/>
      <c r="AB915" s="280"/>
      <c r="AC915" s="335"/>
      <c r="AD915" s="336"/>
      <c r="AE915" s="337"/>
      <c r="AF915" s="338"/>
      <c r="AG915" s="329"/>
      <c r="AH915" s="339"/>
      <c r="AI915" s="338"/>
      <c r="AJ915" s="338"/>
      <c r="AK915" s="338"/>
      <c r="AL915" s="329"/>
    </row>
    <row r="916" ht="24.75" customHeight="1">
      <c r="A916" s="328"/>
      <c r="B916" s="329"/>
      <c r="C916" s="340"/>
      <c r="D916" s="331"/>
      <c r="E916" s="332"/>
      <c r="F916" s="331"/>
      <c r="G916" s="331"/>
      <c r="H916" s="333"/>
      <c r="I916" s="333"/>
      <c r="J916" s="333"/>
      <c r="K916" s="332"/>
      <c r="L916" s="331"/>
      <c r="M916" s="329"/>
      <c r="N916" s="332"/>
      <c r="O916" s="332"/>
      <c r="P916" s="332"/>
      <c r="Q916" s="332"/>
      <c r="R916" s="333"/>
      <c r="S916" s="332"/>
      <c r="T916" s="329"/>
      <c r="U916" s="332"/>
      <c r="V916" s="334"/>
      <c r="W916" s="280"/>
      <c r="X916" s="280"/>
      <c r="Y916" s="280"/>
      <c r="Z916" s="280"/>
      <c r="AA916" s="280"/>
      <c r="AB916" s="280"/>
      <c r="AC916" s="335"/>
      <c r="AD916" s="336"/>
      <c r="AE916" s="337"/>
      <c r="AF916" s="338"/>
      <c r="AG916" s="329"/>
      <c r="AH916" s="339"/>
      <c r="AI916" s="338"/>
      <c r="AJ916" s="338"/>
      <c r="AK916" s="338"/>
      <c r="AL916" s="329"/>
    </row>
    <row r="917" ht="24.75" customHeight="1">
      <c r="A917" s="328"/>
      <c r="B917" s="329"/>
      <c r="C917" s="340"/>
      <c r="D917" s="331"/>
      <c r="E917" s="332"/>
      <c r="F917" s="331"/>
      <c r="G917" s="331"/>
      <c r="H917" s="333"/>
      <c r="I917" s="333"/>
      <c r="J917" s="333"/>
      <c r="K917" s="332"/>
      <c r="L917" s="331"/>
      <c r="M917" s="329"/>
      <c r="N917" s="332"/>
      <c r="O917" s="332"/>
      <c r="P917" s="332"/>
      <c r="Q917" s="332"/>
      <c r="R917" s="333"/>
      <c r="S917" s="332"/>
      <c r="T917" s="329"/>
      <c r="U917" s="332"/>
      <c r="V917" s="334"/>
      <c r="W917" s="280"/>
      <c r="X917" s="280"/>
      <c r="Y917" s="280"/>
      <c r="Z917" s="280"/>
      <c r="AA917" s="280"/>
      <c r="AB917" s="280"/>
      <c r="AC917" s="335"/>
      <c r="AD917" s="336"/>
      <c r="AE917" s="337"/>
      <c r="AF917" s="338"/>
      <c r="AG917" s="329"/>
      <c r="AH917" s="339"/>
      <c r="AI917" s="338"/>
      <c r="AJ917" s="338"/>
      <c r="AK917" s="338"/>
      <c r="AL917" s="329"/>
    </row>
    <row r="918" ht="24.75" customHeight="1">
      <c r="A918" s="328"/>
      <c r="B918" s="329"/>
      <c r="C918" s="340"/>
      <c r="D918" s="331"/>
      <c r="E918" s="332"/>
      <c r="F918" s="331"/>
      <c r="G918" s="331"/>
      <c r="H918" s="333"/>
      <c r="I918" s="333"/>
      <c r="J918" s="333"/>
      <c r="K918" s="332"/>
      <c r="L918" s="331"/>
      <c r="M918" s="329"/>
      <c r="N918" s="332"/>
      <c r="O918" s="332"/>
      <c r="P918" s="332"/>
      <c r="Q918" s="332"/>
      <c r="R918" s="333"/>
      <c r="S918" s="332"/>
      <c r="T918" s="329"/>
      <c r="U918" s="332"/>
      <c r="V918" s="334"/>
      <c r="W918" s="280"/>
      <c r="X918" s="280"/>
      <c r="Y918" s="280"/>
      <c r="Z918" s="280"/>
      <c r="AA918" s="280"/>
      <c r="AB918" s="280"/>
      <c r="AC918" s="335"/>
      <c r="AD918" s="336"/>
      <c r="AE918" s="337"/>
      <c r="AF918" s="338"/>
      <c r="AG918" s="329"/>
      <c r="AH918" s="339"/>
      <c r="AI918" s="338"/>
      <c r="AJ918" s="338"/>
      <c r="AK918" s="338"/>
      <c r="AL918" s="329"/>
    </row>
    <row r="919" ht="24.75" customHeight="1">
      <c r="A919" s="328"/>
      <c r="B919" s="329"/>
      <c r="C919" s="340"/>
      <c r="D919" s="331"/>
      <c r="E919" s="332"/>
      <c r="F919" s="331"/>
      <c r="G919" s="331"/>
      <c r="H919" s="333"/>
      <c r="I919" s="333"/>
      <c r="J919" s="333"/>
      <c r="K919" s="332"/>
      <c r="L919" s="331"/>
      <c r="M919" s="329"/>
      <c r="N919" s="332"/>
      <c r="O919" s="332"/>
      <c r="P919" s="332"/>
      <c r="Q919" s="332"/>
      <c r="R919" s="333"/>
      <c r="S919" s="332"/>
      <c r="T919" s="329"/>
      <c r="U919" s="332"/>
      <c r="V919" s="334"/>
      <c r="W919" s="280"/>
      <c r="X919" s="280"/>
      <c r="Y919" s="280"/>
      <c r="Z919" s="280"/>
      <c r="AA919" s="280"/>
      <c r="AB919" s="280"/>
      <c r="AC919" s="335"/>
      <c r="AD919" s="336"/>
      <c r="AE919" s="337"/>
      <c r="AF919" s="338"/>
      <c r="AG919" s="329"/>
      <c r="AH919" s="339"/>
      <c r="AI919" s="338"/>
      <c r="AJ919" s="338"/>
      <c r="AK919" s="338"/>
      <c r="AL919" s="329"/>
    </row>
    <row r="920" ht="24.75" customHeight="1">
      <c r="A920" s="328"/>
      <c r="B920" s="329"/>
      <c r="C920" s="340"/>
      <c r="D920" s="331"/>
      <c r="E920" s="332"/>
      <c r="F920" s="331"/>
      <c r="G920" s="331"/>
      <c r="H920" s="333"/>
      <c r="I920" s="333"/>
      <c r="J920" s="333"/>
      <c r="K920" s="332"/>
      <c r="L920" s="331"/>
      <c r="M920" s="329"/>
      <c r="N920" s="332"/>
      <c r="O920" s="332"/>
      <c r="P920" s="332"/>
      <c r="Q920" s="332"/>
      <c r="R920" s="333"/>
      <c r="S920" s="332"/>
      <c r="T920" s="329"/>
      <c r="U920" s="332"/>
      <c r="V920" s="334"/>
      <c r="W920" s="280"/>
      <c r="X920" s="280"/>
      <c r="Y920" s="280"/>
      <c r="Z920" s="280"/>
      <c r="AA920" s="280"/>
      <c r="AB920" s="280"/>
      <c r="AC920" s="335"/>
      <c r="AD920" s="336"/>
      <c r="AE920" s="337"/>
      <c r="AF920" s="338"/>
      <c r="AG920" s="329"/>
      <c r="AH920" s="339"/>
      <c r="AI920" s="338"/>
      <c r="AJ920" s="338"/>
      <c r="AK920" s="338"/>
      <c r="AL920" s="329"/>
    </row>
    <row r="921" ht="24.75" customHeight="1">
      <c r="A921" s="328"/>
      <c r="B921" s="329"/>
      <c r="C921" s="340"/>
      <c r="D921" s="331"/>
      <c r="E921" s="332"/>
      <c r="F921" s="331"/>
      <c r="G921" s="331"/>
      <c r="H921" s="333"/>
      <c r="I921" s="333"/>
      <c r="J921" s="333"/>
      <c r="K921" s="332"/>
      <c r="L921" s="331"/>
      <c r="M921" s="329"/>
      <c r="N921" s="332"/>
      <c r="O921" s="332"/>
      <c r="P921" s="332"/>
      <c r="Q921" s="332"/>
      <c r="R921" s="333"/>
      <c r="S921" s="332"/>
      <c r="T921" s="329"/>
      <c r="U921" s="332"/>
      <c r="V921" s="334"/>
      <c r="W921" s="280"/>
      <c r="X921" s="280"/>
      <c r="Y921" s="280"/>
      <c r="Z921" s="280"/>
      <c r="AA921" s="280"/>
      <c r="AB921" s="280"/>
      <c r="AC921" s="335"/>
      <c r="AD921" s="336"/>
      <c r="AE921" s="337"/>
      <c r="AF921" s="338"/>
      <c r="AG921" s="329"/>
      <c r="AH921" s="339"/>
      <c r="AI921" s="338"/>
      <c r="AJ921" s="338"/>
      <c r="AK921" s="338"/>
      <c r="AL921" s="329"/>
    </row>
    <row r="922" ht="24.75" customHeight="1">
      <c r="A922" s="328"/>
      <c r="B922" s="329"/>
      <c r="C922" s="340"/>
      <c r="D922" s="331"/>
      <c r="E922" s="332"/>
      <c r="F922" s="331"/>
      <c r="G922" s="331"/>
      <c r="H922" s="333"/>
      <c r="I922" s="333"/>
      <c r="J922" s="333"/>
      <c r="K922" s="332"/>
      <c r="L922" s="331"/>
      <c r="M922" s="329"/>
      <c r="N922" s="332"/>
      <c r="O922" s="332"/>
      <c r="P922" s="332"/>
      <c r="Q922" s="332"/>
      <c r="R922" s="333"/>
      <c r="S922" s="332"/>
      <c r="T922" s="329"/>
      <c r="U922" s="332"/>
      <c r="V922" s="334"/>
      <c r="W922" s="280"/>
      <c r="X922" s="280"/>
      <c r="Y922" s="280"/>
      <c r="Z922" s="280"/>
      <c r="AA922" s="280"/>
      <c r="AB922" s="280"/>
      <c r="AC922" s="335"/>
      <c r="AD922" s="336"/>
      <c r="AE922" s="337"/>
      <c r="AF922" s="338"/>
      <c r="AG922" s="329"/>
      <c r="AH922" s="339"/>
      <c r="AI922" s="338"/>
      <c r="AJ922" s="338"/>
      <c r="AK922" s="338"/>
      <c r="AL922" s="329"/>
    </row>
    <row r="923" ht="24.75" customHeight="1">
      <c r="A923" s="328"/>
      <c r="B923" s="329"/>
      <c r="C923" s="340"/>
      <c r="D923" s="331"/>
      <c r="E923" s="332"/>
      <c r="F923" s="331"/>
      <c r="G923" s="331"/>
      <c r="H923" s="333"/>
      <c r="I923" s="333"/>
      <c r="J923" s="333"/>
      <c r="K923" s="332"/>
      <c r="L923" s="331"/>
      <c r="M923" s="329"/>
      <c r="N923" s="332"/>
      <c r="O923" s="332"/>
      <c r="P923" s="332"/>
      <c r="Q923" s="332"/>
      <c r="R923" s="333"/>
      <c r="S923" s="332"/>
      <c r="T923" s="329"/>
      <c r="U923" s="332"/>
      <c r="V923" s="334"/>
      <c r="W923" s="280"/>
      <c r="X923" s="280"/>
      <c r="Y923" s="280"/>
      <c r="Z923" s="280"/>
      <c r="AA923" s="280"/>
      <c r="AB923" s="280"/>
      <c r="AC923" s="335"/>
      <c r="AD923" s="336"/>
      <c r="AE923" s="337"/>
      <c r="AF923" s="338"/>
      <c r="AG923" s="329"/>
      <c r="AH923" s="339"/>
      <c r="AI923" s="338"/>
      <c r="AJ923" s="338"/>
      <c r="AK923" s="338"/>
      <c r="AL923" s="329"/>
    </row>
    <row r="924" ht="24.75" customHeight="1">
      <c r="A924" s="328"/>
      <c r="B924" s="329"/>
      <c r="C924" s="340"/>
      <c r="D924" s="331"/>
      <c r="E924" s="332"/>
      <c r="F924" s="331"/>
      <c r="G924" s="331"/>
      <c r="H924" s="333"/>
      <c r="I924" s="333"/>
      <c r="J924" s="333"/>
      <c r="K924" s="332"/>
      <c r="L924" s="331"/>
      <c r="M924" s="329"/>
      <c r="N924" s="332"/>
      <c r="O924" s="332"/>
      <c r="P924" s="332"/>
      <c r="Q924" s="332"/>
      <c r="R924" s="333"/>
      <c r="S924" s="332"/>
      <c r="T924" s="329"/>
      <c r="U924" s="332"/>
      <c r="V924" s="334"/>
      <c r="W924" s="280"/>
      <c r="X924" s="280"/>
      <c r="Y924" s="280"/>
      <c r="Z924" s="280"/>
      <c r="AA924" s="280"/>
      <c r="AB924" s="280"/>
      <c r="AC924" s="335"/>
      <c r="AD924" s="336"/>
      <c r="AE924" s="337"/>
      <c r="AF924" s="338"/>
      <c r="AG924" s="329"/>
      <c r="AH924" s="339"/>
      <c r="AI924" s="338"/>
      <c r="AJ924" s="338"/>
      <c r="AK924" s="338"/>
      <c r="AL924" s="329"/>
    </row>
    <row r="925" ht="24.75" customHeight="1">
      <c r="A925" s="328"/>
      <c r="B925" s="329"/>
      <c r="C925" s="340"/>
      <c r="D925" s="331"/>
      <c r="E925" s="332"/>
      <c r="F925" s="331"/>
      <c r="G925" s="331"/>
      <c r="H925" s="333"/>
      <c r="I925" s="333"/>
      <c r="J925" s="333"/>
      <c r="K925" s="332"/>
      <c r="L925" s="331"/>
      <c r="M925" s="329"/>
      <c r="N925" s="332"/>
      <c r="O925" s="332"/>
      <c r="P925" s="332"/>
      <c r="Q925" s="332"/>
      <c r="R925" s="333"/>
      <c r="S925" s="332"/>
      <c r="T925" s="329"/>
      <c r="U925" s="332"/>
      <c r="V925" s="334"/>
      <c r="W925" s="280"/>
      <c r="X925" s="280"/>
      <c r="Y925" s="280"/>
      <c r="Z925" s="280"/>
      <c r="AA925" s="280"/>
      <c r="AB925" s="280"/>
      <c r="AC925" s="335"/>
      <c r="AD925" s="336"/>
      <c r="AE925" s="337"/>
      <c r="AF925" s="338"/>
      <c r="AG925" s="329"/>
      <c r="AH925" s="339"/>
      <c r="AI925" s="338"/>
      <c r="AJ925" s="338"/>
      <c r="AK925" s="338"/>
      <c r="AL925" s="329"/>
    </row>
    <row r="926" ht="24.75" customHeight="1">
      <c r="A926" s="328"/>
      <c r="B926" s="329"/>
      <c r="C926" s="340"/>
      <c r="D926" s="331"/>
      <c r="E926" s="332"/>
      <c r="F926" s="331"/>
      <c r="G926" s="331"/>
      <c r="H926" s="333"/>
      <c r="I926" s="333"/>
      <c r="J926" s="333"/>
      <c r="K926" s="332"/>
      <c r="L926" s="331"/>
      <c r="M926" s="329"/>
      <c r="N926" s="332"/>
      <c r="O926" s="332"/>
      <c r="P926" s="332"/>
      <c r="Q926" s="332"/>
      <c r="R926" s="333"/>
      <c r="S926" s="332"/>
      <c r="T926" s="329"/>
      <c r="U926" s="332"/>
      <c r="V926" s="334"/>
      <c r="W926" s="280"/>
      <c r="X926" s="280"/>
      <c r="Y926" s="280"/>
      <c r="Z926" s="280"/>
      <c r="AA926" s="280"/>
      <c r="AB926" s="280"/>
      <c r="AC926" s="335"/>
      <c r="AD926" s="336"/>
      <c r="AE926" s="337"/>
      <c r="AF926" s="338"/>
      <c r="AG926" s="329"/>
      <c r="AH926" s="339"/>
      <c r="AI926" s="338"/>
      <c r="AJ926" s="338"/>
      <c r="AK926" s="338"/>
      <c r="AL926" s="329"/>
    </row>
    <row r="927" ht="24.75" customHeight="1">
      <c r="A927" s="328"/>
      <c r="B927" s="329"/>
      <c r="C927" s="340"/>
      <c r="D927" s="331"/>
      <c r="E927" s="332"/>
      <c r="F927" s="331"/>
      <c r="G927" s="331"/>
      <c r="H927" s="333"/>
      <c r="I927" s="333"/>
      <c r="J927" s="333"/>
      <c r="K927" s="332"/>
      <c r="L927" s="331"/>
      <c r="M927" s="329"/>
      <c r="N927" s="332"/>
      <c r="O927" s="332"/>
      <c r="P927" s="332"/>
      <c r="Q927" s="332"/>
      <c r="R927" s="333"/>
      <c r="S927" s="332"/>
      <c r="T927" s="329"/>
      <c r="U927" s="332"/>
      <c r="V927" s="334"/>
      <c r="W927" s="280"/>
      <c r="X927" s="280"/>
      <c r="Y927" s="280"/>
      <c r="Z927" s="280"/>
      <c r="AA927" s="280"/>
      <c r="AB927" s="280"/>
      <c r="AC927" s="335"/>
      <c r="AD927" s="336"/>
      <c r="AE927" s="337"/>
      <c r="AF927" s="338"/>
      <c r="AG927" s="329"/>
      <c r="AH927" s="339"/>
      <c r="AI927" s="338"/>
      <c r="AJ927" s="338"/>
      <c r="AK927" s="338"/>
      <c r="AL927" s="329"/>
    </row>
    <row r="928" ht="24.75" customHeight="1">
      <c r="A928" s="328"/>
      <c r="B928" s="329"/>
      <c r="C928" s="340"/>
      <c r="D928" s="331"/>
      <c r="E928" s="332"/>
      <c r="F928" s="331"/>
      <c r="G928" s="331"/>
      <c r="H928" s="333"/>
      <c r="I928" s="333"/>
      <c r="J928" s="333"/>
      <c r="K928" s="332"/>
      <c r="L928" s="331"/>
      <c r="M928" s="329"/>
      <c r="N928" s="332"/>
      <c r="O928" s="332"/>
      <c r="P928" s="332"/>
      <c r="Q928" s="332"/>
      <c r="R928" s="333"/>
      <c r="S928" s="332"/>
      <c r="T928" s="329"/>
      <c r="U928" s="332"/>
      <c r="V928" s="334"/>
      <c r="W928" s="280"/>
      <c r="X928" s="280"/>
      <c r="Y928" s="280"/>
      <c r="Z928" s="280"/>
      <c r="AA928" s="280"/>
      <c r="AB928" s="280"/>
      <c r="AC928" s="335"/>
      <c r="AD928" s="336"/>
      <c r="AE928" s="337"/>
      <c r="AF928" s="338"/>
      <c r="AG928" s="329"/>
      <c r="AH928" s="339"/>
      <c r="AI928" s="338"/>
      <c r="AJ928" s="338"/>
      <c r="AK928" s="338"/>
      <c r="AL928" s="329"/>
    </row>
    <row r="929" ht="24.75" customHeight="1">
      <c r="A929" s="328"/>
      <c r="B929" s="329"/>
      <c r="C929" s="340"/>
      <c r="D929" s="331"/>
      <c r="E929" s="332"/>
      <c r="F929" s="331"/>
      <c r="G929" s="331"/>
      <c r="H929" s="333"/>
      <c r="I929" s="333"/>
      <c r="J929" s="333"/>
      <c r="K929" s="332"/>
      <c r="L929" s="331"/>
      <c r="M929" s="329"/>
      <c r="N929" s="332"/>
      <c r="O929" s="332"/>
      <c r="P929" s="332"/>
      <c r="Q929" s="332"/>
      <c r="R929" s="333"/>
      <c r="S929" s="332"/>
      <c r="T929" s="329"/>
      <c r="U929" s="332"/>
      <c r="V929" s="334"/>
      <c r="W929" s="280"/>
      <c r="X929" s="280"/>
      <c r="Y929" s="280"/>
      <c r="Z929" s="280"/>
      <c r="AA929" s="280"/>
      <c r="AB929" s="280"/>
      <c r="AC929" s="335"/>
      <c r="AD929" s="336"/>
      <c r="AE929" s="337"/>
      <c r="AF929" s="338"/>
      <c r="AG929" s="329"/>
      <c r="AH929" s="339"/>
      <c r="AI929" s="338"/>
      <c r="AJ929" s="338"/>
      <c r="AK929" s="338"/>
      <c r="AL929" s="329"/>
    </row>
    <row r="930" ht="24.75" customHeight="1">
      <c r="A930" s="328"/>
      <c r="B930" s="329"/>
      <c r="C930" s="340"/>
      <c r="D930" s="331"/>
      <c r="E930" s="332"/>
      <c r="F930" s="331"/>
      <c r="G930" s="331"/>
      <c r="H930" s="333"/>
      <c r="I930" s="333"/>
      <c r="J930" s="333"/>
      <c r="K930" s="332"/>
      <c r="L930" s="331"/>
      <c r="M930" s="329"/>
      <c r="N930" s="332"/>
      <c r="O930" s="332"/>
      <c r="P930" s="332"/>
      <c r="Q930" s="332"/>
      <c r="R930" s="333"/>
      <c r="S930" s="332"/>
      <c r="T930" s="329"/>
      <c r="U930" s="332"/>
      <c r="V930" s="334"/>
      <c r="W930" s="280"/>
      <c r="X930" s="280"/>
      <c r="Y930" s="280"/>
      <c r="Z930" s="280"/>
      <c r="AA930" s="280"/>
      <c r="AB930" s="280"/>
      <c r="AC930" s="335"/>
      <c r="AD930" s="336"/>
      <c r="AE930" s="337"/>
      <c r="AF930" s="338"/>
      <c r="AG930" s="329"/>
      <c r="AH930" s="339"/>
      <c r="AI930" s="338"/>
      <c r="AJ930" s="338"/>
      <c r="AK930" s="338"/>
      <c r="AL930" s="329"/>
    </row>
    <row r="931" ht="24.75" customHeight="1">
      <c r="A931" s="328"/>
      <c r="B931" s="329"/>
      <c r="C931" s="340"/>
      <c r="D931" s="331"/>
      <c r="E931" s="332"/>
      <c r="F931" s="331"/>
      <c r="G931" s="331"/>
      <c r="H931" s="333"/>
      <c r="I931" s="333"/>
      <c r="J931" s="333"/>
      <c r="K931" s="332"/>
      <c r="L931" s="331"/>
      <c r="M931" s="329"/>
      <c r="N931" s="332"/>
      <c r="O931" s="332"/>
      <c r="P931" s="332"/>
      <c r="Q931" s="332"/>
      <c r="R931" s="333"/>
      <c r="S931" s="332"/>
      <c r="T931" s="329"/>
      <c r="U931" s="332"/>
      <c r="V931" s="334"/>
      <c r="W931" s="280"/>
      <c r="X931" s="280"/>
      <c r="Y931" s="280"/>
      <c r="Z931" s="280"/>
      <c r="AA931" s="280"/>
      <c r="AB931" s="280"/>
      <c r="AC931" s="335"/>
      <c r="AD931" s="336"/>
      <c r="AE931" s="337"/>
      <c r="AF931" s="338"/>
      <c r="AG931" s="329"/>
      <c r="AH931" s="339"/>
      <c r="AI931" s="338"/>
      <c r="AJ931" s="338"/>
      <c r="AK931" s="338"/>
      <c r="AL931" s="329"/>
    </row>
    <row r="932" ht="24.75" customHeight="1">
      <c r="A932" s="328"/>
      <c r="B932" s="329"/>
      <c r="C932" s="340"/>
      <c r="D932" s="331"/>
      <c r="E932" s="332"/>
      <c r="F932" s="331"/>
      <c r="G932" s="331"/>
      <c r="H932" s="333"/>
      <c r="I932" s="333"/>
      <c r="J932" s="333"/>
      <c r="K932" s="332"/>
      <c r="L932" s="331"/>
      <c r="M932" s="329"/>
      <c r="N932" s="332"/>
      <c r="O932" s="332"/>
      <c r="P932" s="332"/>
      <c r="Q932" s="332"/>
      <c r="R932" s="333"/>
      <c r="S932" s="332"/>
      <c r="T932" s="329"/>
      <c r="U932" s="332"/>
      <c r="V932" s="334"/>
      <c r="W932" s="280"/>
      <c r="X932" s="280"/>
      <c r="Y932" s="280"/>
      <c r="Z932" s="280"/>
      <c r="AA932" s="280"/>
      <c r="AB932" s="280"/>
      <c r="AC932" s="335"/>
      <c r="AD932" s="336"/>
      <c r="AE932" s="337"/>
      <c r="AF932" s="338"/>
      <c r="AG932" s="329"/>
      <c r="AH932" s="339"/>
      <c r="AI932" s="338"/>
      <c r="AJ932" s="338"/>
      <c r="AK932" s="338"/>
      <c r="AL932" s="329"/>
    </row>
    <row r="933" ht="24.75" customHeight="1">
      <c r="A933" s="328"/>
      <c r="B933" s="329"/>
      <c r="C933" s="340"/>
      <c r="D933" s="331"/>
      <c r="E933" s="332"/>
      <c r="F933" s="331"/>
      <c r="G933" s="331"/>
      <c r="H933" s="333"/>
      <c r="I933" s="333"/>
      <c r="J933" s="333"/>
      <c r="K933" s="332"/>
      <c r="L933" s="331"/>
      <c r="M933" s="329"/>
      <c r="N933" s="332"/>
      <c r="O933" s="332"/>
      <c r="P933" s="332"/>
      <c r="Q933" s="332"/>
      <c r="R933" s="333"/>
      <c r="S933" s="332"/>
      <c r="T933" s="329"/>
      <c r="U933" s="332"/>
      <c r="V933" s="334"/>
      <c r="W933" s="280"/>
      <c r="X933" s="280"/>
      <c r="Y933" s="280"/>
      <c r="Z933" s="280"/>
      <c r="AA933" s="280"/>
      <c r="AB933" s="280"/>
      <c r="AC933" s="335"/>
      <c r="AD933" s="336"/>
      <c r="AE933" s="337"/>
      <c r="AF933" s="338"/>
      <c r="AG933" s="329"/>
      <c r="AH933" s="339"/>
      <c r="AI933" s="338"/>
      <c r="AJ933" s="338"/>
      <c r="AK933" s="338"/>
      <c r="AL933" s="329"/>
    </row>
    <row r="934" ht="24.75" customHeight="1">
      <c r="A934" s="328"/>
      <c r="B934" s="329"/>
      <c r="C934" s="340"/>
      <c r="D934" s="331"/>
      <c r="E934" s="332"/>
      <c r="F934" s="331"/>
      <c r="G934" s="331"/>
      <c r="H934" s="333"/>
      <c r="I934" s="333"/>
      <c r="J934" s="333"/>
      <c r="K934" s="332"/>
      <c r="L934" s="331"/>
      <c r="M934" s="329"/>
      <c r="N934" s="332"/>
      <c r="O934" s="332"/>
      <c r="P934" s="332"/>
      <c r="Q934" s="332"/>
      <c r="R934" s="333"/>
      <c r="S934" s="332"/>
      <c r="T934" s="329"/>
      <c r="U934" s="332"/>
      <c r="V934" s="334"/>
      <c r="W934" s="280"/>
      <c r="X934" s="280"/>
      <c r="Y934" s="280"/>
      <c r="Z934" s="280"/>
      <c r="AA934" s="280"/>
      <c r="AB934" s="280"/>
      <c r="AC934" s="335"/>
      <c r="AD934" s="336"/>
      <c r="AE934" s="337"/>
      <c r="AF934" s="338"/>
      <c r="AG934" s="329"/>
      <c r="AH934" s="339"/>
      <c r="AI934" s="338"/>
      <c r="AJ934" s="338"/>
      <c r="AK934" s="338"/>
      <c r="AL934" s="329"/>
    </row>
    <row r="935" ht="24.75" customHeight="1">
      <c r="A935" s="328"/>
      <c r="B935" s="329"/>
      <c r="C935" s="340"/>
      <c r="D935" s="331"/>
      <c r="E935" s="332"/>
      <c r="F935" s="331"/>
      <c r="G935" s="331"/>
      <c r="H935" s="333"/>
      <c r="I935" s="333"/>
      <c r="J935" s="333"/>
      <c r="K935" s="332"/>
      <c r="L935" s="331"/>
      <c r="M935" s="329"/>
      <c r="N935" s="332"/>
      <c r="O935" s="332"/>
      <c r="P935" s="332"/>
      <c r="Q935" s="332"/>
      <c r="R935" s="333"/>
      <c r="S935" s="332"/>
      <c r="T935" s="329"/>
      <c r="U935" s="332"/>
      <c r="V935" s="334"/>
      <c r="W935" s="280"/>
      <c r="X935" s="280"/>
      <c r="Y935" s="280"/>
      <c r="Z935" s="280"/>
      <c r="AA935" s="280"/>
      <c r="AB935" s="280"/>
      <c r="AC935" s="335"/>
      <c r="AD935" s="336"/>
      <c r="AE935" s="337"/>
      <c r="AF935" s="338"/>
      <c r="AG935" s="329"/>
      <c r="AH935" s="339"/>
      <c r="AI935" s="338"/>
      <c r="AJ935" s="338"/>
      <c r="AK935" s="338"/>
      <c r="AL935" s="329"/>
    </row>
    <row r="936" ht="24.75" customHeight="1">
      <c r="A936" s="328"/>
      <c r="B936" s="329"/>
      <c r="C936" s="340"/>
      <c r="D936" s="331"/>
      <c r="E936" s="332"/>
      <c r="F936" s="331"/>
      <c r="G936" s="331"/>
      <c r="H936" s="333"/>
      <c r="I936" s="333"/>
      <c r="J936" s="333"/>
      <c r="K936" s="332"/>
      <c r="L936" s="331"/>
      <c r="M936" s="329"/>
      <c r="N936" s="332"/>
      <c r="O936" s="332"/>
      <c r="P936" s="332"/>
      <c r="Q936" s="332"/>
      <c r="R936" s="333"/>
      <c r="S936" s="332"/>
      <c r="T936" s="329"/>
      <c r="U936" s="332"/>
      <c r="V936" s="334"/>
      <c r="W936" s="280"/>
      <c r="X936" s="280"/>
      <c r="Y936" s="280"/>
      <c r="Z936" s="280"/>
      <c r="AA936" s="280"/>
      <c r="AB936" s="280"/>
      <c r="AC936" s="335"/>
      <c r="AD936" s="336"/>
      <c r="AE936" s="337"/>
      <c r="AF936" s="338"/>
      <c r="AG936" s="329"/>
      <c r="AH936" s="339"/>
      <c r="AI936" s="338"/>
      <c r="AJ936" s="338"/>
      <c r="AK936" s="338"/>
      <c r="AL936" s="329"/>
    </row>
    <row r="937" ht="24.75" customHeight="1">
      <c r="A937" s="328"/>
      <c r="B937" s="329"/>
      <c r="C937" s="340"/>
      <c r="D937" s="331"/>
      <c r="E937" s="332"/>
      <c r="F937" s="331"/>
      <c r="G937" s="331"/>
      <c r="H937" s="333"/>
      <c r="I937" s="333"/>
      <c r="J937" s="333"/>
      <c r="K937" s="332"/>
      <c r="L937" s="331"/>
      <c r="M937" s="329"/>
      <c r="N937" s="332"/>
      <c r="O937" s="332"/>
      <c r="P937" s="332"/>
      <c r="Q937" s="332"/>
      <c r="R937" s="333"/>
      <c r="S937" s="332"/>
      <c r="T937" s="329"/>
      <c r="U937" s="332"/>
      <c r="V937" s="334"/>
      <c r="W937" s="280"/>
      <c r="X937" s="280"/>
      <c r="Y937" s="280"/>
      <c r="Z937" s="280"/>
      <c r="AA937" s="280"/>
      <c r="AB937" s="280"/>
      <c r="AC937" s="335"/>
      <c r="AD937" s="336"/>
      <c r="AE937" s="337"/>
      <c r="AF937" s="338"/>
      <c r="AG937" s="329"/>
      <c r="AH937" s="339"/>
      <c r="AI937" s="338"/>
      <c r="AJ937" s="338"/>
      <c r="AK937" s="338"/>
      <c r="AL937" s="329"/>
    </row>
    <row r="938" ht="24.75" customHeight="1">
      <c r="A938" s="328"/>
      <c r="B938" s="329"/>
      <c r="C938" s="340"/>
      <c r="D938" s="331"/>
      <c r="E938" s="332"/>
      <c r="F938" s="331"/>
      <c r="G938" s="331"/>
      <c r="H938" s="333"/>
      <c r="I938" s="333"/>
      <c r="J938" s="333"/>
      <c r="K938" s="332"/>
      <c r="L938" s="331"/>
      <c r="M938" s="329"/>
      <c r="N938" s="332"/>
      <c r="O938" s="332"/>
      <c r="P938" s="332"/>
      <c r="Q938" s="332"/>
      <c r="R938" s="333"/>
      <c r="S938" s="332"/>
      <c r="T938" s="329"/>
      <c r="U938" s="332"/>
      <c r="V938" s="334"/>
      <c r="W938" s="280"/>
      <c r="X938" s="280"/>
      <c r="Y938" s="280"/>
      <c r="Z938" s="280"/>
      <c r="AA938" s="280"/>
      <c r="AB938" s="280"/>
      <c r="AC938" s="335"/>
      <c r="AD938" s="336"/>
      <c r="AE938" s="337"/>
      <c r="AF938" s="338"/>
      <c r="AG938" s="329"/>
      <c r="AH938" s="339"/>
      <c r="AI938" s="338"/>
      <c r="AJ938" s="338"/>
      <c r="AK938" s="338"/>
      <c r="AL938" s="329"/>
    </row>
    <row r="939" ht="24.75" customHeight="1">
      <c r="A939" s="328"/>
      <c r="B939" s="329"/>
      <c r="C939" s="340"/>
      <c r="D939" s="331"/>
      <c r="E939" s="332"/>
      <c r="F939" s="331"/>
      <c r="G939" s="331"/>
      <c r="H939" s="333"/>
      <c r="I939" s="333"/>
      <c r="J939" s="333"/>
      <c r="K939" s="332"/>
      <c r="L939" s="331"/>
      <c r="M939" s="329"/>
      <c r="N939" s="332"/>
      <c r="O939" s="332"/>
      <c r="P939" s="332"/>
      <c r="Q939" s="332"/>
      <c r="R939" s="333"/>
      <c r="S939" s="332"/>
      <c r="T939" s="329"/>
      <c r="U939" s="332"/>
      <c r="V939" s="334"/>
      <c r="W939" s="280"/>
      <c r="X939" s="280"/>
      <c r="Y939" s="280"/>
      <c r="Z939" s="280"/>
      <c r="AA939" s="280"/>
      <c r="AB939" s="280"/>
      <c r="AC939" s="335"/>
      <c r="AD939" s="336"/>
      <c r="AE939" s="337"/>
      <c r="AF939" s="338"/>
      <c r="AG939" s="329"/>
      <c r="AH939" s="339"/>
      <c r="AI939" s="338"/>
      <c r="AJ939" s="338"/>
      <c r="AK939" s="338"/>
      <c r="AL939" s="329"/>
    </row>
    <row r="940" ht="24.75" customHeight="1">
      <c r="A940" s="328"/>
      <c r="B940" s="329"/>
      <c r="C940" s="340"/>
      <c r="D940" s="331"/>
      <c r="E940" s="332"/>
      <c r="F940" s="331"/>
      <c r="G940" s="331"/>
      <c r="H940" s="333"/>
      <c r="I940" s="333"/>
      <c r="J940" s="333"/>
      <c r="K940" s="332"/>
      <c r="L940" s="331"/>
      <c r="M940" s="329"/>
      <c r="N940" s="332"/>
      <c r="O940" s="332"/>
      <c r="P940" s="332"/>
      <c r="Q940" s="332"/>
      <c r="R940" s="333"/>
      <c r="S940" s="332"/>
      <c r="T940" s="329"/>
      <c r="U940" s="332"/>
      <c r="V940" s="334"/>
      <c r="W940" s="280"/>
      <c r="X940" s="280"/>
      <c r="Y940" s="280"/>
      <c r="Z940" s="280"/>
      <c r="AA940" s="280"/>
      <c r="AB940" s="280"/>
      <c r="AC940" s="335"/>
      <c r="AD940" s="336"/>
      <c r="AE940" s="337"/>
      <c r="AF940" s="338"/>
      <c r="AG940" s="329"/>
      <c r="AH940" s="339"/>
      <c r="AI940" s="338"/>
      <c r="AJ940" s="338"/>
      <c r="AK940" s="338"/>
      <c r="AL940" s="329"/>
    </row>
    <row r="941" ht="24.75" customHeight="1">
      <c r="A941" s="328"/>
      <c r="B941" s="329"/>
      <c r="C941" s="340"/>
      <c r="D941" s="331"/>
      <c r="E941" s="332"/>
      <c r="F941" s="331"/>
      <c r="G941" s="331"/>
      <c r="H941" s="333"/>
      <c r="I941" s="333"/>
      <c r="J941" s="333"/>
      <c r="K941" s="332"/>
      <c r="L941" s="331"/>
      <c r="M941" s="329"/>
      <c r="N941" s="332"/>
      <c r="O941" s="332"/>
      <c r="P941" s="332"/>
      <c r="Q941" s="332"/>
      <c r="R941" s="333"/>
      <c r="S941" s="332"/>
      <c r="T941" s="329"/>
      <c r="U941" s="332"/>
      <c r="V941" s="334"/>
      <c r="W941" s="280"/>
      <c r="X941" s="280"/>
      <c r="Y941" s="280"/>
      <c r="Z941" s="280"/>
      <c r="AA941" s="280"/>
      <c r="AB941" s="280"/>
      <c r="AC941" s="335"/>
      <c r="AD941" s="336"/>
      <c r="AE941" s="337"/>
      <c r="AF941" s="338"/>
      <c r="AG941" s="329"/>
      <c r="AH941" s="339"/>
      <c r="AI941" s="338"/>
      <c r="AJ941" s="338"/>
      <c r="AK941" s="338"/>
      <c r="AL941" s="329"/>
    </row>
    <row r="942" ht="24.75" customHeight="1">
      <c r="A942" s="328"/>
      <c r="B942" s="329"/>
      <c r="C942" s="340"/>
      <c r="D942" s="331"/>
      <c r="E942" s="332"/>
      <c r="F942" s="331"/>
      <c r="G942" s="331"/>
      <c r="H942" s="333"/>
      <c r="I942" s="333"/>
      <c r="J942" s="333"/>
      <c r="K942" s="332"/>
      <c r="L942" s="331"/>
      <c r="M942" s="329"/>
      <c r="N942" s="332"/>
      <c r="O942" s="332"/>
      <c r="P942" s="332"/>
      <c r="Q942" s="332"/>
      <c r="R942" s="333"/>
      <c r="S942" s="332"/>
      <c r="T942" s="329"/>
      <c r="U942" s="332"/>
      <c r="V942" s="334"/>
      <c r="W942" s="280"/>
      <c r="X942" s="280"/>
      <c r="Y942" s="280"/>
      <c r="Z942" s="280"/>
      <c r="AA942" s="280"/>
      <c r="AB942" s="280"/>
      <c r="AC942" s="335"/>
      <c r="AD942" s="336"/>
      <c r="AE942" s="337"/>
      <c r="AF942" s="338"/>
      <c r="AG942" s="329"/>
      <c r="AH942" s="339"/>
      <c r="AI942" s="338"/>
      <c r="AJ942" s="338"/>
      <c r="AK942" s="338"/>
      <c r="AL942" s="329"/>
    </row>
    <row r="943" ht="24.75" customHeight="1">
      <c r="A943" s="328"/>
      <c r="B943" s="329"/>
      <c r="C943" s="340"/>
      <c r="D943" s="331"/>
      <c r="E943" s="332"/>
      <c r="F943" s="331"/>
      <c r="G943" s="331"/>
      <c r="H943" s="333"/>
      <c r="I943" s="333"/>
      <c r="J943" s="333"/>
      <c r="K943" s="332"/>
      <c r="L943" s="331"/>
      <c r="M943" s="329"/>
      <c r="N943" s="332"/>
      <c r="O943" s="332"/>
      <c r="P943" s="332"/>
      <c r="Q943" s="332"/>
      <c r="R943" s="333"/>
      <c r="S943" s="332"/>
      <c r="T943" s="329"/>
      <c r="U943" s="332"/>
      <c r="V943" s="334"/>
      <c r="W943" s="280"/>
      <c r="X943" s="280"/>
      <c r="Y943" s="280"/>
      <c r="Z943" s="280"/>
      <c r="AA943" s="280"/>
      <c r="AB943" s="280"/>
      <c r="AC943" s="335"/>
      <c r="AD943" s="336"/>
      <c r="AE943" s="337"/>
      <c r="AF943" s="338"/>
      <c r="AG943" s="329"/>
      <c r="AH943" s="339"/>
      <c r="AI943" s="338"/>
      <c r="AJ943" s="338"/>
      <c r="AK943" s="338"/>
      <c r="AL943" s="329"/>
    </row>
    <row r="944" ht="24.75" customHeight="1">
      <c r="A944" s="328"/>
      <c r="B944" s="329"/>
      <c r="C944" s="340"/>
      <c r="D944" s="331"/>
      <c r="E944" s="332"/>
      <c r="F944" s="331"/>
      <c r="G944" s="331"/>
      <c r="H944" s="333"/>
      <c r="I944" s="333"/>
      <c r="J944" s="333"/>
      <c r="K944" s="332"/>
      <c r="L944" s="331"/>
      <c r="M944" s="329"/>
      <c r="N944" s="332"/>
      <c r="O944" s="332"/>
      <c r="P944" s="332"/>
      <c r="Q944" s="332"/>
      <c r="R944" s="333"/>
      <c r="S944" s="332"/>
      <c r="T944" s="329"/>
      <c r="U944" s="332"/>
      <c r="V944" s="334"/>
      <c r="W944" s="280"/>
      <c r="X944" s="280"/>
      <c r="Y944" s="280"/>
      <c r="Z944" s="280"/>
      <c r="AA944" s="280"/>
      <c r="AB944" s="280"/>
      <c r="AC944" s="335"/>
      <c r="AD944" s="336"/>
      <c r="AE944" s="337"/>
      <c r="AF944" s="338"/>
      <c r="AG944" s="329"/>
      <c r="AH944" s="339"/>
      <c r="AI944" s="338"/>
      <c r="AJ944" s="338"/>
      <c r="AK944" s="338"/>
      <c r="AL944" s="329"/>
    </row>
    <row r="945" ht="24.75" customHeight="1">
      <c r="A945" s="328"/>
      <c r="B945" s="329"/>
      <c r="C945" s="340"/>
      <c r="D945" s="331"/>
      <c r="E945" s="332"/>
      <c r="F945" s="331"/>
      <c r="G945" s="331"/>
      <c r="H945" s="333"/>
      <c r="I945" s="333"/>
      <c r="J945" s="333"/>
      <c r="K945" s="332"/>
      <c r="L945" s="331"/>
      <c r="M945" s="329"/>
      <c r="N945" s="332"/>
      <c r="O945" s="332"/>
      <c r="P945" s="332"/>
      <c r="Q945" s="332"/>
      <c r="R945" s="333"/>
      <c r="S945" s="332"/>
      <c r="T945" s="329"/>
      <c r="U945" s="332"/>
      <c r="V945" s="334"/>
      <c r="W945" s="280"/>
      <c r="X945" s="280"/>
      <c r="Y945" s="280"/>
      <c r="Z945" s="280"/>
      <c r="AA945" s="280"/>
      <c r="AB945" s="280"/>
      <c r="AC945" s="335"/>
      <c r="AD945" s="336"/>
      <c r="AE945" s="337"/>
      <c r="AF945" s="338"/>
      <c r="AG945" s="329"/>
      <c r="AH945" s="339"/>
      <c r="AI945" s="338"/>
      <c r="AJ945" s="338"/>
      <c r="AK945" s="338"/>
      <c r="AL945" s="329"/>
    </row>
    <row r="946" ht="24.75" customHeight="1">
      <c r="A946" s="328"/>
      <c r="B946" s="329"/>
      <c r="C946" s="340"/>
      <c r="D946" s="331"/>
      <c r="E946" s="332"/>
      <c r="F946" s="331"/>
      <c r="G946" s="331"/>
      <c r="H946" s="333"/>
      <c r="I946" s="333"/>
      <c r="J946" s="333"/>
      <c r="K946" s="332"/>
      <c r="L946" s="331"/>
      <c r="M946" s="329"/>
      <c r="N946" s="332"/>
      <c r="O946" s="332"/>
      <c r="P946" s="332"/>
      <c r="Q946" s="332"/>
      <c r="R946" s="333"/>
      <c r="S946" s="332"/>
      <c r="T946" s="329"/>
      <c r="U946" s="332"/>
      <c r="V946" s="334"/>
      <c r="W946" s="280"/>
      <c r="X946" s="280"/>
      <c r="Y946" s="280"/>
      <c r="Z946" s="280"/>
      <c r="AA946" s="280"/>
      <c r="AB946" s="280"/>
      <c r="AC946" s="335"/>
      <c r="AD946" s="336"/>
      <c r="AE946" s="337"/>
      <c r="AF946" s="338"/>
      <c r="AG946" s="329"/>
      <c r="AH946" s="339"/>
      <c r="AI946" s="338"/>
      <c r="AJ946" s="338"/>
      <c r="AK946" s="338"/>
      <c r="AL946" s="329"/>
    </row>
    <row r="947" ht="24.75" customHeight="1">
      <c r="A947" s="328"/>
      <c r="B947" s="329"/>
      <c r="C947" s="340"/>
      <c r="D947" s="331"/>
      <c r="E947" s="332"/>
      <c r="F947" s="331"/>
      <c r="G947" s="331"/>
      <c r="H947" s="333"/>
      <c r="I947" s="333"/>
      <c r="J947" s="333"/>
      <c r="K947" s="332"/>
      <c r="L947" s="331"/>
      <c r="M947" s="329"/>
      <c r="N947" s="332"/>
      <c r="O947" s="332"/>
      <c r="P947" s="332"/>
      <c r="Q947" s="332"/>
      <c r="R947" s="333"/>
      <c r="S947" s="332"/>
      <c r="T947" s="329"/>
      <c r="U947" s="332"/>
      <c r="V947" s="334"/>
      <c r="W947" s="280"/>
      <c r="X947" s="280"/>
      <c r="Y947" s="280"/>
      <c r="Z947" s="280"/>
      <c r="AA947" s="280"/>
      <c r="AB947" s="280"/>
      <c r="AC947" s="335"/>
      <c r="AD947" s="336"/>
      <c r="AE947" s="337"/>
      <c r="AF947" s="338"/>
      <c r="AG947" s="329"/>
      <c r="AH947" s="339"/>
      <c r="AI947" s="338"/>
      <c r="AJ947" s="338"/>
      <c r="AK947" s="338"/>
      <c r="AL947" s="329"/>
    </row>
    <row r="948" ht="24.75" customHeight="1">
      <c r="A948" s="328"/>
      <c r="B948" s="329"/>
      <c r="C948" s="340"/>
      <c r="D948" s="331"/>
      <c r="E948" s="332"/>
      <c r="F948" s="331"/>
      <c r="G948" s="331"/>
      <c r="H948" s="333"/>
      <c r="I948" s="333"/>
      <c r="J948" s="333"/>
      <c r="K948" s="332"/>
      <c r="L948" s="331"/>
      <c r="M948" s="329"/>
      <c r="N948" s="332"/>
      <c r="O948" s="332"/>
      <c r="P948" s="332"/>
      <c r="Q948" s="332"/>
      <c r="R948" s="333"/>
      <c r="S948" s="332"/>
      <c r="T948" s="329"/>
      <c r="U948" s="332"/>
      <c r="V948" s="334"/>
      <c r="W948" s="280"/>
      <c r="X948" s="280"/>
      <c r="Y948" s="280"/>
      <c r="Z948" s="280"/>
      <c r="AA948" s="280"/>
      <c r="AB948" s="280"/>
      <c r="AC948" s="335"/>
      <c r="AD948" s="336"/>
      <c r="AE948" s="337"/>
      <c r="AF948" s="338"/>
      <c r="AG948" s="329"/>
      <c r="AH948" s="339"/>
      <c r="AI948" s="338"/>
      <c r="AJ948" s="338"/>
      <c r="AK948" s="338"/>
      <c r="AL948" s="329"/>
    </row>
    <row r="949" ht="24.75" customHeight="1">
      <c r="A949" s="328"/>
      <c r="B949" s="329"/>
      <c r="C949" s="340"/>
      <c r="D949" s="331"/>
      <c r="E949" s="332"/>
      <c r="F949" s="331"/>
      <c r="G949" s="331"/>
      <c r="H949" s="333"/>
      <c r="I949" s="333"/>
      <c r="J949" s="333"/>
      <c r="K949" s="332"/>
      <c r="L949" s="331"/>
      <c r="M949" s="329"/>
      <c r="N949" s="332"/>
      <c r="O949" s="332"/>
      <c r="P949" s="332"/>
      <c r="Q949" s="332"/>
      <c r="R949" s="333"/>
      <c r="S949" s="332"/>
      <c r="T949" s="329"/>
      <c r="U949" s="332"/>
      <c r="V949" s="334"/>
      <c r="W949" s="280"/>
      <c r="X949" s="280"/>
      <c r="Y949" s="280"/>
      <c r="Z949" s="280"/>
      <c r="AA949" s="280"/>
      <c r="AB949" s="280"/>
      <c r="AC949" s="335"/>
      <c r="AD949" s="336"/>
      <c r="AE949" s="337"/>
      <c r="AF949" s="338"/>
      <c r="AG949" s="329"/>
      <c r="AH949" s="339"/>
      <c r="AI949" s="338"/>
      <c r="AJ949" s="338"/>
      <c r="AK949" s="338"/>
      <c r="AL949" s="329"/>
    </row>
    <row r="950" ht="24.75" customHeight="1">
      <c r="A950" s="328"/>
      <c r="B950" s="329"/>
      <c r="C950" s="340"/>
      <c r="D950" s="331"/>
      <c r="E950" s="332"/>
      <c r="F950" s="331"/>
      <c r="G950" s="331"/>
      <c r="H950" s="333"/>
      <c r="I950" s="333"/>
      <c r="J950" s="333"/>
      <c r="K950" s="332"/>
      <c r="L950" s="331"/>
      <c r="M950" s="329"/>
      <c r="N950" s="332"/>
      <c r="O950" s="332"/>
      <c r="P950" s="332"/>
      <c r="Q950" s="332"/>
      <c r="R950" s="333"/>
      <c r="S950" s="332"/>
      <c r="T950" s="329"/>
      <c r="U950" s="332"/>
      <c r="V950" s="334"/>
      <c r="W950" s="280"/>
      <c r="X950" s="280"/>
      <c r="Y950" s="280"/>
      <c r="Z950" s="280"/>
      <c r="AA950" s="280"/>
      <c r="AB950" s="280"/>
      <c r="AC950" s="335"/>
      <c r="AD950" s="336"/>
      <c r="AE950" s="337"/>
      <c r="AF950" s="338"/>
      <c r="AG950" s="329"/>
      <c r="AH950" s="339"/>
      <c r="AI950" s="338"/>
      <c r="AJ950" s="338"/>
      <c r="AK950" s="338"/>
      <c r="AL950" s="329"/>
    </row>
    <row r="951" ht="24.75" customHeight="1">
      <c r="A951" s="328"/>
      <c r="B951" s="329"/>
      <c r="C951" s="340"/>
      <c r="D951" s="331"/>
      <c r="E951" s="332"/>
      <c r="F951" s="331"/>
      <c r="G951" s="331"/>
      <c r="H951" s="333"/>
      <c r="I951" s="333"/>
      <c r="J951" s="333"/>
      <c r="K951" s="332"/>
      <c r="L951" s="331"/>
      <c r="M951" s="329"/>
      <c r="N951" s="332"/>
      <c r="O951" s="332"/>
      <c r="P951" s="332"/>
      <c r="Q951" s="332"/>
      <c r="R951" s="333"/>
      <c r="S951" s="332"/>
      <c r="T951" s="329"/>
      <c r="U951" s="332"/>
      <c r="V951" s="334"/>
      <c r="W951" s="280"/>
      <c r="X951" s="280"/>
      <c r="Y951" s="280"/>
      <c r="Z951" s="280"/>
      <c r="AA951" s="280"/>
      <c r="AB951" s="280"/>
      <c r="AC951" s="335"/>
      <c r="AD951" s="336"/>
      <c r="AE951" s="337"/>
      <c r="AF951" s="338"/>
      <c r="AG951" s="329"/>
      <c r="AH951" s="339"/>
      <c r="AI951" s="338"/>
      <c r="AJ951" s="338"/>
      <c r="AK951" s="338"/>
      <c r="AL951" s="329"/>
    </row>
    <row r="952" ht="24.75" customHeight="1">
      <c r="A952" s="328"/>
      <c r="B952" s="329"/>
      <c r="C952" s="340"/>
      <c r="D952" s="331"/>
      <c r="E952" s="332"/>
      <c r="F952" s="331"/>
      <c r="G952" s="331"/>
      <c r="H952" s="333"/>
      <c r="I952" s="333"/>
      <c r="J952" s="333"/>
      <c r="K952" s="332"/>
      <c r="L952" s="331"/>
      <c r="M952" s="329"/>
      <c r="N952" s="332"/>
      <c r="O952" s="332"/>
      <c r="P952" s="332"/>
      <c r="Q952" s="332"/>
      <c r="R952" s="333"/>
      <c r="S952" s="332"/>
      <c r="T952" s="329"/>
      <c r="U952" s="332"/>
      <c r="V952" s="334"/>
      <c r="W952" s="280"/>
      <c r="X952" s="280"/>
      <c r="Y952" s="280"/>
      <c r="Z952" s="280"/>
      <c r="AA952" s="280"/>
      <c r="AB952" s="280"/>
      <c r="AC952" s="335"/>
      <c r="AD952" s="336"/>
      <c r="AE952" s="337"/>
      <c r="AF952" s="338"/>
      <c r="AG952" s="329"/>
      <c r="AH952" s="339"/>
      <c r="AI952" s="338"/>
      <c r="AJ952" s="338"/>
      <c r="AK952" s="338"/>
      <c r="AL952" s="329"/>
    </row>
    <row r="953" ht="24.75" customHeight="1">
      <c r="A953" s="328"/>
      <c r="B953" s="329"/>
      <c r="C953" s="340"/>
      <c r="D953" s="331"/>
      <c r="E953" s="332"/>
      <c r="F953" s="331"/>
      <c r="G953" s="331"/>
      <c r="H953" s="333"/>
      <c r="I953" s="333"/>
      <c r="J953" s="333"/>
      <c r="K953" s="332"/>
      <c r="L953" s="331"/>
      <c r="M953" s="329"/>
      <c r="N953" s="332"/>
      <c r="O953" s="332"/>
      <c r="P953" s="332"/>
      <c r="Q953" s="332"/>
      <c r="R953" s="333"/>
      <c r="S953" s="332"/>
      <c r="T953" s="329"/>
      <c r="U953" s="332"/>
      <c r="V953" s="334"/>
      <c r="W953" s="280"/>
      <c r="X953" s="280"/>
      <c r="Y953" s="280"/>
      <c r="Z953" s="280"/>
      <c r="AA953" s="280"/>
      <c r="AB953" s="280"/>
      <c r="AC953" s="335"/>
      <c r="AD953" s="336"/>
      <c r="AE953" s="337"/>
      <c r="AF953" s="338"/>
      <c r="AG953" s="329"/>
      <c r="AH953" s="339"/>
      <c r="AI953" s="338"/>
      <c r="AJ953" s="338"/>
      <c r="AK953" s="338"/>
      <c r="AL953" s="329"/>
    </row>
    <row r="954" ht="24.75" customHeight="1">
      <c r="A954" s="328"/>
      <c r="B954" s="329"/>
      <c r="C954" s="340"/>
      <c r="D954" s="331"/>
      <c r="E954" s="332"/>
      <c r="F954" s="331"/>
      <c r="G954" s="331"/>
      <c r="H954" s="333"/>
      <c r="I954" s="333"/>
      <c r="J954" s="333"/>
      <c r="K954" s="332"/>
      <c r="L954" s="331"/>
      <c r="M954" s="329"/>
      <c r="N954" s="332"/>
      <c r="O954" s="332"/>
      <c r="P954" s="332"/>
      <c r="Q954" s="332"/>
      <c r="R954" s="333"/>
      <c r="S954" s="332"/>
      <c r="T954" s="329"/>
      <c r="U954" s="332"/>
      <c r="V954" s="334"/>
      <c r="W954" s="280"/>
      <c r="X954" s="280"/>
      <c r="Y954" s="280"/>
      <c r="Z954" s="280"/>
      <c r="AA954" s="280"/>
      <c r="AB954" s="280"/>
      <c r="AC954" s="335"/>
      <c r="AD954" s="336"/>
      <c r="AE954" s="337"/>
      <c r="AF954" s="338"/>
      <c r="AG954" s="329"/>
      <c r="AH954" s="339"/>
      <c r="AI954" s="338"/>
      <c r="AJ954" s="338"/>
      <c r="AK954" s="338"/>
      <c r="AL954" s="329"/>
    </row>
    <row r="955" ht="24.75" customHeight="1">
      <c r="A955" s="328"/>
      <c r="B955" s="329"/>
      <c r="C955" s="340"/>
      <c r="D955" s="331"/>
      <c r="E955" s="332"/>
      <c r="F955" s="331"/>
      <c r="G955" s="331"/>
      <c r="H955" s="333"/>
      <c r="I955" s="333"/>
      <c r="J955" s="333"/>
      <c r="K955" s="332"/>
      <c r="L955" s="331"/>
      <c r="M955" s="329"/>
      <c r="N955" s="332"/>
      <c r="O955" s="332"/>
      <c r="P955" s="332"/>
      <c r="Q955" s="332"/>
      <c r="R955" s="333"/>
      <c r="S955" s="332"/>
      <c r="T955" s="329"/>
      <c r="U955" s="332"/>
      <c r="V955" s="334"/>
      <c r="W955" s="280"/>
      <c r="X955" s="280"/>
      <c r="Y955" s="280"/>
      <c r="Z955" s="280"/>
      <c r="AA955" s="280"/>
      <c r="AB955" s="280"/>
      <c r="AC955" s="335"/>
      <c r="AD955" s="336"/>
      <c r="AE955" s="337"/>
      <c r="AF955" s="338"/>
      <c r="AG955" s="329"/>
      <c r="AH955" s="339"/>
      <c r="AI955" s="338"/>
      <c r="AJ955" s="338"/>
      <c r="AK955" s="338"/>
      <c r="AL955" s="329"/>
    </row>
    <row r="956" ht="24.75" customHeight="1">
      <c r="A956" s="328"/>
      <c r="B956" s="329"/>
      <c r="C956" s="340"/>
      <c r="D956" s="331"/>
      <c r="E956" s="332"/>
      <c r="F956" s="331"/>
      <c r="G956" s="331"/>
      <c r="H956" s="333"/>
      <c r="I956" s="333"/>
      <c r="J956" s="333"/>
      <c r="K956" s="332"/>
      <c r="L956" s="331"/>
      <c r="M956" s="329"/>
      <c r="N956" s="332"/>
      <c r="O956" s="332"/>
      <c r="P956" s="332"/>
      <c r="Q956" s="332"/>
      <c r="R956" s="333"/>
      <c r="S956" s="332"/>
      <c r="T956" s="329"/>
      <c r="U956" s="332"/>
      <c r="V956" s="334"/>
      <c r="W956" s="280"/>
      <c r="X956" s="280"/>
      <c r="Y956" s="280"/>
      <c r="Z956" s="280"/>
      <c r="AA956" s="280"/>
      <c r="AB956" s="280"/>
      <c r="AC956" s="335"/>
      <c r="AD956" s="336"/>
      <c r="AE956" s="337"/>
      <c r="AF956" s="338"/>
      <c r="AG956" s="329"/>
      <c r="AH956" s="339"/>
      <c r="AI956" s="338"/>
      <c r="AJ956" s="338"/>
      <c r="AK956" s="338"/>
      <c r="AL956" s="329"/>
    </row>
    <row r="957" ht="24.75" customHeight="1">
      <c r="A957" s="328"/>
      <c r="B957" s="329"/>
      <c r="C957" s="340"/>
      <c r="D957" s="331"/>
      <c r="E957" s="332"/>
      <c r="F957" s="331"/>
      <c r="G957" s="331"/>
      <c r="H957" s="333"/>
      <c r="I957" s="333"/>
      <c r="J957" s="333"/>
      <c r="K957" s="332"/>
      <c r="L957" s="331"/>
      <c r="M957" s="329"/>
      <c r="N957" s="332"/>
      <c r="O957" s="332"/>
      <c r="P957" s="332"/>
      <c r="Q957" s="332"/>
      <c r="R957" s="333"/>
      <c r="S957" s="332"/>
      <c r="T957" s="329"/>
      <c r="U957" s="332"/>
      <c r="V957" s="334"/>
      <c r="W957" s="280"/>
      <c r="X957" s="280"/>
      <c r="Y957" s="280"/>
      <c r="Z957" s="280"/>
      <c r="AA957" s="280"/>
      <c r="AB957" s="280"/>
      <c r="AC957" s="335"/>
      <c r="AD957" s="336"/>
      <c r="AE957" s="337"/>
      <c r="AF957" s="338"/>
      <c r="AG957" s="329"/>
      <c r="AH957" s="339"/>
      <c r="AI957" s="338"/>
      <c r="AJ957" s="338"/>
      <c r="AK957" s="338"/>
      <c r="AL957" s="329"/>
    </row>
    <row r="958" ht="24.75" customHeight="1">
      <c r="A958" s="328"/>
      <c r="B958" s="329"/>
      <c r="C958" s="340"/>
      <c r="D958" s="331"/>
      <c r="E958" s="332"/>
      <c r="F958" s="331"/>
      <c r="G958" s="331"/>
      <c r="H958" s="333"/>
      <c r="I958" s="333"/>
      <c r="J958" s="333"/>
      <c r="K958" s="332"/>
      <c r="L958" s="331"/>
      <c r="M958" s="329"/>
      <c r="N958" s="332"/>
      <c r="O958" s="332"/>
      <c r="P958" s="332"/>
      <c r="Q958" s="332"/>
      <c r="R958" s="333"/>
      <c r="S958" s="332"/>
      <c r="T958" s="329"/>
      <c r="U958" s="332"/>
      <c r="V958" s="334"/>
      <c r="W958" s="280"/>
      <c r="X958" s="280"/>
      <c r="Y958" s="280"/>
      <c r="Z958" s="280"/>
      <c r="AA958" s="280"/>
      <c r="AB958" s="280"/>
      <c r="AC958" s="335"/>
      <c r="AD958" s="336"/>
      <c r="AE958" s="337"/>
      <c r="AF958" s="338"/>
      <c r="AG958" s="329"/>
      <c r="AH958" s="339"/>
      <c r="AI958" s="338"/>
      <c r="AJ958" s="338"/>
      <c r="AK958" s="338"/>
      <c r="AL958" s="329"/>
    </row>
    <row r="959" ht="24.75" customHeight="1">
      <c r="A959" s="328"/>
      <c r="B959" s="329"/>
      <c r="C959" s="340"/>
      <c r="D959" s="331"/>
      <c r="E959" s="332"/>
      <c r="F959" s="331"/>
      <c r="G959" s="331"/>
      <c r="H959" s="333"/>
      <c r="I959" s="333"/>
      <c r="J959" s="333"/>
      <c r="K959" s="332"/>
      <c r="L959" s="331"/>
      <c r="M959" s="329"/>
      <c r="N959" s="332"/>
      <c r="O959" s="332"/>
      <c r="P959" s="332"/>
      <c r="Q959" s="332"/>
      <c r="R959" s="333"/>
      <c r="S959" s="332"/>
      <c r="T959" s="329"/>
      <c r="U959" s="332"/>
      <c r="V959" s="334"/>
      <c r="W959" s="280"/>
      <c r="X959" s="280"/>
      <c r="Y959" s="280"/>
      <c r="Z959" s="280"/>
      <c r="AA959" s="280"/>
      <c r="AB959" s="280"/>
      <c r="AC959" s="335"/>
      <c r="AD959" s="336"/>
      <c r="AE959" s="337"/>
      <c r="AF959" s="338"/>
      <c r="AG959" s="329"/>
      <c r="AH959" s="339"/>
      <c r="AI959" s="338"/>
      <c r="AJ959" s="338"/>
      <c r="AK959" s="338"/>
      <c r="AL959" s="329"/>
    </row>
    <row r="960" ht="24.75" customHeight="1">
      <c r="A960" s="328"/>
      <c r="B960" s="329"/>
      <c r="C960" s="340"/>
      <c r="D960" s="331"/>
      <c r="E960" s="332"/>
      <c r="F960" s="331"/>
      <c r="G960" s="331"/>
      <c r="H960" s="333"/>
      <c r="I960" s="333"/>
      <c r="J960" s="333"/>
      <c r="K960" s="332"/>
      <c r="L960" s="331"/>
      <c r="M960" s="329"/>
      <c r="N960" s="332"/>
      <c r="O960" s="332"/>
      <c r="P960" s="332"/>
      <c r="Q960" s="332"/>
      <c r="R960" s="333"/>
      <c r="S960" s="332"/>
      <c r="T960" s="329"/>
      <c r="U960" s="332"/>
      <c r="V960" s="334"/>
      <c r="W960" s="280"/>
      <c r="X960" s="280"/>
      <c r="Y960" s="280"/>
      <c r="Z960" s="280"/>
      <c r="AA960" s="280"/>
      <c r="AB960" s="280"/>
      <c r="AC960" s="335"/>
      <c r="AD960" s="336"/>
      <c r="AE960" s="337"/>
      <c r="AF960" s="338"/>
      <c r="AG960" s="329"/>
      <c r="AH960" s="339"/>
      <c r="AI960" s="338"/>
      <c r="AJ960" s="338"/>
      <c r="AK960" s="338"/>
      <c r="AL960" s="329"/>
    </row>
    <row r="961" ht="24.75" customHeight="1">
      <c r="A961" s="328"/>
      <c r="B961" s="329"/>
      <c r="C961" s="340"/>
      <c r="D961" s="331"/>
      <c r="E961" s="332"/>
      <c r="F961" s="331"/>
      <c r="G961" s="331"/>
      <c r="H961" s="333"/>
      <c r="I961" s="333"/>
      <c r="J961" s="333"/>
      <c r="K961" s="332"/>
      <c r="L961" s="331"/>
      <c r="M961" s="329"/>
      <c r="N961" s="332"/>
      <c r="O961" s="332"/>
      <c r="P961" s="332"/>
      <c r="Q961" s="332"/>
      <c r="R961" s="333"/>
      <c r="S961" s="332"/>
      <c r="T961" s="329"/>
      <c r="U961" s="332"/>
      <c r="V961" s="334"/>
      <c r="W961" s="280"/>
      <c r="X961" s="280"/>
      <c r="Y961" s="280"/>
      <c r="Z961" s="280"/>
      <c r="AA961" s="280"/>
      <c r="AB961" s="280"/>
      <c r="AC961" s="335"/>
      <c r="AD961" s="336"/>
      <c r="AE961" s="337"/>
      <c r="AF961" s="338"/>
      <c r="AG961" s="329"/>
      <c r="AH961" s="339"/>
      <c r="AI961" s="338"/>
      <c r="AJ961" s="338"/>
      <c r="AK961" s="338"/>
      <c r="AL961" s="329"/>
    </row>
    <row r="962" ht="24.75" customHeight="1">
      <c r="A962" s="328"/>
      <c r="B962" s="329"/>
      <c r="C962" s="340"/>
      <c r="D962" s="331"/>
      <c r="E962" s="332"/>
      <c r="F962" s="331"/>
      <c r="G962" s="331"/>
      <c r="H962" s="333"/>
      <c r="I962" s="333"/>
      <c r="J962" s="333"/>
      <c r="K962" s="332"/>
      <c r="L962" s="331"/>
      <c r="M962" s="329"/>
      <c r="N962" s="332"/>
      <c r="O962" s="332"/>
      <c r="P962" s="332"/>
      <c r="Q962" s="332"/>
      <c r="R962" s="333"/>
      <c r="S962" s="332"/>
      <c r="T962" s="329"/>
      <c r="U962" s="332"/>
      <c r="V962" s="334"/>
      <c r="W962" s="280"/>
      <c r="X962" s="280"/>
      <c r="Y962" s="280"/>
      <c r="Z962" s="280"/>
      <c r="AA962" s="280"/>
      <c r="AB962" s="280"/>
      <c r="AC962" s="335"/>
      <c r="AD962" s="336"/>
      <c r="AE962" s="337"/>
      <c r="AF962" s="338"/>
      <c r="AG962" s="329"/>
      <c r="AH962" s="339"/>
      <c r="AI962" s="338"/>
      <c r="AJ962" s="338"/>
      <c r="AK962" s="338"/>
      <c r="AL962" s="329"/>
    </row>
    <row r="963" ht="24.75" customHeight="1">
      <c r="A963" s="328"/>
      <c r="B963" s="329"/>
      <c r="C963" s="340"/>
      <c r="D963" s="331"/>
      <c r="E963" s="332"/>
      <c r="F963" s="331"/>
      <c r="G963" s="331"/>
      <c r="H963" s="333"/>
      <c r="I963" s="333"/>
      <c r="J963" s="333"/>
      <c r="K963" s="332"/>
      <c r="L963" s="331"/>
      <c r="M963" s="329"/>
      <c r="N963" s="332"/>
      <c r="O963" s="332"/>
      <c r="P963" s="332"/>
      <c r="Q963" s="332"/>
      <c r="R963" s="333"/>
      <c r="S963" s="332"/>
      <c r="T963" s="329"/>
      <c r="U963" s="332"/>
      <c r="V963" s="334"/>
      <c r="W963" s="280"/>
      <c r="X963" s="280"/>
      <c r="Y963" s="280"/>
      <c r="Z963" s="280"/>
      <c r="AA963" s="280"/>
      <c r="AB963" s="280"/>
      <c r="AC963" s="335"/>
      <c r="AD963" s="336"/>
      <c r="AE963" s="337"/>
      <c r="AF963" s="338"/>
      <c r="AG963" s="329"/>
      <c r="AH963" s="339"/>
      <c r="AI963" s="338"/>
      <c r="AJ963" s="338"/>
      <c r="AK963" s="338"/>
      <c r="AL963" s="329"/>
    </row>
    <row r="964" ht="24.75" customHeight="1">
      <c r="A964" s="328"/>
      <c r="B964" s="329"/>
      <c r="C964" s="340"/>
      <c r="D964" s="331"/>
      <c r="E964" s="332"/>
      <c r="F964" s="331"/>
      <c r="G964" s="331"/>
      <c r="H964" s="333"/>
      <c r="I964" s="333"/>
      <c r="J964" s="333"/>
      <c r="K964" s="332"/>
      <c r="L964" s="331"/>
      <c r="M964" s="329"/>
      <c r="N964" s="332"/>
      <c r="O964" s="332"/>
      <c r="P964" s="332"/>
      <c r="Q964" s="332"/>
      <c r="R964" s="333"/>
      <c r="S964" s="332"/>
      <c r="T964" s="329"/>
      <c r="U964" s="332"/>
      <c r="V964" s="334"/>
      <c r="W964" s="280"/>
      <c r="X964" s="280"/>
      <c r="Y964" s="280"/>
      <c r="Z964" s="280"/>
      <c r="AA964" s="280"/>
      <c r="AB964" s="280"/>
      <c r="AC964" s="335"/>
      <c r="AD964" s="336"/>
      <c r="AE964" s="337"/>
      <c r="AF964" s="338"/>
      <c r="AG964" s="329"/>
      <c r="AH964" s="339"/>
      <c r="AI964" s="338"/>
      <c r="AJ964" s="338"/>
      <c r="AK964" s="338"/>
      <c r="AL964" s="329"/>
    </row>
    <row r="965" ht="24.75" customHeight="1">
      <c r="A965" s="328"/>
      <c r="B965" s="329"/>
      <c r="C965" s="340"/>
      <c r="D965" s="331"/>
      <c r="E965" s="332"/>
      <c r="F965" s="331"/>
      <c r="G965" s="331"/>
      <c r="H965" s="333"/>
      <c r="I965" s="333"/>
      <c r="J965" s="333"/>
      <c r="K965" s="332"/>
      <c r="L965" s="331"/>
      <c r="M965" s="329"/>
      <c r="N965" s="332"/>
      <c r="O965" s="332"/>
      <c r="P965" s="332"/>
      <c r="Q965" s="332"/>
      <c r="R965" s="333"/>
      <c r="S965" s="332"/>
      <c r="T965" s="329"/>
      <c r="U965" s="332"/>
      <c r="V965" s="334"/>
      <c r="W965" s="280"/>
      <c r="X965" s="280"/>
      <c r="Y965" s="280"/>
      <c r="Z965" s="280"/>
      <c r="AA965" s="280"/>
      <c r="AB965" s="280"/>
      <c r="AC965" s="335"/>
      <c r="AD965" s="336"/>
      <c r="AE965" s="337"/>
      <c r="AF965" s="338"/>
      <c r="AG965" s="329"/>
      <c r="AH965" s="339"/>
      <c r="AI965" s="338"/>
      <c r="AJ965" s="338"/>
      <c r="AK965" s="338"/>
      <c r="AL965" s="329"/>
    </row>
    <row r="966" ht="24.75" customHeight="1">
      <c r="A966" s="328"/>
      <c r="B966" s="329"/>
      <c r="C966" s="340"/>
      <c r="D966" s="331"/>
      <c r="E966" s="332"/>
      <c r="F966" s="331"/>
      <c r="G966" s="331"/>
      <c r="H966" s="333"/>
      <c r="I966" s="333"/>
      <c r="J966" s="333"/>
      <c r="K966" s="332"/>
      <c r="L966" s="331"/>
      <c r="M966" s="329"/>
      <c r="N966" s="332"/>
      <c r="O966" s="332"/>
      <c r="P966" s="332"/>
      <c r="Q966" s="332"/>
      <c r="R966" s="333"/>
      <c r="S966" s="332"/>
      <c r="T966" s="329"/>
      <c r="U966" s="332"/>
      <c r="V966" s="334"/>
      <c r="W966" s="280"/>
      <c r="X966" s="280"/>
      <c r="Y966" s="280"/>
      <c r="Z966" s="280"/>
      <c r="AA966" s="280"/>
      <c r="AB966" s="280"/>
      <c r="AC966" s="335"/>
      <c r="AD966" s="336"/>
      <c r="AE966" s="337"/>
      <c r="AF966" s="338"/>
      <c r="AG966" s="329"/>
      <c r="AH966" s="339"/>
      <c r="AI966" s="338"/>
      <c r="AJ966" s="338"/>
      <c r="AK966" s="338"/>
      <c r="AL966" s="329"/>
    </row>
    <row r="967" ht="24.75" customHeight="1">
      <c r="A967" s="328"/>
      <c r="B967" s="329"/>
      <c r="C967" s="340"/>
      <c r="D967" s="331"/>
      <c r="E967" s="332"/>
      <c r="F967" s="331"/>
      <c r="G967" s="331"/>
      <c r="H967" s="333"/>
      <c r="I967" s="333"/>
      <c r="J967" s="333"/>
      <c r="K967" s="332"/>
      <c r="L967" s="331"/>
      <c r="M967" s="329"/>
      <c r="N967" s="332"/>
      <c r="O967" s="332"/>
      <c r="P967" s="332"/>
      <c r="Q967" s="332"/>
      <c r="R967" s="333"/>
      <c r="S967" s="332"/>
      <c r="T967" s="329"/>
      <c r="U967" s="332"/>
      <c r="V967" s="334"/>
      <c r="W967" s="280"/>
      <c r="X967" s="280"/>
      <c r="Y967" s="280"/>
      <c r="Z967" s="280"/>
      <c r="AA967" s="280"/>
      <c r="AB967" s="280"/>
      <c r="AC967" s="335"/>
      <c r="AD967" s="336"/>
      <c r="AE967" s="337"/>
      <c r="AF967" s="338"/>
      <c r="AG967" s="329"/>
      <c r="AH967" s="339"/>
      <c r="AI967" s="338"/>
      <c r="AJ967" s="338"/>
      <c r="AK967" s="338"/>
      <c r="AL967" s="329"/>
    </row>
    <row r="968" ht="24.75" customHeight="1">
      <c r="A968" s="328"/>
      <c r="B968" s="329"/>
      <c r="C968" s="340"/>
      <c r="D968" s="331"/>
      <c r="E968" s="332"/>
      <c r="F968" s="331"/>
      <c r="G968" s="331"/>
      <c r="H968" s="333"/>
      <c r="I968" s="333"/>
      <c r="J968" s="333"/>
      <c r="K968" s="332"/>
      <c r="L968" s="331"/>
      <c r="M968" s="329"/>
      <c r="N968" s="332"/>
      <c r="O968" s="332"/>
      <c r="P968" s="332"/>
      <c r="Q968" s="332"/>
      <c r="R968" s="333"/>
      <c r="S968" s="332"/>
      <c r="T968" s="329"/>
      <c r="U968" s="332"/>
      <c r="V968" s="334"/>
      <c r="W968" s="280"/>
      <c r="X968" s="280"/>
      <c r="Y968" s="280"/>
      <c r="Z968" s="280"/>
      <c r="AA968" s="280"/>
      <c r="AB968" s="280"/>
      <c r="AC968" s="335"/>
      <c r="AD968" s="336"/>
      <c r="AE968" s="337"/>
      <c r="AF968" s="338"/>
      <c r="AG968" s="329"/>
      <c r="AH968" s="339"/>
      <c r="AI968" s="338"/>
      <c r="AJ968" s="338"/>
      <c r="AK968" s="338"/>
      <c r="AL968" s="329"/>
    </row>
    <row r="969" ht="24.75" customHeight="1">
      <c r="A969" s="328"/>
      <c r="B969" s="329"/>
      <c r="C969" s="340"/>
      <c r="D969" s="331"/>
      <c r="E969" s="332"/>
      <c r="F969" s="331"/>
      <c r="G969" s="331"/>
      <c r="H969" s="333"/>
      <c r="I969" s="333"/>
      <c r="J969" s="333"/>
      <c r="K969" s="332"/>
      <c r="L969" s="331"/>
      <c r="M969" s="329"/>
      <c r="N969" s="332"/>
      <c r="O969" s="332"/>
      <c r="P969" s="332"/>
      <c r="Q969" s="332"/>
      <c r="R969" s="333"/>
      <c r="S969" s="332"/>
      <c r="T969" s="329"/>
      <c r="U969" s="332"/>
      <c r="V969" s="334"/>
      <c r="W969" s="280"/>
      <c r="X969" s="280"/>
      <c r="Y969" s="280"/>
      <c r="Z969" s="280"/>
      <c r="AA969" s="280"/>
      <c r="AB969" s="280"/>
      <c r="AC969" s="335"/>
      <c r="AD969" s="336"/>
      <c r="AE969" s="337"/>
      <c r="AF969" s="338"/>
      <c r="AG969" s="329"/>
      <c r="AH969" s="339"/>
      <c r="AI969" s="338"/>
      <c r="AJ969" s="338"/>
      <c r="AK969" s="338"/>
      <c r="AL969" s="329"/>
    </row>
    <row r="970" ht="24.75" customHeight="1">
      <c r="A970" s="328"/>
      <c r="B970" s="329"/>
      <c r="C970" s="340"/>
      <c r="D970" s="331"/>
      <c r="E970" s="332"/>
      <c r="F970" s="331"/>
      <c r="G970" s="331"/>
      <c r="H970" s="333"/>
      <c r="I970" s="333"/>
      <c r="J970" s="333"/>
      <c r="K970" s="332"/>
      <c r="L970" s="331"/>
      <c r="M970" s="329"/>
      <c r="N970" s="332"/>
      <c r="O970" s="332"/>
      <c r="P970" s="332"/>
      <c r="Q970" s="332"/>
      <c r="R970" s="333"/>
      <c r="S970" s="332"/>
      <c r="T970" s="329"/>
      <c r="U970" s="332"/>
      <c r="V970" s="334"/>
      <c r="W970" s="280"/>
      <c r="X970" s="280"/>
      <c r="Y970" s="280"/>
      <c r="Z970" s="280"/>
      <c r="AA970" s="280"/>
      <c r="AB970" s="280"/>
      <c r="AC970" s="335"/>
      <c r="AD970" s="336"/>
      <c r="AE970" s="337"/>
      <c r="AF970" s="338"/>
      <c r="AG970" s="329"/>
      <c r="AH970" s="339"/>
      <c r="AI970" s="338"/>
      <c r="AJ970" s="338"/>
      <c r="AK970" s="338"/>
      <c r="AL970" s="329"/>
    </row>
    <row r="971" ht="24.75" customHeight="1">
      <c r="A971" s="328"/>
      <c r="B971" s="329"/>
      <c r="C971" s="340"/>
      <c r="D971" s="331"/>
      <c r="E971" s="332"/>
      <c r="F971" s="331"/>
      <c r="G971" s="331"/>
      <c r="H971" s="333"/>
      <c r="I971" s="333"/>
      <c r="J971" s="333"/>
      <c r="K971" s="332"/>
      <c r="L971" s="331"/>
      <c r="M971" s="329"/>
      <c r="N971" s="332"/>
      <c r="O971" s="332"/>
      <c r="P971" s="332"/>
      <c r="Q971" s="332"/>
      <c r="R971" s="333"/>
      <c r="S971" s="332"/>
      <c r="T971" s="329"/>
      <c r="U971" s="332"/>
      <c r="V971" s="334"/>
      <c r="W971" s="280"/>
      <c r="X971" s="280"/>
      <c r="Y971" s="280"/>
      <c r="Z971" s="280"/>
      <c r="AA971" s="280"/>
      <c r="AB971" s="280"/>
      <c r="AC971" s="335"/>
      <c r="AD971" s="336"/>
      <c r="AE971" s="337"/>
      <c r="AF971" s="338"/>
      <c r="AG971" s="329"/>
      <c r="AH971" s="339"/>
      <c r="AI971" s="338"/>
      <c r="AJ971" s="338"/>
      <c r="AK971" s="338"/>
      <c r="AL971" s="329"/>
    </row>
    <row r="972" ht="24.75" customHeight="1">
      <c r="A972" s="328"/>
      <c r="B972" s="329"/>
      <c r="C972" s="340"/>
      <c r="D972" s="331"/>
      <c r="E972" s="332"/>
      <c r="F972" s="331"/>
      <c r="G972" s="331"/>
      <c r="H972" s="333"/>
      <c r="I972" s="333"/>
      <c r="J972" s="333"/>
      <c r="K972" s="332"/>
      <c r="L972" s="331"/>
      <c r="M972" s="329"/>
      <c r="N972" s="332"/>
      <c r="O972" s="332"/>
      <c r="P972" s="332"/>
      <c r="Q972" s="332"/>
      <c r="R972" s="333"/>
      <c r="S972" s="332"/>
      <c r="T972" s="329"/>
      <c r="U972" s="332"/>
      <c r="V972" s="334"/>
      <c r="W972" s="280"/>
      <c r="X972" s="280"/>
      <c r="Y972" s="280"/>
      <c r="Z972" s="280"/>
      <c r="AA972" s="280"/>
      <c r="AB972" s="280"/>
      <c r="AC972" s="335"/>
      <c r="AD972" s="336"/>
      <c r="AE972" s="337"/>
      <c r="AF972" s="338"/>
      <c r="AG972" s="329"/>
      <c r="AH972" s="339"/>
      <c r="AI972" s="338"/>
      <c r="AJ972" s="338"/>
      <c r="AK972" s="338"/>
      <c r="AL972" s="329"/>
    </row>
    <row r="973" ht="24.75" customHeight="1">
      <c r="A973" s="328"/>
      <c r="B973" s="329"/>
      <c r="C973" s="340"/>
      <c r="D973" s="331"/>
      <c r="E973" s="332"/>
      <c r="F973" s="331"/>
      <c r="G973" s="331"/>
      <c r="H973" s="333"/>
      <c r="I973" s="333"/>
      <c r="J973" s="333"/>
      <c r="K973" s="332"/>
      <c r="L973" s="331"/>
      <c r="M973" s="329"/>
      <c r="N973" s="332"/>
      <c r="O973" s="332"/>
      <c r="P973" s="332"/>
      <c r="Q973" s="332"/>
      <c r="R973" s="333"/>
      <c r="S973" s="332"/>
      <c r="T973" s="329"/>
      <c r="U973" s="332"/>
      <c r="V973" s="334"/>
      <c r="W973" s="280"/>
      <c r="X973" s="280"/>
      <c r="Y973" s="280"/>
      <c r="Z973" s="280"/>
      <c r="AA973" s="280"/>
      <c r="AB973" s="280"/>
      <c r="AC973" s="335"/>
      <c r="AD973" s="336"/>
      <c r="AE973" s="337"/>
      <c r="AF973" s="338"/>
      <c r="AG973" s="329"/>
      <c r="AH973" s="339"/>
      <c r="AI973" s="338"/>
      <c r="AJ973" s="338"/>
      <c r="AK973" s="338"/>
      <c r="AL973" s="329"/>
    </row>
    <row r="974" ht="24.75" customHeight="1">
      <c r="A974" s="328"/>
      <c r="B974" s="329"/>
      <c r="C974" s="340"/>
      <c r="D974" s="331"/>
      <c r="E974" s="332"/>
      <c r="F974" s="331"/>
      <c r="G974" s="331"/>
      <c r="H974" s="333"/>
      <c r="I974" s="333"/>
      <c r="J974" s="333"/>
      <c r="K974" s="332"/>
      <c r="L974" s="331"/>
      <c r="M974" s="329"/>
      <c r="N974" s="332"/>
      <c r="O974" s="332"/>
      <c r="P974" s="332"/>
      <c r="Q974" s="332"/>
      <c r="R974" s="333"/>
      <c r="S974" s="332"/>
      <c r="T974" s="329"/>
      <c r="U974" s="332"/>
      <c r="V974" s="334"/>
      <c r="W974" s="280"/>
      <c r="X974" s="280"/>
      <c r="Y974" s="280"/>
      <c r="Z974" s="280"/>
      <c r="AA974" s="280"/>
      <c r="AB974" s="280"/>
      <c r="AC974" s="335"/>
      <c r="AD974" s="336"/>
      <c r="AE974" s="337"/>
      <c r="AF974" s="338"/>
      <c r="AG974" s="329"/>
      <c r="AH974" s="339"/>
      <c r="AI974" s="338"/>
      <c r="AJ974" s="338"/>
      <c r="AK974" s="338"/>
      <c r="AL974" s="329"/>
    </row>
    <row r="975" ht="24.75" customHeight="1">
      <c r="A975" s="328"/>
      <c r="B975" s="329"/>
      <c r="C975" s="340"/>
      <c r="D975" s="331"/>
      <c r="E975" s="332"/>
      <c r="F975" s="331"/>
      <c r="G975" s="331"/>
      <c r="H975" s="333"/>
      <c r="I975" s="333"/>
      <c r="J975" s="333"/>
      <c r="K975" s="332"/>
      <c r="L975" s="331"/>
      <c r="M975" s="329"/>
      <c r="N975" s="332"/>
      <c r="O975" s="332"/>
      <c r="P975" s="332"/>
      <c r="Q975" s="332"/>
      <c r="R975" s="333"/>
      <c r="S975" s="332"/>
      <c r="T975" s="329"/>
      <c r="U975" s="332"/>
      <c r="V975" s="334"/>
      <c r="W975" s="280"/>
      <c r="X975" s="280"/>
      <c r="Y975" s="280"/>
      <c r="Z975" s="280"/>
      <c r="AA975" s="280"/>
      <c r="AB975" s="280"/>
      <c r="AC975" s="335"/>
      <c r="AD975" s="336"/>
      <c r="AE975" s="337"/>
      <c r="AF975" s="338"/>
      <c r="AG975" s="329"/>
      <c r="AH975" s="339"/>
      <c r="AI975" s="338"/>
      <c r="AJ975" s="338"/>
      <c r="AK975" s="338"/>
      <c r="AL975" s="329"/>
    </row>
    <row r="976" ht="24.75" customHeight="1">
      <c r="A976" s="328"/>
      <c r="B976" s="329"/>
      <c r="C976" s="340"/>
      <c r="D976" s="331"/>
      <c r="E976" s="332"/>
      <c r="F976" s="331"/>
      <c r="G976" s="331"/>
      <c r="H976" s="333"/>
      <c r="I976" s="333"/>
      <c r="J976" s="333"/>
      <c r="K976" s="332"/>
      <c r="L976" s="331"/>
      <c r="M976" s="329"/>
      <c r="N976" s="332"/>
      <c r="O976" s="332"/>
      <c r="P976" s="332"/>
      <c r="Q976" s="332"/>
      <c r="R976" s="333"/>
      <c r="S976" s="332"/>
      <c r="T976" s="329"/>
      <c r="U976" s="332"/>
      <c r="V976" s="334"/>
      <c r="W976" s="280"/>
      <c r="X976" s="280"/>
      <c r="Y976" s="280"/>
      <c r="Z976" s="280"/>
      <c r="AA976" s="280"/>
      <c r="AB976" s="280"/>
      <c r="AC976" s="335"/>
      <c r="AD976" s="336"/>
      <c r="AE976" s="337"/>
      <c r="AF976" s="338"/>
      <c r="AG976" s="329"/>
      <c r="AH976" s="339"/>
      <c r="AI976" s="338"/>
      <c r="AJ976" s="338"/>
      <c r="AK976" s="338"/>
      <c r="AL976" s="329"/>
    </row>
    <row r="977" ht="24.75" customHeight="1">
      <c r="A977" s="328"/>
      <c r="B977" s="329"/>
      <c r="C977" s="340"/>
      <c r="D977" s="331"/>
      <c r="E977" s="332"/>
      <c r="F977" s="331"/>
      <c r="G977" s="331"/>
      <c r="H977" s="333"/>
      <c r="I977" s="333"/>
      <c r="J977" s="333"/>
      <c r="K977" s="332"/>
      <c r="L977" s="331"/>
      <c r="M977" s="329"/>
      <c r="N977" s="332"/>
      <c r="O977" s="332"/>
      <c r="P977" s="332"/>
      <c r="Q977" s="332"/>
      <c r="R977" s="333"/>
      <c r="S977" s="332"/>
      <c r="T977" s="329"/>
      <c r="U977" s="332"/>
      <c r="V977" s="334"/>
      <c r="W977" s="280"/>
      <c r="X977" s="280"/>
      <c r="Y977" s="280"/>
      <c r="Z977" s="280"/>
      <c r="AA977" s="280"/>
      <c r="AB977" s="280"/>
      <c r="AC977" s="335"/>
      <c r="AD977" s="336"/>
      <c r="AE977" s="337"/>
      <c r="AF977" s="338"/>
      <c r="AG977" s="329"/>
      <c r="AH977" s="339"/>
      <c r="AI977" s="338"/>
      <c r="AJ977" s="338"/>
      <c r="AK977" s="338"/>
      <c r="AL977" s="329"/>
    </row>
    <row r="978" ht="24.75" customHeight="1">
      <c r="A978" s="328"/>
      <c r="B978" s="329"/>
      <c r="C978" s="340"/>
      <c r="D978" s="331"/>
      <c r="E978" s="332"/>
      <c r="F978" s="331"/>
      <c r="G978" s="331"/>
      <c r="H978" s="333"/>
      <c r="I978" s="333"/>
      <c r="J978" s="333"/>
      <c r="K978" s="332"/>
      <c r="L978" s="331"/>
      <c r="M978" s="329"/>
      <c r="N978" s="332"/>
      <c r="O978" s="332"/>
      <c r="P978" s="332"/>
      <c r="Q978" s="332"/>
      <c r="R978" s="333"/>
      <c r="S978" s="332"/>
      <c r="T978" s="329"/>
      <c r="U978" s="332"/>
      <c r="V978" s="334"/>
      <c r="W978" s="280"/>
      <c r="X978" s="280"/>
      <c r="Y978" s="280"/>
      <c r="Z978" s="280"/>
      <c r="AA978" s="280"/>
      <c r="AB978" s="280"/>
      <c r="AC978" s="335"/>
      <c r="AD978" s="336"/>
      <c r="AE978" s="337"/>
      <c r="AF978" s="338"/>
      <c r="AG978" s="329"/>
      <c r="AH978" s="339"/>
      <c r="AI978" s="338"/>
      <c r="AJ978" s="338"/>
      <c r="AK978" s="338"/>
      <c r="AL978" s="329"/>
    </row>
    <row r="979" ht="24.75" customHeight="1">
      <c r="A979" s="328"/>
      <c r="B979" s="329"/>
      <c r="C979" s="340"/>
      <c r="D979" s="331"/>
      <c r="E979" s="332"/>
      <c r="F979" s="331"/>
      <c r="G979" s="331"/>
      <c r="H979" s="333"/>
      <c r="I979" s="333"/>
      <c r="J979" s="333"/>
      <c r="K979" s="332"/>
      <c r="L979" s="331"/>
      <c r="M979" s="329"/>
      <c r="N979" s="332"/>
      <c r="O979" s="332"/>
      <c r="P979" s="332"/>
      <c r="Q979" s="332"/>
      <c r="R979" s="333"/>
      <c r="S979" s="332"/>
      <c r="T979" s="329"/>
      <c r="U979" s="332"/>
      <c r="V979" s="334"/>
      <c r="W979" s="280"/>
      <c r="X979" s="280"/>
      <c r="Y979" s="280"/>
      <c r="Z979" s="280"/>
      <c r="AA979" s="280"/>
      <c r="AB979" s="280"/>
      <c r="AC979" s="335"/>
      <c r="AD979" s="336"/>
      <c r="AE979" s="337"/>
      <c r="AF979" s="338"/>
      <c r="AG979" s="329"/>
      <c r="AH979" s="339"/>
      <c r="AI979" s="338"/>
      <c r="AJ979" s="338"/>
      <c r="AK979" s="338"/>
      <c r="AL979" s="329"/>
    </row>
    <row r="980" ht="24.75" customHeight="1">
      <c r="A980" s="328"/>
      <c r="B980" s="329"/>
      <c r="C980" s="340"/>
      <c r="D980" s="331"/>
      <c r="E980" s="332"/>
      <c r="F980" s="331"/>
      <c r="G980" s="331"/>
      <c r="H980" s="333"/>
      <c r="I980" s="333"/>
      <c r="J980" s="333"/>
      <c r="K980" s="332"/>
      <c r="L980" s="331"/>
      <c r="M980" s="329"/>
      <c r="N980" s="332"/>
      <c r="O980" s="332"/>
      <c r="P980" s="332"/>
      <c r="Q980" s="332"/>
      <c r="R980" s="333"/>
      <c r="S980" s="332"/>
      <c r="T980" s="329"/>
      <c r="U980" s="332"/>
      <c r="V980" s="334"/>
      <c r="W980" s="280"/>
      <c r="X980" s="280"/>
      <c r="Y980" s="280"/>
      <c r="Z980" s="280"/>
      <c r="AA980" s="280"/>
      <c r="AB980" s="280"/>
      <c r="AC980" s="335"/>
      <c r="AD980" s="336"/>
      <c r="AE980" s="337"/>
      <c r="AF980" s="338"/>
      <c r="AG980" s="329"/>
      <c r="AH980" s="339"/>
      <c r="AI980" s="338"/>
      <c r="AJ980" s="338"/>
      <c r="AK980" s="338"/>
      <c r="AL980" s="329"/>
    </row>
    <row r="981" ht="24.75" customHeight="1">
      <c r="A981" s="328"/>
      <c r="B981" s="329"/>
      <c r="C981" s="340"/>
      <c r="D981" s="331"/>
      <c r="E981" s="332"/>
      <c r="F981" s="331"/>
      <c r="G981" s="331"/>
      <c r="H981" s="333"/>
      <c r="I981" s="333"/>
      <c r="J981" s="333"/>
      <c r="K981" s="332"/>
      <c r="L981" s="331"/>
      <c r="M981" s="329"/>
      <c r="N981" s="332"/>
      <c r="O981" s="332"/>
      <c r="P981" s="332"/>
      <c r="Q981" s="332"/>
      <c r="R981" s="333"/>
      <c r="S981" s="332"/>
      <c r="T981" s="329"/>
      <c r="U981" s="332"/>
      <c r="V981" s="334"/>
      <c r="W981" s="280"/>
      <c r="X981" s="280"/>
      <c r="Y981" s="280"/>
      <c r="Z981" s="280"/>
      <c r="AA981" s="280"/>
      <c r="AB981" s="280"/>
      <c r="AC981" s="335"/>
      <c r="AD981" s="336"/>
      <c r="AE981" s="337"/>
      <c r="AF981" s="338"/>
      <c r="AG981" s="329"/>
      <c r="AH981" s="339"/>
      <c r="AI981" s="338"/>
      <c r="AJ981" s="338"/>
      <c r="AK981" s="338"/>
      <c r="AL981" s="329"/>
    </row>
    <row r="982" ht="24.75" customHeight="1">
      <c r="A982" s="328"/>
      <c r="B982" s="329"/>
      <c r="C982" s="340"/>
      <c r="D982" s="331"/>
      <c r="E982" s="332"/>
      <c r="F982" s="331"/>
      <c r="G982" s="331"/>
      <c r="H982" s="333"/>
      <c r="I982" s="333"/>
      <c r="J982" s="333"/>
      <c r="K982" s="332"/>
      <c r="L982" s="331"/>
      <c r="M982" s="329"/>
      <c r="N982" s="332"/>
      <c r="O982" s="332"/>
      <c r="P982" s="332"/>
      <c r="Q982" s="332"/>
      <c r="R982" s="333"/>
      <c r="S982" s="332"/>
      <c r="T982" s="329"/>
      <c r="U982" s="332"/>
      <c r="V982" s="334"/>
      <c r="W982" s="280"/>
      <c r="X982" s="280"/>
      <c r="Y982" s="280"/>
      <c r="Z982" s="280"/>
      <c r="AA982" s="280"/>
      <c r="AB982" s="280"/>
      <c r="AC982" s="335"/>
      <c r="AD982" s="336"/>
      <c r="AE982" s="337"/>
      <c r="AF982" s="338"/>
      <c r="AG982" s="329"/>
      <c r="AH982" s="339"/>
      <c r="AI982" s="338"/>
      <c r="AJ982" s="338"/>
      <c r="AK982" s="338"/>
      <c r="AL982" s="329"/>
    </row>
    <row r="983" ht="24.75" customHeight="1">
      <c r="A983" s="328"/>
      <c r="B983" s="329"/>
      <c r="C983" s="340"/>
      <c r="D983" s="331"/>
      <c r="E983" s="332"/>
      <c r="F983" s="331"/>
      <c r="G983" s="331"/>
      <c r="H983" s="333"/>
      <c r="I983" s="333"/>
      <c r="J983" s="333"/>
      <c r="K983" s="332"/>
      <c r="L983" s="331"/>
      <c r="M983" s="329"/>
      <c r="N983" s="332"/>
      <c r="O983" s="332"/>
      <c r="P983" s="332"/>
      <c r="Q983" s="332"/>
      <c r="R983" s="333"/>
      <c r="S983" s="332"/>
      <c r="T983" s="329"/>
      <c r="U983" s="332"/>
      <c r="V983" s="334"/>
      <c r="W983" s="280"/>
      <c r="X983" s="280"/>
      <c r="Y983" s="280"/>
      <c r="Z983" s="280"/>
      <c r="AA983" s="280"/>
      <c r="AB983" s="280"/>
      <c r="AC983" s="335"/>
      <c r="AD983" s="336"/>
      <c r="AE983" s="337"/>
      <c r="AF983" s="338"/>
      <c r="AG983" s="329"/>
      <c r="AH983" s="339"/>
      <c r="AI983" s="338"/>
      <c r="AJ983" s="338"/>
      <c r="AK983" s="338"/>
      <c r="AL983" s="329"/>
    </row>
    <row r="984" ht="24.75" customHeight="1">
      <c r="A984" s="328"/>
      <c r="B984" s="329"/>
      <c r="C984" s="340"/>
      <c r="D984" s="331"/>
      <c r="E984" s="332"/>
      <c r="F984" s="331"/>
      <c r="G984" s="331"/>
      <c r="H984" s="333"/>
      <c r="I984" s="333"/>
      <c r="J984" s="333"/>
      <c r="K984" s="332"/>
      <c r="L984" s="331"/>
      <c r="M984" s="329"/>
      <c r="N984" s="332"/>
      <c r="O984" s="332"/>
      <c r="P984" s="332"/>
      <c r="Q984" s="332"/>
      <c r="R984" s="333"/>
      <c r="S984" s="332"/>
      <c r="T984" s="329"/>
      <c r="U984" s="332"/>
      <c r="V984" s="334"/>
      <c r="W984" s="280"/>
      <c r="X984" s="280"/>
      <c r="Y984" s="280"/>
      <c r="Z984" s="280"/>
      <c r="AA984" s="280"/>
      <c r="AB984" s="280"/>
      <c r="AC984" s="335"/>
      <c r="AD984" s="336"/>
      <c r="AE984" s="337"/>
      <c r="AF984" s="338"/>
      <c r="AG984" s="329"/>
      <c r="AH984" s="339"/>
      <c r="AI984" s="338"/>
      <c r="AJ984" s="338"/>
      <c r="AK984" s="338"/>
      <c r="AL984" s="329"/>
    </row>
    <row r="985" ht="24.75" customHeight="1">
      <c r="A985" s="328"/>
      <c r="B985" s="329"/>
      <c r="C985" s="340"/>
      <c r="D985" s="331"/>
      <c r="E985" s="332"/>
      <c r="F985" s="331"/>
      <c r="G985" s="331"/>
      <c r="H985" s="333"/>
      <c r="I985" s="333"/>
      <c r="J985" s="333"/>
      <c r="K985" s="332"/>
      <c r="L985" s="331"/>
      <c r="M985" s="329"/>
      <c r="N985" s="332"/>
      <c r="O985" s="332"/>
      <c r="P985" s="332"/>
      <c r="Q985" s="332"/>
      <c r="R985" s="333"/>
      <c r="S985" s="332"/>
      <c r="T985" s="329"/>
      <c r="U985" s="332"/>
      <c r="V985" s="334"/>
      <c r="W985" s="280"/>
      <c r="X985" s="280"/>
      <c r="Y985" s="280"/>
      <c r="Z985" s="280"/>
      <c r="AA985" s="280"/>
      <c r="AB985" s="280"/>
      <c r="AC985" s="335"/>
      <c r="AD985" s="336"/>
      <c r="AE985" s="337"/>
      <c r="AF985" s="338"/>
      <c r="AG985" s="329"/>
      <c r="AH985" s="339"/>
      <c r="AI985" s="338"/>
      <c r="AJ985" s="338"/>
      <c r="AK985" s="338"/>
      <c r="AL985" s="329"/>
    </row>
    <row r="986" ht="24.75" customHeight="1">
      <c r="A986" s="328"/>
      <c r="B986" s="329"/>
      <c r="C986" s="340"/>
      <c r="D986" s="331"/>
      <c r="E986" s="332"/>
      <c r="F986" s="331"/>
      <c r="G986" s="331"/>
      <c r="H986" s="333"/>
      <c r="I986" s="333"/>
      <c r="J986" s="333"/>
      <c r="K986" s="332"/>
      <c r="L986" s="331"/>
      <c r="M986" s="329"/>
      <c r="N986" s="332"/>
      <c r="O986" s="332"/>
      <c r="P986" s="332"/>
      <c r="Q986" s="332"/>
      <c r="R986" s="333"/>
      <c r="S986" s="332"/>
      <c r="T986" s="329"/>
      <c r="U986" s="332"/>
      <c r="V986" s="334"/>
      <c r="W986" s="280"/>
      <c r="X986" s="280"/>
      <c r="Y986" s="280"/>
      <c r="Z986" s="280"/>
      <c r="AA986" s="280"/>
      <c r="AB986" s="280"/>
      <c r="AC986" s="335"/>
      <c r="AD986" s="336"/>
      <c r="AE986" s="337"/>
      <c r="AF986" s="338"/>
      <c r="AG986" s="329"/>
      <c r="AH986" s="339"/>
      <c r="AI986" s="338"/>
      <c r="AJ986" s="338"/>
      <c r="AK986" s="338"/>
      <c r="AL986" s="329"/>
    </row>
    <row r="987" ht="24.75" customHeight="1">
      <c r="A987" s="328"/>
      <c r="B987" s="329"/>
      <c r="C987" s="340"/>
      <c r="D987" s="331"/>
      <c r="E987" s="332"/>
      <c r="F987" s="331"/>
      <c r="G987" s="331"/>
      <c r="H987" s="333"/>
      <c r="I987" s="333"/>
      <c r="J987" s="333"/>
      <c r="K987" s="332"/>
      <c r="L987" s="331"/>
      <c r="M987" s="329"/>
      <c r="N987" s="332"/>
      <c r="O987" s="332"/>
      <c r="P987" s="332"/>
      <c r="Q987" s="332"/>
      <c r="R987" s="333"/>
      <c r="S987" s="332"/>
      <c r="T987" s="329"/>
      <c r="U987" s="332"/>
      <c r="V987" s="334"/>
      <c r="W987" s="280"/>
      <c r="X987" s="280"/>
      <c r="Y987" s="280"/>
      <c r="Z987" s="280"/>
      <c r="AA987" s="280"/>
      <c r="AB987" s="280"/>
      <c r="AC987" s="335"/>
      <c r="AD987" s="336"/>
      <c r="AE987" s="337"/>
      <c r="AF987" s="338"/>
      <c r="AG987" s="329"/>
      <c r="AH987" s="339"/>
      <c r="AI987" s="338"/>
      <c r="AJ987" s="338"/>
      <c r="AK987" s="338"/>
      <c r="AL987" s="329"/>
    </row>
    <row r="988" ht="24.75" customHeight="1">
      <c r="A988" s="328"/>
      <c r="B988" s="329"/>
      <c r="C988" s="340"/>
      <c r="D988" s="331"/>
      <c r="E988" s="332"/>
      <c r="F988" s="331"/>
      <c r="G988" s="331"/>
      <c r="H988" s="333"/>
      <c r="I988" s="333"/>
      <c r="J988" s="333"/>
      <c r="K988" s="332"/>
      <c r="L988" s="331"/>
      <c r="M988" s="329"/>
      <c r="N988" s="332"/>
      <c r="O988" s="332"/>
      <c r="P988" s="332"/>
      <c r="Q988" s="332"/>
      <c r="R988" s="333"/>
      <c r="S988" s="332"/>
      <c r="T988" s="329"/>
      <c r="U988" s="332"/>
      <c r="V988" s="334"/>
      <c r="W988" s="280"/>
      <c r="X988" s="280"/>
      <c r="Y988" s="280"/>
      <c r="Z988" s="280"/>
      <c r="AA988" s="280"/>
      <c r="AB988" s="280"/>
      <c r="AC988" s="335"/>
      <c r="AD988" s="336"/>
      <c r="AE988" s="337"/>
      <c r="AF988" s="338"/>
      <c r="AG988" s="329"/>
      <c r="AH988" s="339"/>
      <c r="AI988" s="338"/>
      <c r="AJ988" s="338"/>
      <c r="AK988" s="338"/>
      <c r="AL988" s="329"/>
    </row>
    <row r="989" ht="24.75" customHeight="1">
      <c r="A989" s="328"/>
      <c r="B989" s="329"/>
      <c r="C989" s="340"/>
      <c r="D989" s="331"/>
      <c r="E989" s="332"/>
      <c r="F989" s="331"/>
      <c r="G989" s="331"/>
      <c r="H989" s="333"/>
      <c r="I989" s="333"/>
      <c r="J989" s="333"/>
      <c r="K989" s="332"/>
      <c r="L989" s="331"/>
      <c r="M989" s="329"/>
      <c r="N989" s="332"/>
      <c r="O989" s="332"/>
      <c r="P989" s="332"/>
      <c r="Q989" s="332"/>
      <c r="R989" s="333"/>
      <c r="S989" s="332"/>
      <c r="T989" s="329"/>
      <c r="U989" s="332"/>
      <c r="V989" s="334"/>
      <c r="W989" s="280"/>
      <c r="X989" s="280"/>
      <c r="Y989" s="280"/>
      <c r="Z989" s="280"/>
      <c r="AA989" s="280"/>
      <c r="AB989" s="280"/>
      <c r="AC989" s="335"/>
      <c r="AD989" s="336"/>
      <c r="AE989" s="337"/>
      <c r="AF989" s="338"/>
      <c r="AG989" s="329"/>
      <c r="AH989" s="339"/>
      <c r="AI989" s="338"/>
      <c r="AJ989" s="338"/>
      <c r="AK989" s="338"/>
      <c r="AL989" s="329"/>
    </row>
    <row r="990" ht="24.75" customHeight="1">
      <c r="A990" s="328"/>
      <c r="B990" s="329"/>
      <c r="C990" s="340"/>
      <c r="D990" s="331"/>
      <c r="E990" s="332"/>
      <c r="F990" s="331"/>
      <c r="G990" s="331"/>
      <c r="H990" s="333"/>
      <c r="I990" s="333"/>
      <c r="J990" s="333"/>
      <c r="K990" s="332"/>
      <c r="L990" s="331"/>
      <c r="M990" s="329"/>
      <c r="N990" s="332"/>
      <c r="O990" s="332"/>
      <c r="P990" s="332"/>
      <c r="Q990" s="332"/>
      <c r="R990" s="333"/>
      <c r="S990" s="332"/>
      <c r="T990" s="329"/>
      <c r="U990" s="332"/>
      <c r="V990" s="334"/>
      <c r="W990" s="280"/>
      <c r="X990" s="280"/>
      <c r="Y990" s="280"/>
      <c r="Z990" s="280"/>
      <c r="AA990" s="280"/>
      <c r="AB990" s="280"/>
      <c r="AC990" s="335"/>
      <c r="AD990" s="336"/>
      <c r="AE990" s="337"/>
      <c r="AF990" s="338"/>
      <c r="AG990" s="329"/>
      <c r="AH990" s="339"/>
      <c r="AI990" s="338"/>
      <c r="AJ990" s="338"/>
      <c r="AK990" s="338"/>
      <c r="AL990" s="329"/>
    </row>
    <row r="991" ht="24.75" customHeight="1">
      <c r="A991" s="328"/>
      <c r="B991" s="329"/>
      <c r="C991" s="340"/>
      <c r="D991" s="331"/>
      <c r="E991" s="332"/>
      <c r="F991" s="331"/>
      <c r="G991" s="331"/>
      <c r="H991" s="333"/>
      <c r="I991" s="333"/>
      <c r="J991" s="333"/>
      <c r="K991" s="332"/>
      <c r="L991" s="331"/>
      <c r="M991" s="329"/>
      <c r="N991" s="332"/>
      <c r="O991" s="332"/>
      <c r="P991" s="332"/>
      <c r="Q991" s="332"/>
      <c r="R991" s="333"/>
      <c r="S991" s="332"/>
      <c r="T991" s="329"/>
      <c r="U991" s="332"/>
      <c r="V991" s="334"/>
      <c r="W991" s="280"/>
      <c r="X991" s="280"/>
      <c r="Y991" s="280"/>
      <c r="Z991" s="280"/>
      <c r="AA991" s="280"/>
      <c r="AB991" s="280"/>
      <c r="AC991" s="335"/>
      <c r="AD991" s="336"/>
      <c r="AE991" s="337"/>
      <c r="AF991" s="338"/>
      <c r="AG991" s="329"/>
      <c r="AH991" s="339"/>
      <c r="AI991" s="338"/>
      <c r="AJ991" s="338"/>
      <c r="AK991" s="338"/>
      <c r="AL991" s="329"/>
    </row>
    <row r="992" ht="24.75" customHeight="1">
      <c r="A992" s="328"/>
      <c r="B992" s="329"/>
      <c r="C992" s="340"/>
      <c r="D992" s="331"/>
      <c r="E992" s="332"/>
      <c r="F992" s="331"/>
      <c r="G992" s="331"/>
      <c r="H992" s="333"/>
      <c r="I992" s="333"/>
      <c r="J992" s="333"/>
      <c r="K992" s="332"/>
      <c r="L992" s="331"/>
      <c r="M992" s="329"/>
      <c r="N992" s="332"/>
      <c r="O992" s="332"/>
      <c r="P992" s="332"/>
      <c r="Q992" s="332"/>
      <c r="R992" s="333"/>
      <c r="S992" s="332"/>
      <c r="T992" s="329"/>
      <c r="U992" s="332"/>
      <c r="V992" s="334"/>
      <c r="W992" s="280"/>
      <c r="X992" s="280"/>
      <c r="Y992" s="280"/>
      <c r="Z992" s="280"/>
      <c r="AA992" s="280"/>
      <c r="AB992" s="280"/>
      <c r="AC992" s="335"/>
      <c r="AD992" s="336"/>
      <c r="AE992" s="337"/>
      <c r="AF992" s="338"/>
      <c r="AG992" s="329"/>
      <c r="AH992" s="339"/>
      <c r="AI992" s="338"/>
      <c r="AJ992" s="338"/>
      <c r="AK992" s="338"/>
      <c r="AL992" s="329"/>
    </row>
    <row r="993" ht="24.75" customHeight="1">
      <c r="A993" s="328"/>
      <c r="B993" s="329"/>
      <c r="C993" s="340"/>
      <c r="D993" s="331"/>
      <c r="E993" s="332"/>
      <c r="F993" s="331"/>
      <c r="G993" s="331"/>
      <c r="H993" s="333"/>
      <c r="I993" s="333"/>
      <c r="J993" s="333"/>
      <c r="K993" s="332"/>
      <c r="L993" s="331"/>
      <c r="M993" s="329"/>
      <c r="N993" s="332"/>
      <c r="O993" s="332"/>
      <c r="P993" s="332"/>
      <c r="Q993" s="332"/>
      <c r="R993" s="333"/>
      <c r="S993" s="332"/>
      <c r="T993" s="329"/>
      <c r="U993" s="332"/>
      <c r="V993" s="334"/>
      <c r="W993" s="280"/>
      <c r="X993" s="280"/>
      <c r="Y993" s="280"/>
      <c r="Z993" s="280"/>
      <c r="AA993" s="280"/>
      <c r="AB993" s="280"/>
      <c r="AC993" s="335"/>
      <c r="AD993" s="336"/>
      <c r="AE993" s="337"/>
      <c r="AF993" s="338"/>
      <c r="AG993" s="329"/>
      <c r="AH993" s="339"/>
      <c r="AI993" s="338"/>
      <c r="AJ993" s="338"/>
      <c r="AK993" s="338"/>
      <c r="AL993" s="329"/>
    </row>
    <row r="994" ht="24.75" customHeight="1">
      <c r="A994" s="328"/>
      <c r="B994" s="329"/>
      <c r="C994" s="340"/>
      <c r="D994" s="331"/>
      <c r="E994" s="332"/>
      <c r="F994" s="331"/>
      <c r="G994" s="331"/>
      <c r="H994" s="333"/>
      <c r="I994" s="333"/>
      <c r="J994" s="333"/>
      <c r="K994" s="332"/>
      <c r="L994" s="331"/>
      <c r="M994" s="329"/>
      <c r="N994" s="332"/>
      <c r="O994" s="332"/>
      <c r="P994" s="332"/>
      <c r="Q994" s="332"/>
      <c r="R994" s="333"/>
      <c r="S994" s="332"/>
      <c r="T994" s="329"/>
      <c r="U994" s="332"/>
      <c r="V994" s="334"/>
      <c r="W994" s="280"/>
      <c r="X994" s="280"/>
      <c r="Y994" s="280"/>
      <c r="Z994" s="280"/>
      <c r="AA994" s="280"/>
      <c r="AB994" s="280"/>
      <c r="AC994" s="335"/>
      <c r="AD994" s="336"/>
      <c r="AE994" s="337"/>
      <c r="AF994" s="338"/>
      <c r="AG994" s="329"/>
      <c r="AH994" s="339"/>
      <c r="AI994" s="338"/>
      <c r="AJ994" s="338"/>
      <c r="AK994" s="338"/>
      <c r="AL994" s="329"/>
    </row>
    <row r="995" ht="24.75" customHeight="1">
      <c r="A995" s="328"/>
      <c r="B995" s="329"/>
      <c r="C995" s="340"/>
      <c r="D995" s="331"/>
      <c r="E995" s="332"/>
      <c r="F995" s="331"/>
      <c r="G995" s="331"/>
      <c r="H995" s="333"/>
      <c r="I995" s="333"/>
      <c r="J995" s="333"/>
      <c r="K995" s="332"/>
      <c r="L995" s="331"/>
      <c r="M995" s="329"/>
      <c r="N995" s="332"/>
      <c r="O995" s="332"/>
      <c r="P995" s="332"/>
      <c r="Q995" s="332"/>
      <c r="R995" s="333"/>
      <c r="S995" s="332"/>
      <c r="T995" s="329"/>
      <c r="U995" s="332"/>
      <c r="V995" s="334"/>
      <c r="W995" s="280"/>
      <c r="X995" s="280"/>
      <c r="Y995" s="280"/>
      <c r="Z995" s="280"/>
      <c r="AA995" s="280"/>
      <c r="AB995" s="280"/>
      <c r="AC995" s="335"/>
      <c r="AD995" s="336"/>
      <c r="AE995" s="337"/>
      <c r="AF995" s="338"/>
      <c r="AG995" s="329"/>
      <c r="AH995" s="339"/>
      <c r="AI995" s="338"/>
      <c r="AJ995" s="338"/>
      <c r="AK995" s="338"/>
      <c r="AL995" s="329"/>
    </row>
    <row r="996" ht="24.75" customHeight="1">
      <c r="A996" s="328"/>
      <c r="B996" s="329"/>
      <c r="C996" s="340"/>
      <c r="D996" s="331"/>
      <c r="E996" s="332"/>
      <c r="F996" s="331"/>
      <c r="G996" s="331"/>
      <c r="H996" s="333"/>
      <c r="I996" s="333"/>
      <c r="J996" s="333"/>
      <c r="K996" s="332"/>
      <c r="L996" s="331"/>
      <c r="M996" s="329"/>
      <c r="N996" s="332"/>
      <c r="O996" s="332"/>
      <c r="P996" s="332"/>
      <c r="Q996" s="332"/>
      <c r="R996" s="333"/>
      <c r="S996" s="332"/>
      <c r="T996" s="329"/>
      <c r="U996" s="332"/>
      <c r="V996" s="334"/>
      <c r="W996" s="280"/>
      <c r="X996" s="280"/>
      <c r="Y996" s="280"/>
      <c r="Z996" s="280"/>
      <c r="AA996" s="280"/>
      <c r="AB996" s="280"/>
      <c r="AC996" s="335"/>
      <c r="AD996" s="336"/>
      <c r="AE996" s="337"/>
      <c r="AF996" s="338"/>
      <c r="AG996" s="329"/>
      <c r="AH996" s="339"/>
      <c r="AI996" s="338"/>
      <c r="AJ996" s="338"/>
      <c r="AK996" s="338"/>
      <c r="AL996" s="329"/>
    </row>
    <row r="997" ht="24.75" customHeight="1">
      <c r="A997" s="328"/>
      <c r="B997" s="329"/>
      <c r="C997" s="340"/>
      <c r="D997" s="331"/>
      <c r="E997" s="332"/>
      <c r="F997" s="331"/>
      <c r="G997" s="331"/>
      <c r="H997" s="333"/>
      <c r="I997" s="333"/>
      <c r="J997" s="333"/>
      <c r="K997" s="332"/>
      <c r="L997" s="331"/>
      <c r="M997" s="329"/>
      <c r="N997" s="332"/>
      <c r="O997" s="332"/>
      <c r="P997" s="332"/>
      <c r="Q997" s="332"/>
      <c r="R997" s="333"/>
      <c r="S997" s="332"/>
      <c r="T997" s="329"/>
      <c r="U997" s="332"/>
      <c r="V997" s="334"/>
      <c r="W997" s="280"/>
      <c r="X997" s="280"/>
      <c r="Y997" s="280"/>
      <c r="Z997" s="280"/>
      <c r="AA997" s="280"/>
      <c r="AB997" s="280"/>
      <c r="AC997" s="335"/>
      <c r="AD997" s="336"/>
      <c r="AE997" s="337"/>
      <c r="AF997" s="338"/>
      <c r="AG997" s="329"/>
      <c r="AH997" s="339"/>
      <c r="AI997" s="338"/>
      <c r="AJ997" s="338"/>
      <c r="AK997" s="338"/>
      <c r="AL997" s="329"/>
    </row>
    <row r="998" ht="24.75" customHeight="1">
      <c r="A998" s="328"/>
      <c r="B998" s="329"/>
      <c r="C998" s="340"/>
      <c r="D998" s="331"/>
      <c r="E998" s="332"/>
      <c r="F998" s="331"/>
      <c r="G998" s="331"/>
      <c r="H998" s="333"/>
      <c r="I998" s="333"/>
      <c r="J998" s="333"/>
      <c r="K998" s="332"/>
      <c r="L998" s="331"/>
      <c r="M998" s="329"/>
      <c r="N998" s="332"/>
      <c r="O998" s="332"/>
      <c r="P998" s="332"/>
      <c r="Q998" s="332"/>
      <c r="R998" s="333"/>
      <c r="S998" s="332"/>
      <c r="T998" s="329"/>
      <c r="U998" s="332"/>
      <c r="V998" s="334"/>
      <c r="W998" s="280"/>
      <c r="X998" s="280"/>
      <c r="Y998" s="280"/>
      <c r="Z998" s="280"/>
      <c r="AA998" s="280"/>
      <c r="AB998" s="280"/>
      <c r="AC998" s="335"/>
      <c r="AD998" s="336"/>
      <c r="AE998" s="337"/>
      <c r="AF998" s="338"/>
      <c r="AG998" s="329"/>
      <c r="AH998" s="339"/>
      <c r="AI998" s="338"/>
      <c r="AJ998" s="338"/>
      <c r="AK998" s="338"/>
      <c r="AL998" s="329"/>
    </row>
    <row r="999" ht="24.75" customHeight="1">
      <c r="A999" s="328"/>
      <c r="B999" s="329"/>
      <c r="C999" s="340"/>
      <c r="D999" s="331"/>
      <c r="E999" s="332"/>
      <c r="F999" s="331"/>
      <c r="G999" s="331"/>
      <c r="H999" s="333"/>
      <c r="I999" s="333"/>
      <c r="J999" s="333"/>
      <c r="K999" s="332"/>
      <c r="L999" s="331"/>
      <c r="M999" s="329"/>
      <c r="N999" s="332"/>
      <c r="O999" s="332"/>
      <c r="P999" s="332"/>
      <c r="Q999" s="332"/>
      <c r="R999" s="333"/>
      <c r="S999" s="332"/>
      <c r="T999" s="329"/>
      <c r="U999" s="332"/>
      <c r="V999" s="334"/>
      <c r="W999" s="280"/>
      <c r="X999" s="280"/>
      <c r="Y999" s="280"/>
      <c r="Z999" s="280"/>
      <c r="AA999" s="280"/>
      <c r="AB999" s="280"/>
      <c r="AC999" s="335"/>
      <c r="AD999" s="336"/>
      <c r="AE999" s="337"/>
      <c r="AF999" s="338"/>
      <c r="AG999" s="329"/>
      <c r="AH999" s="339"/>
      <c r="AI999" s="338"/>
      <c r="AJ999" s="338"/>
      <c r="AK999" s="338"/>
      <c r="AL999" s="329"/>
    </row>
    <row r="1000" ht="24.75" customHeight="1">
      <c r="A1000" s="328"/>
      <c r="B1000" s="329"/>
      <c r="C1000" s="340"/>
      <c r="D1000" s="331"/>
      <c r="E1000" s="332"/>
      <c r="F1000" s="331"/>
      <c r="G1000" s="331"/>
      <c r="H1000" s="333"/>
      <c r="I1000" s="333"/>
      <c r="J1000" s="333"/>
      <c r="K1000" s="332"/>
      <c r="L1000" s="331"/>
      <c r="M1000" s="329"/>
      <c r="N1000" s="332"/>
      <c r="O1000" s="332"/>
      <c r="P1000" s="332"/>
      <c r="Q1000" s="332"/>
      <c r="R1000" s="333"/>
      <c r="S1000" s="332"/>
      <c r="T1000" s="329"/>
      <c r="U1000" s="332"/>
      <c r="V1000" s="334"/>
      <c r="W1000" s="280"/>
      <c r="X1000" s="280"/>
      <c r="Y1000" s="280"/>
      <c r="Z1000" s="280"/>
      <c r="AA1000" s="280"/>
      <c r="AB1000" s="280"/>
      <c r="AC1000" s="335"/>
      <c r="AD1000" s="336"/>
      <c r="AE1000" s="337"/>
      <c r="AF1000" s="338"/>
      <c r="AG1000" s="329"/>
      <c r="AH1000" s="339"/>
      <c r="AI1000" s="338"/>
      <c r="AJ1000" s="338"/>
      <c r="AK1000" s="338"/>
      <c r="AL1000" s="329"/>
    </row>
    <row r="1001" ht="24.75" customHeight="1">
      <c r="A1001" s="328"/>
      <c r="B1001" s="329"/>
      <c r="C1001" s="340"/>
      <c r="D1001" s="331"/>
      <c r="E1001" s="332"/>
      <c r="F1001" s="331"/>
      <c r="G1001" s="331"/>
      <c r="H1001" s="333"/>
      <c r="I1001" s="333"/>
      <c r="J1001" s="333"/>
      <c r="K1001" s="332"/>
      <c r="L1001" s="331"/>
      <c r="M1001" s="329"/>
      <c r="N1001" s="332"/>
      <c r="O1001" s="332"/>
      <c r="P1001" s="332"/>
      <c r="Q1001" s="332"/>
      <c r="R1001" s="333"/>
      <c r="S1001" s="332"/>
      <c r="T1001" s="329"/>
      <c r="U1001" s="332"/>
      <c r="V1001" s="334"/>
      <c r="W1001" s="280"/>
      <c r="X1001" s="280"/>
      <c r="Y1001" s="280"/>
      <c r="Z1001" s="280"/>
      <c r="AA1001" s="280"/>
      <c r="AB1001" s="280"/>
      <c r="AC1001" s="335"/>
      <c r="AD1001" s="336"/>
      <c r="AE1001" s="337"/>
      <c r="AF1001" s="338"/>
      <c r="AG1001" s="329"/>
      <c r="AH1001" s="339"/>
      <c r="AI1001" s="338"/>
      <c r="AJ1001" s="338"/>
      <c r="AK1001" s="338"/>
      <c r="AL1001" s="329"/>
    </row>
    <row r="1002" ht="24.75" customHeight="1">
      <c r="A1002" s="328"/>
      <c r="B1002" s="329"/>
      <c r="C1002" s="340"/>
      <c r="D1002" s="331"/>
      <c r="E1002" s="332"/>
      <c r="F1002" s="331"/>
      <c r="G1002" s="331"/>
      <c r="H1002" s="333"/>
      <c r="I1002" s="333"/>
      <c r="J1002" s="333"/>
      <c r="K1002" s="332"/>
      <c r="L1002" s="331"/>
      <c r="M1002" s="329"/>
      <c r="N1002" s="332"/>
      <c r="O1002" s="332"/>
      <c r="P1002" s="332"/>
      <c r="Q1002" s="332"/>
      <c r="R1002" s="333"/>
      <c r="S1002" s="332"/>
      <c r="T1002" s="329"/>
      <c r="U1002" s="332"/>
      <c r="V1002" s="334"/>
      <c r="W1002" s="280"/>
      <c r="X1002" s="280"/>
      <c r="Y1002" s="280"/>
      <c r="Z1002" s="280"/>
      <c r="AA1002" s="280"/>
      <c r="AB1002" s="280"/>
      <c r="AC1002" s="335"/>
      <c r="AD1002" s="336"/>
      <c r="AE1002" s="337"/>
      <c r="AF1002" s="338"/>
      <c r="AG1002" s="329"/>
      <c r="AH1002" s="339"/>
      <c r="AI1002" s="338"/>
      <c r="AJ1002" s="338"/>
      <c r="AK1002" s="338"/>
      <c r="AL1002" s="329"/>
    </row>
    <row r="1003" ht="24.75" customHeight="1">
      <c r="A1003" s="328"/>
      <c r="B1003" s="329"/>
      <c r="C1003" s="340"/>
      <c r="D1003" s="331"/>
      <c r="E1003" s="332"/>
      <c r="F1003" s="331"/>
      <c r="G1003" s="331"/>
      <c r="H1003" s="333"/>
      <c r="I1003" s="333"/>
      <c r="J1003" s="333"/>
      <c r="K1003" s="332"/>
      <c r="L1003" s="331"/>
      <c r="M1003" s="329"/>
      <c r="N1003" s="332"/>
      <c r="O1003" s="332"/>
      <c r="P1003" s="332"/>
      <c r="Q1003" s="332"/>
      <c r="R1003" s="333"/>
      <c r="S1003" s="332"/>
      <c r="T1003" s="329"/>
      <c r="U1003" s="332"/>
      <c r="V1003" s="334"/>
      <c r="W1003" s="280"/>
      <c r="X1003" s="280"/>
      <c r="Y1003" s="280"/>
      <c r="Z1003" s="280"/>
      <c r="AA1003" s="280"/>
      <c r="AB1003" s="280"/>
      <c r="AC1003" s="335"/>
      <c r="AD1003" s="336"/>
      <c r="AE1003" s="337"/>
      <c r="AF1003" s="338"/>
      <c r="AG1003" s="329"/>
      <c r="AH1003" s="339"/>
      <c r="AI1003" s="338"/>
      <c r="AJ1003" s="338"/>
      <c r="AK1003" s="338"/>
      <c r="AL1003" s="329"/>
    </row>
    <row r="1004" ht="24.75" customHeight="1">
      <c r="A1004" s="328"/>
      <c r="B1004" s="329"/>
      <c r="C1004" s="340"/>
      <c r="D1004" s="331"/>
      <c r="E1004" s="332"/>
      <c r="F1004" s="331"/>
      <c r="G1004" s="331"/>
      <c r="H1004" s="333"/>
      <c r="I1004" s="333"/>
      <c r="J1004" s="333"/>
      <c r="K1004" s="332"/>
      <c r="L1004" s="331"/>
      <c r="M1004" s="329"/>
      <c r="N1004" s="332"/>
      <c r="O1004" s="332"/>
      <c r="P1004" s="332"/>
      <c r="Q1004" s="332"/>
      <c r="R1004" s="333"/>
      <c r="S1004" s="332"/>
      <c r="T1004" s="329"/>
      <c r="U1004" s="332"/>
      <c r="V1004" s="334"/>
      <c r="W1004" s="280"/>
      <c r="X1004" s="280"/>
      <c r="Y1004" s="280"/>
      <c r="Z1004" s="280"/>
      <c r="AA1004" s="280"/>
      <c r="AB1004" s="280"/>
      <c r="AC1004" s="335"/>
      <c r="AD1004" s="336"/>
      <c r="AE1004" s="337"/>
      <c r="AF1004" s="338"/>
      <c r="AG1004" s="329"/>
      <c r="AH1004" s="339"/>
      <c r="AI1004" s="338"/>
      <c r="AJ1004" s="338"/>
      <c r="AK1004" s="338"/>
      <c r="AL1004" s="329"/>
    </row>
    <row r="1005" ht="24.75" customHeight="1">
      <c r="A1005" s="328"/>
      <c r="B1005" s="329"/>
      <c r="C1005" s="340"/>
      <c r="D1005" s="331"/>
      <c r="E1005" s="332"/>
      <c r="F1005" s="331"/>
      <c r="G1005" s="331"/>
      <c r="H1005" s="333"/>
      <c r="I1005" s="333"/>
      <c r="J1005" s="333"/>
      <c r="K1005" s="332"/>
      <c r="L1005" s="331"/>
      <c r="M1005" s="329"/>
      <c r="N1005" s="332"/>
      <c r="O1005" s="332"/>
      <c r="P1005" s="332"/>
      <c r="Q1005" s="332"/>
      <c r="R1005" s="333"/>
      <c r="S1005" s="332"/>
      <c r="T1005" s="329"/>
      <c r="U1005" s="332"/>
      <c r="V1005" s="334"/>
      <c r="W1005" s="280"/>
      <c r="X1005" s="280"/>
      <c r="Y1005" s="280"/>
      <c r="Z1005" s="280"/>
      <c r="AA1005" s="280"/>
      <c r="AB1005" s="280"/>
      <c r="AC1005" s="335"/>
      <c r="AD1005" s="336"/>
      <c r="AE1005" s="337"/>
      <c r="AF1005" s="338"/>
      <c r="AG1005" s="329"/>
      <c r="AH1005" s="339"/>
      <c r="AI1005" s="338"/>
      <c r="AJ1005" s="338"/>
      <c r="AK1005" s="338"/>
      <c r="AL1005" s="329"/>
    </row>
    <row r="1006" ht="24.75" customHeight="1">
      <c r="A1006" s="328"/>
      <c r="B1006" s="329"/>
      <c r="C1006" s="340"/>
      <c r="D1006" s="331"/>
      <c r="E1006" s="332"/>
      <c r="F1006" s="331"/>
      <c r="G1006" s="331"/>
      <c r="H1006" s="333"/>
      <c r="I1006" s="333"/>
      <c r="J1006" s="333"/>
      <c r="K1006" s="332"/>
      <c r="L1006" s="331"/>
      <c r="M1006" s="329"/>
      <c r="N1006" s="332"/>
      <c r="O1006" s="332"/>
      <c r="P1006" s="332"/>
      <c r="Q1006" s="332"/>
      <c r="R1006" s="333"/>
      <c r="S1006" s="332"/>
      <c r="T1006" s="329"/>
      <c r="U1006" s="332"/>
      <c r="V1006" s="334"/>
      <c r="W1006" s="280"/>
      <c r="X1006" s="280"/>
      <c r="Y1006" s="280"/>
      <c r="Z1006" s="280"/>
      <c r="AA1006" s="280"/>
      <c r="AB1006" s="280"/>
      <c r="AC1006" s="335"/>
      <c r="AD1006" s="336"/>
      <c r="AE1006" s="337"/>
      <c r="AF1006" s="338"/>
      <c r="AG1006" s="329"/>
      <c r="AH1006" s="339"/>
      <c r="AI1006" s="338"/>
      <c r="AJ1006" s="338"/>
      <c r="AK1006" s="338"/>
      <c r="AL1006" s="329"/>
    </row>
    <row r="1007" ht="24.75" customHeight="1">
      <c r="A1007" s="328"/>
      <c r="B1007" s="329"/>
      <c r="C1007" s="340"/>
      <c r="D1007" s="331"/>
      <c r="E1007" s="332"/>
      <c r="F1007" s="331"/>
      <c r="G1007" s="331"/>
      <c r="H1007" s="333"/>
      <c r="I1007" s="333"/>
      <c r="J1007" s="333"/>
      <c r="K1007" s="332"/>
      <c r="L1007" s="331"/>
      <c r="M1007" s="329"/>
      <c r="N1007" s="332"/>
      <c r="O1007" s="332"/>
      <c r="P1007" s="332"/>
      <c r="Q1007" s="332"/>
      <c r="R1007" s="333"/>
      <c r="S1007" s="332"/>
      <c r="T1007" s="329"/>
      <c r="U1007" s="332"/>
      <c r="V1007" s="334"/>
      <c r="W1007" s="280"/>
      <c r="X1007" s="280"/>
      <c r="Y1007" s="280"/>
      <c r="Z1007" s="280"/>
      <c r="AA1007" s="280"/>
      <c r="AB1007" s="280"/>
      <c r="AC1007" s="335"/>
      <c r="AD1007" s="336"/>
      <c r="AE1007" s="337"/>
      <c r="AF1007" s="338"/>
      <c r="AG1007" s="329"/>
      <c r="AH1007" s="339"/>
      <c r="AI1007" s="338"/>
      <c r="AJ1007" s="338"/>
      <c r="AK1007" s="338"/>
      <c r="AL1007" s="329"/>
    </row>
    <row r="1008" ht="24.75" customHeight="1">
      <c r="A1008" s="328"/>
      <c r="B1008" s="329"/>
      <c r="C1008" s="340"/>
      <c r="D1008" s="331"/>
      <c r="E1008" s="332"/>
      <c r="F1008" s="331"/>
      <c r="G1008" s="331"/>
      <c r="H1008" s="333"/>
      <c r="I1008" s="333"/>
      <c r="J1008" s="333"/>
      <c r="K1008" s="332"/>
      <c r="L1008" s="331"/>
      <c r="M1008" s="329"/>
      <c r="N1008" s="332"/>
      <c r="O1008" s="332"/>
      <c r="P1008" s="332"/>
      <c r="Q1008" s="332"/>
      <c r="R1008" s="333"/>
      <c r="S1008" s="332"/>
      <c r="T1008" s="329"/>
      <c r="U1008" s="332"/>
      <c r="V1008" s="334"/>
      <c r="W1008" s="280"/>
      <c r="X1008" s="280"/>
      <c r="Y1008" s="280"/>
      <c r="Z1008" s="280"/>
      <c r="AA1008" s="280"/>
      <c r="AB1008" s="280"/>
      <c r="AC1008" s="335"/>
      <c r="AD1008" s="336"/>
      <c r="AE1008" s="337"/>
      <c r="AF1008" s="338"/>
      <c r="AG1008" s="329"/>
      <c r="AH1008" s="339"/>
      <c r="AI1008" s="338"/>
      <c r="AJ1008" s="338"/>
      <c r="AK1008" s="338"/>
      <c r="AL1008" s="329"/>
    </row>
    <row r="1009" ht="24.75" customHeight="1">
      <c r="A1009" s="328"/>
      <c r="B1009" s="329"/>
      <c r="C1009" s="340"/>
      <c r="D1009" s="331"/>
      <c r="E1009" s="332"/>
      <c r="F1009" s="331"/>
      <c r="G1009" s="331"/>
      <c r="H1009" s="333"/>
      <c r="I1009" s="333"/>
      <c r="J1009" s="333"/>
      <c r="K1009" s="332"/>
      <c r="L1009" s="331"/>
      <c r="M1009" s="329"/>
      <c r="N1009" s="332"/>
      <c r="O1009" s="332"/>
      <c r="P1009" s="332"/>
      <c r="Q1009" s="332"/>
      <c r="R1009" s="333"/>
      <c r="S1009" s="332"/>
      <c r="T1009" s="329"/>
      <c r="U1009" s="332"/>
      <c r="V1009" s="334"/>
      <c r="W1009" s="280"/>
      <c r="X1009" s="280"/>
      <c r="Y1009" s="280"/>
      <c r="Z1009" s="280"/>
      <c r="AA1009" s="280"/>
      <c r="AB1009" s="280"/>
      <c r="AC1009" s="335"/>
      <c r="AD1009" s="336"/>
      <c r="AE1009" s="337"/>
      <c r="AF1009" s="338"/>
      <c r="AG1009" s="329"/>
      <c r="AH1009" s="339"/>
      <c r="AI1009" s="338"/>
      <c r="AJ1009" s="338"/>
      <c r="AK1009" s="338"/>
      <c r="AL1009" s="329"/>
    </row>
    <row r="1010" ht="24.75" customHeight="1">
      <c r="A1010" s="328"/>
      <c r="B1010" s="329"/>
      <c r="C1010" s="340"/>
      <c r="D1010" s="331"/>
      <c r="E1010" s="332"/>
      <c r="F1010" s="331"/>
      <c r="G1010" s="331"/>
      <c r="H1010" s="333"/>
      <c r="I1010" s="333"/>
      <c r="J1010" s="333"/>
      <c r="K1010" s="332"/>
      <c r="L1010" s="331"/>
      <c r="M1010" s="329"/>
      <c r="N1010" s="332"/>
      <c r="O1010" s="332"/>
      <c r="P1010" s="332"/>
      <c r="Q1010" s="332"/>
      <c r="R1010" s="333"/>
      <c r="S1010" s="332"/>
      <c r="T1010" s="329"/>
      <c r="U1010" s="332"/>
      <c r="V1010" s="334"/>
      <c r="W1010" s="280"/>
      <c r="X1010" s="280"/>
      <c r="Y1010" s="280"/>
      <c r="Z1010" s="280"/>
      <c r="AA1010" s="280"/>
      <c r="AB1010" s="280"/>
      <c r="AC1010" s="335"/>
      <c r="AD1010" s="336"/>
      <c r="AE1010" s="337"/>
      <c r="AF1010" s="338"/>
      <c r="AG1010" s="329"/>
      <c r="AH1010" s="339"/>
      <c r="AI1010" s="338"/>
      <c r="AJ1010" s="338"/>
      <c r="AK1010" s="338"/>
      <c r="AL1010" s="329"/>
    </row>
    <row r="1011" ht="24.75" customHeight="1">
      <c r="A1011" s="328"/>
      <c r="B1011" s="329"/>
      <c r="C1011" s="340"/>
      <c r="D1011" s="331"/>
      <c r="E1011" s="332"/>
      <c r="F1011" s="331"/>
      <c r="G1011" s="331"/>
      <c r="H1011" s="333"/>
      <c r="I1011" s="333"/>
      <c r="J1011" s="333"/>
      <c r="K1011" s="332"/>
      <c r="L1011" s="331"/>
      <c r="M1011" s="329"/>
      <c r="N1011" s="332"/>
      <c r="O1011" s="332"/>
      <c r="P1011" s="332"/>
      <c r="Q1011" s="332"/>
      <c r="R1011" s="333"/>
      <c r="S1011" s="332"/>
      <c r="T1011" s="329"/>
      <c r="U1011" s="332"/>
      <c r="V1011" s="334"/>
      <c r="W1011" s="280"/>
      <c r="X1011" s="280"/>
      <c r="Y1011" s="280"/>
      <c r="Z1011" s="280"/>
      <c r="AA1011" s="280"/>
      <c r="AB1011" s="280"/>
      <c r="AC1011" s="335"/>
      <c r="AD1011" s="336"/>
      <c r="AE1011" s="337"/>
      <c r="AF1011" s="338"/>
      <c r="AG1011" s="329"/>
      <c r="AH1011" s="339"/>
      <c r="AI1011" s="338"/>
      <c r="AJ1011" s="338"/>
      <c r="AK1011" s="338"/>
      <c r="AL1011" s="329"/>
    </row>
    <row r="1012" ht="24.75" customHeight="1">
      <c r="A1012" s="328"/>
      <c r="B1012" s="329"/>
      <c r="C1012" s="340"/>
      <c r="D1012" s="331"/>
      <c r="E1012" s="332"/>
      <c r="F1012" s="331"/>
      <c r="G1012" s="331"/>
      <c r="H1012" s="333"/>
      <c r="I1012" s="333"/>
      <c r="J1012" s="333"/>
      <c r="K1012" s="332"/>
      <c r="L1012" s="331"/>
      <c r="M1012" s="329"/>
      <c r="N1012" s="332"/>
      <c r="O1012" s="332"/>
      <c r="P1012" s="332"/>
      <c r="Q1012" s="332"/>
      <c r="R1012" s="333"/>
      <c r="S1012" s="332"/>
      <c r="T1012" s="329"/>
      <c r="U1012" s="332"/>
      <c r="V1012" s="334"/>
      <c r="W1012" s="280"/>
      <c r="X1012" s="280"/>
      <c r="Y1012" s="280"/>
      <c r="Z1012" s="280"/>
      <c r="AA1012" s="280"/>
      <c r="AB1012" s="280"/>
      <c r="AC1012" s="335"/>
      <c r="AD1012" s="336"/>
      <c r="AE1012" s="337"/>
      <c r="AF1012" s="338"/>
      <c r="AG1012" s="329"/>
      <c r="AH1012" s="339"/>
      <c r="AI1012" s="338"/>
      <c r="AJ1012" s="338"/>
      <c r="AK1012" s="338"/>
      <c r="AL1012" s="329"/>
    </row>
    <row r="1013" ht="24.75" customHeight="1">
      <c r="A1013" s="328"/>
      <c r="B1013" s="329"/>
      <c r="C1013" s="340"/>
      <c r="D1013" s="331"/>
      <c r="E1013" s="332"/>
      <c r="F1013" s="331"/>
      <c r="G1013" s="331"/>
      <c r="H1013" s="333"/>
      <c r="I1013" s="333"/>
      <c r="J1013" s="333"/>
      <c r="K1013" s="332"/>
      <c r="L1013" s="331"/>
      <c r="M1013" s="329"/>
      <c r="N1013" s="332"/>
      <c r="O1013" s="332"/>
      <c r="P1013" s="332"/>
      <c r="Q1013" s="332"/>
      <c r="R1013" s="333"/>
      <c r="S1013" s="332"/>
      <c r="T1013" s="329"/>
      <c r="U1013" s="332"/>
      <c r="V1013" s="334"/>
      <c r="W1013" s="280"/>
      <c r="X1013" s="280"/>
      <c r="Y1013" s="280"/>
      <c r="Z1013" s="280"/>
      <c r="AA1013" s="280"/>
      <c r="AB1013" s="280"/>
      <c r="AC1013" s="335"/>
      <c r="AD1013" s="336"/>
      <c r="AE1013" s="337"/>
      <c r="AF1013" s="338"/>
      <c r="AG1013" s="329"/>
      <c r="AH1013" s="339"/>
      <c r="AI1013" s="338"/>
      <c r="AJ1013" s="338"/>
      <c r="AK1013" s="338"/>
      <c r="AL1013" s="329"/>
    </row>
    <row r="1014" ht="24.75" customHeight="1">
      <c r="A1014" s="328"/>
      <c r="B1014" s="329"/>
      <c r="C1014" s="340"/>
      <c r="D1014" s="331"/>
      <c r="E1014" s="332"/>
      <c r="F1014" s="331"/>
      <c r="G1014" s="331"/>
      <c r="H1014" s="333"/>
      <c r="I1014" s="333"/>
      <c r="J1014" s="333"/>
      <c r="K1014" s="332"/>
      <c r="L1014" s="331"/>
      <c r="M1014" s="329"/>
      <c r="N1014" s="332"/>
      <c r="O1014" s="332"/>
      <c r="P1014" s="332"/>
      <c r="Q1014" s="332"/>
      <c r="R1014" s="333"/>
      <c r="S1014" s="332"/>
      <c r="T1014" s="329"/>
      <c r="U1014" s="332"/>
      <c r="V1014" s="334"/>
      <c r="W1014" s="280"/>
      <c r="X1014" s="280"/>
      <c r="Y1014" s="280"/>
      <c r="Z1014" s="280"/>
      <c r="AA1014" s="280"/>
      <c r="AB1014" s="280"/>
      <c r="AC1014" s="335"/>
      <c r="AD1014" s="336"/>
      <c r="AE1014" s="337"/>
      <c r="AF1014" s="338"/>
      <c r="AG1014" s="329"/>
      <c r="AH1014" s="339"/>
      <c r="AI1014" s="338"/>
      <c r="AJ1014" s="338"/>
      <c r="AK1014" s="338"/>
      <c r="AL1014" s="329"/>
    </row>
    <row r="1015" ht="24.75" customHeight="1">
      <c r="A1015" s="328"/>
      <c r="B1015" s="329"/>
      <c r="C1015" s="340"/>
      <c r="D1015" s="331"/>
      <c r="E1015" s="332"/>
      <c r="F1015" s="331"/>
      <c r="G1015" s="331"/>
      <c r="H1015" s="333"/>
      <c r="I1015" s="333"/>
      <c r="J1015" s="333"/>
      <c r="K1015" s="332"/>
      <c r="L1015" s="331"/>
      <c r="M1015" s="329"/>
      <c r="N1015" s="332"/>
      <c r="O1015" s="332"/>
      <c r="P1015" s="332"/>
      <c r="Q1015" s="332"/>
      <c r="R1015" s="333"/>
      <c r="S1015" s="332"/>
      <c r="T1015" s="329"/>
      <c r="U1015" s="332"/>
      <c r="V1015" s="334"/>
      <c r="W1015" s="280"/>
      <c r="X1015" s="280"/>
      <c r="Y1015" s="280"/>
      <c r="Z1015" s="280"/>
      <c r="AA1015" s="280"/>
      <c r="AB1015" s="280"/>
      <c r="AC1015" s="335"/>
      <c r="AD1015" s="336"/>
      <c r="AE1015" s="337"/>
      <c r="AF1015" s="338"/>
      <c r="AG1015" s="329"/>
      <c r="AH1015" s="339"/>
      <c r="AI1015" s="338"/>
      <c r="AJ1015" s="338"/>
      <c r="AK1015" s="338"/>
      <c r="AL1015" s="329"/>
    </row>
    <row r="1016" ht="24.75" customHeight="1">
      <c r="A1016" s="328"/>
      <c r="B1016" s="329"/>
      <c r="C1016" s="340"/>
      <c r="D1016" s="331"/>
      <c r="E1016" s="332"/>
      <c r="F1016" s="331"/>
      <c r="G1016" s="331"/>
      <c r="H1016" s="333"/>
      <c r="I1016" s="333"/>
      <c r="J1016" s="333"/>
      <c r="K1016" s="332"/>
      <c r="L1016" s="331"/>
      <c r="M1016" s="329"/>
      <c r="N1016" s="332"/>
      <c r="O1016" s="332"/>
      <c r="P1016" s="332"/>
      <c r="Q1016" s="332"/>
      <c r="R1016" s="333"/>
      <c r="S1016" s="332"/>
      <c r="T1016" s="329"/>
      <c r="U1016" s="332"/>
      <c r="V1016" s="334"/>
      <c r="W1016" s="280"/>
      <c r="X1016" s="280"/>
      <c r="Y1016" s="280"/>
      <c r="Z1016" s="280"/>
      <c r="AA1016" s="280"/>
      <c r="AB1016" s="280"/>
      <c r="AC1016" s="335"/>
      <c r="AD1016" s="336"/>
      <c r="AE1016" s="337"/>
      <c r="AF1016" s="338"/>
      <c r="AG1016" s="329"/>
      <c r="AH1016" s="339"/>
      <c r="AI1016" s="338"/>
      <c r="AJ1016" s="338"/>
      <c r="AK1016" s="338"/>
      <c r="AL1016" s="329"/>
    </row>
    <row r="1017" ht="24.75" customHeight="1">
      <c r="A1017" s="328"/>
      <c r="B1017" s="329"/>
      <c r="C1017" s="340"/>
      <c r="D1017" s="331"/>
      <c r="E1017" s="332"/>
      <c r="F1017" s="331"/>
      <c r="G1017" s="331"/>
      <c r="H1017" s="333"/>
      <c r="I1017" s="333"/>
      <c r="J1017" s="333"/>
      <c r="K1017" s="332"/>
      <c r="L1017" s="331"/>
      <c r="M1017" s="329"/>
      <c r="N1017" s="332"/>
      <c r="O1017" s="332"/>
      <c r="P1017" s="332"/>
      <c r="Q1017" s="332"/>
      <c r="R1017" s="333"/>
      <c r="S1017" s="332"/>
      <c r="T1017" s="329"/>
      <c r="U1017" s="332"/>
      <c r="V1017" s="334"/>
      <c r="W1017" s="280"/>
      <c r="X1017" s="280"/>
      <c r="Y1017" s="280"/>
      <c r="Z1017" s="280"/>
      <c r="AA1017" s="280"/>
      <c r="AB1017" s="280"/>
      <c r="AC1017" s="335"/>
      <c r="AD1017" s="336"/>
      <c r="AE1017" s="337"/>
      <c r="AF1017" s="338"/>
      <c r="AG1017" s="329"/>
      <c r="AH1017" s="339"/>
      <c r="AI1017" s="338"/>
      <c r="AJ1017" s="338"/>
      <c r="AK1017" s="338"/>
      <c r="AL1017" s="329"/>
    </row>
    <row r="1018" ht="24.75" customHeight="1">
      <c r="A1018" s="328"/>
      <c r="B1018" s="329"/>
      <c r="C1018" s="340"/>
      <c r="D1018" s="331"/>
      <c r="E1018" s="332"/>
      <c r="F1018" s="331"/>
      <c r="G1018" s="331"/>
      <c r="H1018" s="333"/>
      <c r="I1018" s="333"/>
      <c r="J1018" s="333"/>
      <c r="K1018" s="332"/>
      <c r="L1018" s="331"/>
      <c r="M1018" s="329"/>
      <c r="N1018" s="332"/>
      <c r="O1018" s="332"/>
      <c r="P1018" s="332"/>
      <c r="Q1018" s="332"/>
      <c r="R1018" s="333"/>
      <c r="S1018" s="332"/>
      <c r="T1018" s="329"/>
      <c r="U1018" s="332"/>
      <c r="V1018" s="334"/>
      <c r="W1018" s="280"/>
      <c r="X1018" s="280"/>
      <c r="Y1018" s="280"/>
      <c r="Z1018" s="280"/>
      <c r="AA1018" s="280"/>
      <c r="AB1018" s="280"/>
      <c r="AC1018" s="335"/>
      <c r="AD1018" s="336"/>
      <c r="AE1018" s="337"/>
      <c r="AF1018" s="338"/>
      <c r="AG1018" s="329"/>
      <c r="AH1018" s="339"/>
      <c r="AI1018" s="338"/>
      <c r="AJ1018" s="338"/>
      <c r="AK1018" s="338"/>
      <c r="AL1018" s="329"/>
    </row>
    <row r="1019" ht="24.75" customHeight="1">
      <c r="A1019" s="328"/>
      <c r="B1019" s="329"/>
      <c r="C1019" s="340"/>
      <c r="D1019" s="331"/>
      <c r="E1019" s="332"/>
      <c r="F1019" s="331"/>
      <c r="G1019" s="331"/>
      <c r="H1019" s="333"/>
      <c r="I1019" s="333"/>
      <c r="J1019" s="333"/>
      <c r="K1019" s="332"/>
      <c r="L1019" s="331"/>
      <c r="M1019" s="329"/>
      <c r="N1019" s="332"/>
      <c r="O1019" s="332"/>
      <c r="P1019" s="332"/>
      <c r="Q1019" s="332"/>
      <c r="R1019" s="333"/>
      <c r="S1019" s="332"/>
      <c r="T1019" s="329"/>
      <c r="U1019" s="332"/>
      <c r="V1019" s="334"/>
      <c r="W1019" s="280"/>
      <c r="X1019" s="280"/>
      <c r="Y1019" s="280"/>
      <c r="Z1019" s="280"/>
      <c r="AA1019" s="280"/>
      <c r="AB1019" s="280"/>
      <c r="AC1019" s="335"/>
      <c r="AD1019" s="336"/>
      <c r="AE1019" s="337"/>
      <c r="AF1019" s="338"/>
      <c r="AG1019" s="329"/>
      <c r="AH1019" s="339"/>
      <c r="AI1019" s="338"/>
      <c r="AJ1019" s="338"/>
      <c r="AK1019" s="338"/>
      <c r="AL1019" s="329"/>
    </row>
    <row r="1020" ht="24.75" customHeight="1">
      <c r="A1020" s="328"/>
      <c r="B1020" s="329"/>
      <c r="C1020" s="340"/>
      <c r="D1020" s="331"/>
      <c r="E1020" s="332"/>
      <c r="F1020" s="331"/>
      <c r="G1020" s="331"/>
      <c r="H1020" s="333"/>
      <c r="I1020" s="333"/>
      <c r="J1020" s="333"/>
      <c r="K1020" s="332"/>
      <c r="L1020" s="331"/>
      <c r="M1020" s="329"/>
      <c r="N1020" s="332"/>
      <c r="O1020" s="332"/>
      <c r="P1020" s="332"/>
      <c r="Q1020" s="332"/>
      <c r="R1020" s="333"/>
      <c r="S1020" s="332"/>
      <c r="T1020" s="329"/>
      <c r="U1020" s="332"/>
      <c r="V1020" s="334"/>
      <c r="W1020" s="280"/>
      <c r="X1020" s="280"/>
      <c r="Y1020" s="280"/>
      <c r="Z1020" s="280"/>
      <c r="AA1020" s="280"/>
      <c r="AB1020" s="280"/>
      <c r="AC1020" s="335"/>
      <c r="AD1020" s="336"/>
      <c r="AE1020" s="337"/>
      <c r="AF1020" s="338"/>
      <c r="AG1020" s="329"/>
      <c r="AH1020" s="339"/>
      <c r="AI1020" s="338"/>
      <c r="AJ1020" s="338"/>
      <c r="AK1020" s="338"/>
      <c r="AL1020" s="329"/>
    </row>
    <row r="1021" ht="24.75" customHeight="1">
      <c r="A1021" s="328"/>
      <c r="B1021" s="329"/>
      <c r="C1021" s="340"/>
      <c r="D1021" s="331"/>
      <c r="E1021" s="332"/>
      <c r="F1021" s="331"/>
      <c r="G1021" s="331"/>
      <c r="H1021" s="333"/>
      <c r="I1021" s="333"/>
      <c r="J1021" s="333"/>
      <c r="K1021" s="332"/>
      <c r="L1021" s="331"/>
      <c r="M1021" s="329"/>
      <c r="N1021" s="332"/>
      <c r="O1021" s="332"/>
      <c r="P1021" s="332"/>
      <c r="Q1021" s="332"/>
      <c r="R1021" s="333"/>
      <c r="S1021" s="332"/>
      <c r="T1021" s="329"/>
      <c r="U1021" s="332"/>
      <c r="V1021" s="334"/>
      <c r="W1021" s="280"/>
      <c r="X1021" s="280"/>
      <c r="Y1021" s="280"/>
      <c r="Z1021" s="280"/>
      <c r="AA1021" s="280"/>
      <c r="AB1021" s="280"/>
      <c r="AC1021" s="335"/>
      <c r="AD1021" s="336"/>
      <c r="AE1021" s="337"/>
      <c r="AF1021" s="338"/>
      <c r="AG1021" s="329"/>
      <c r="AH1021" s="339"/>
      <c r="AI1021" s="338"/>
      <c r="AJ1021" s="338"/>
      <c r="AK1021" s="338"/>
      <c r="AL1021" s="329"/>
    </row>
    <row r="1022" ht="24.75" customHeight="1">
      <c r="A1022" s="328"/>
      <c r="B1022" s="329"/>
      <c r="C1022" s="340"/>
      <c r="D1022" s="331"/>
      <c r="E1022" s="332"/>
      <c r="F1022" s="331"/>
      <c r="G1022" s="331"/>
      <c r="H1022" s="333"/>
      <c r="I1022" s="333"/>
      <c r="J1022" s="333"/>
      <c r="K1022" s="332"/>
      <c r="L1022" s="331"/>
      <c r="M1022" s="329"/>
      <c r="N1022" s="332"/>
      <c r="O1022" s="332"/>
      <c r="P1022" s="332"/>
      <c r="Q1022" s="332"/>
      <c r="R1022" s="333"/>
      <c r="S1022" s="332"/>
      <c r="T1022" s="329"/>
      <c r="U1022" s="332"/>
      <c r="V1022" s="334"/>
      <c r="W1022" s="280"/>
      <c r="X1022" s="280"/>
      <c r="Y1022" s="280"/>
      <c r="Z1022" s="280"/>
      <c r="AA1022" s="280"/>
      <c r="AB1022" s="280"/>
      <c r="AC1022" s="335"/>
      <c r="AD1022" s="336"/>
      <c r="AE1022" s="337"/>
      <c r="AF1022" s="338"/>
      <c r="AG1022" s="329"/>
      <c r="AH1022" s="339"/>
      <c r="AI1022" s="338"/>
      <c r="AJ1022" s="338"/>
      <c r="AK1022" s="338"/>
      <c r="AL1022" s="329"/>
    </row>
    <row r="1023" ht="24.75" customHeight="1">
      <c r="A1023" s="328"/>
      <c r="B1023" s="329"/>
      <c r="C1023" s="340"/>
      <c r="D1023" s="331"/>
      <c r="E1023" s="332"/>
      <c r="F1023" s="331"/>
      <c r="G1023" s="331"/>
      <c r="H1023" s="333"/>
      <c r="I1023" s="333"/>
      <c r="J1023" s="333"/>
      <c r="K1023" s="332"/>
      <c r="L1023" s="331"/>
      <c r="M1023" s="329"/>
      <c r="N1023" s="332"/>
      <c r="O1023" s="332"/>
      <c r="P1023" s="332"/>
      <c r="Q1023" s="332"/>
      <c r="R1023" s="333"/>
      <c r="S1023" s="332"/>
      <c r="T1023" s="329"/>
      <c r="U1023" s="332"/>
      <c r="V1023" s="334"/>
      <c r="W1023" s="280"/>
      <c r="X1023" s="280"/>
      <c r="Y1023" s="280"/>
      <c r="Z1023" s="280"/>
      <c r="AA1023" s="280"/>
      <c r="AB1023" s="280"/>
      <c r="AC1023" s="335"/>
      <c r="AD1023" s="336"/>
      <c r="AE1023" s="337"/>
      <c r="AF1023" s="338"/>
      <c r="AG1023" s="329"/>
      <c r="AH1023" s="339"/>
      <c r="AI1023" s="338"/>
      <c r="AJ1023" s="338"/>
      <c r="AK1023" s="338"/>
      <c r="AL1023" s="329"/>
    </row>
    <row r="1024" ht="24.75" customHeight="1">
      <c r="A1024" s="328"/>
      <c r="B1024" s="329"/>
      <c r="C1024" s="340"/>
      <c r="D1024" s="331"/>
      <c r="E1024" s="332"/>
      <c r="F1024" s="331"/>
      <c r="G1024" s="331"/>
      <c r="H1024" s="333"/>
      <c r="I1024" s="333"/>
      <c r="J1024" s="333"/>
      <c r="K1024" s="332"/>
      <c r="L1024" s="331"/>
      <c r="M1024" s="329"/>
      <c r="N1024" s="332"/>
      <c r="O1024" s="332"/>
      <c r="P1024" s="332"/>
      <c r="Q1024" s="332"/>
      <c r="R1024" s="333"/>
      <c r="S1024" s="332"/>
      <c r="T1024" s="329"/>
      <c r="U1024" s="332"/>
      <c r="V1024" s="334"/>
      <c r="W1024" s="280"/>
      <c r="X1024" s="280"/>
      <c r="Y1024" s="280"/>
      <c r="Z1024" s="280"/>
      <c r="AA1024" s="280"/>
      <c r="AB1024" s="280"/>
      <c r="AC1024" s="335"/>
      <c r="AD1024" s="336"/>
      <c r="AE1024" s="337"/>
      <c r="AF1024" s="338"/>
      <c r="AG1024" s="329"/>
      <c r="AH1024" s="339"/>
      <c r="AI1024" s="338"/>
      <c r="AJ1024" s="338"/>
      <c r="AK1024" s="338"/>
      <c r="AL1024" s="329"/>
    </row>
    <row r="1025" ht="24.75" customHeight="1">
      <c r="A1025" s="328"/>
      <c r="B1025" s="329"/>
      <c r="C1025" s="340"/>
      <c r="D1025" s="331"/>
      <c r="E1025" s="332"/>
      <c r="F1025" s="331"/>
      <c r="G1025" s="331"/>
      <c r="H1025" s="333"/>
      <c r="I1025" s="333"/>
      <c r="J1025" s="333"/>
      <c r="K1025" s="332"/>
      <c r="L1025" s="331"/>
      <c r="M1025" s="329"/>
      <c r="N1025" s="332"/>
      <c r="O1025" s="332"/>
      <c r="P1025" s="332"/>
      <c r="Q1025" s="332"/>
      <c r="R1025" s="333"/>
      <c r="S1025" s="332"/>
      <c r="T1025" s="329"/>
      <c r="U1025" s="332"/>
      <c r="V1025" s="334"/>
      <c r="W1025" s="280"/>
      <c r="X1025" s="280"/>
      <c r="Y1025" s="280"/>
      <c r="Z1025" s="280"/>
      <c r="AA1025" s="280"/>
      <c r="AB1025" s="280"/>
      <c r="AC1025" s="335"/>
      <c r="AD1025" s="336"/>
      <c r="AE1025" s="337"/>
      <c r="AF1025" s="338"/>
      <c r="AG1025" s="329"/>
      <c r="AH1025" s="339"/>
      <c r="AI1025" s="338"/>
      <c r="AJ1025" s="338"/>
      <c r="AK1025" s="338"/>
      <c r="AL1025" s="329"/>
    </row>
    <row r="1026" ht="24.75" customHeight="1">
      <c r="A1026" s="328"/>
      <c r="B1026" s="329"/>
      <c r="C1026" s="340"/>
      <c r="D1026" s="331"/>
      <c r="E1026" s="332"/>
      <c r="F1026" s="331"/>
      <c r="G1026" s="331"/>
      <c r="H1026" s="333"/>
      <c r="I1026" s="333"/>
      <c r="J1026" s="333"/>
      <c r="K1026" s="332"/>
      <c r="L1026" s="331"/>
      <c r="M1026" s="329"/>
      <c r="N1026" s="332"/>
      <c r="O1026" s="332"/>
      <c r="P1026" s="332"/>
      <c r="Q1026" s="332"/>
      <c r="R1026" s="333"/>
      <c r="S1026" s="332"/>
      <c r="T1026" s="329"/>
      <c r="U1026" s="332"/>
      <c r="V1026" s="334"/>
      <c r="W1026" s="280"/>
      <c r="X1026" s="280"/>
      <c r="Y1026" s="280"/>
      <c r="Z1026" s="280"/>
      <c r="AA1026" s="280"/>
      <c r="AB1026" s="280"/>
      <c r="AC1026" s="335"/>
      <c r="AD1026" s="336"/>
      <c r="AE1026" s="337"/>
      <c r="AF1026" s="338"/>
      <c r="AG1026" s="329"/>
      <c r="AH1026" s="339"/>
      <c r="AI1026" s="338"/>
      <c r="AJ1026" s="338"/>
      <c r="AK1026" s="338"/>
      <c r="AL1026" s="329"/>
    </row>
    <row r="1027" ht="24.75" customHeight="1">
      <c r="A1027" s="328"/>
      <c r="B1027" s="329"/>
      <c r="C1027" s="340"/>
      <c r="D1027" s="331"/>
      <c r="E1027" s="332"/>
      <c r="F1027" s="331"/>
      <c r="G1027" s="331"/>
      <c r="H1027" s="333"/>
      <c r="I1027" s="333"/>
      <c r="J1027" s="333"/>
      <c r="K1027" s="332"/>
      <c r="L1027" s="331"/>
      <c r="M1027" s="329"/>
      <c r="N1027" s="332"/>
      <c r="O1027" s="332"/>
      <c r="P1027" s="332"/>
      <c r="Q1027" s="332"/>
      <c r="R1027" s="333"/>
      <c r="S1027" s="332"/>
      <c r="T1027" s="329"/>
      <c r="U1027" s="332"/>
      <c r="V1027" s="334"/>
      <c r="W1027" s="280"/>
      <c r="X1027" s="280"/>
      <c r="Y1027" s="280"/>
      <c r="Z1027" s="280"/>
      <c r="AA1027" s="280"/>
      <c r="AB1027" s="280"/>
      <c r="AC1027" s="335"/>
      <c r="AD1027" s="336"/>
      <c r="AE1027" s="337"/>
      <c r="AF1027" s="338"/>
      <c r="AG1027" s="329"/>
      <c r="AH1027" s="339"/>
      <c r="AI1027" s="338"/>
      <c r="AJ1027" s="338"/>
      <c r="AK1027" s="338"/>
      <c r="AL1027" s="329"/>
    </row>
    <row r="1028" ht="24.75" customHeight="1">
      <c r="A1028" s="328"/>
      <c r="B1028" s="329"/>
      <c r="C1028" s="340"/>
      <c r="D1028" s="331"/>
      <c r="E1028" s="332"/>
      <c r="F1028" s="331"/>
      <c r="G1028" s="331"/>
      <c r="H1028" s="333"/>
      <c r="I1028" s="333"/>
      <c r="J1028" s="333"/>
      <c r="K1028" s="332"/>
      <c r="L1028" s="331"/>
      <c r="M1028" s="329"/>
      <c r="N1028" s="332"/>
      <c r="O1028" s="332"/>
      <c r="P1028" s="332"/>
      <c r="Q1028" s="332"/>
      <c r="R1028" s="333"/>
      <c r="S1028" s="332"/>
      <c r="T1028" s="329"/>
      <c r="U1028" s="332"/>
      <c r="V1028" s="334"/>
      <c r="W1028" s="280"/>
      <c r="X1028" s="280"/>
      <c r="Y1028" s="280"/>
      <c r="Z1028" s="280"/>
      <c r="AA1028" s="280"/>
      <c r="AB1028" s="280"/>
      <c r="AC1028" s="335"/>
      <c r="AD1028" s="336"/>
      <c r="AE1028" s="337"/>
      <c r="AF1028" s="338"/>
      <c r="AG1028" s="329"/>
      <c r="AH1028" s="339"/>
      <c r="AI1028" s="338"/>
      <c r="AJ1028" s="338"/>
      <c r="AK1028" s="338"/>
      <c r="AL1028" s="329"/>
    </row>
    <row r="1029" ht="24.75" customHeight="1">
      <c r="A1029" s="328"/>
      <c r="B1029" s="329"/>
      <c r="C1029" s="340"/>
      <c r="D1029" s="331"/>
      <c r="E1029" s="332"/>
      <c r="F1029" s="331"/>
      <c r="G1029" s="331"/>
      <c r="H1029" s="333"/>
      <c r="I1029" s="333"/>
      <c r="J1029" s="333"/>
      <c r="K1029" s="332"/>
      <c r="L1029" s="331"/>
      <c r="M1029" s="329"/>
      <c r="N1029" s="332"/>
      <c r="O1029" s="332"/>
      <c r="P1029" s="332"/>
      <c r="Q1029" s="332"/>
      <c r="R1029" s="333"/>
      <c r="S1029" s="332"/>
      <c r="T1029" s="329"/>
      <c r="U1029" s="332"/>
      <c r="V1029" s="334"/>
      <c r="W1029" s="280"/>
      <c r="X1029" s="280"/>
      <c r="Y1029" s="280"/>
      <c r="Z1029" s="280"/>
      <c r="AA1029" s="280"/>
      <c r="AB1029" s="280"/>
      <c r="AC1029" s="335"/>
      <c r="AD1029" s="336"/>
      <c r="AE1029" s="337"/>
      <c r="AF1029" s="338"/>
      <c r="AG1029" s="329"/>
      <c r="AH1029" s="339"/>
      <c r="AI1029" s="338"/>
      <c r="AJ1029" s="338"/>
      <c r="AK1029" s="338"/>
      <c r="AL1029" s="329"/>
    </row>
    <row r="1030" ht="24.75" customHeight="1">
      <c r="A1030" s="328"/>
      <c r="B1030" s="329"/>
      <c r="C1030" s="340"/>
      <c r="D1030" s="331"/>
      <c r="E1030" s="332"/>
      <c r="F1030" s="331"/>
      <c r="G1030" s="331"/>
      <c r="H1030" s="333"/>
      <c r="I1030" s="333"/>
      <c r="J1030" s="333"/>
      <c r="K1030" s="332"/>
      <c r="L1030" s="331"/>
      <c r="M1030" s="329"/>
      <c r="N1030" s="332"/>
      <c r="O1030" s="332"/>
      <c r="P1030" s="332"/>
      <c r="Q1030" s="332"/>
      <c r="R1030" s="333"/>
      <c r="S1030" s="332"/>
      <c r="T1030" s="329"/>
      <c r="U1030" s="332"/>
      <c r="V1030" s="334"/>
      <c r="W1030" s="280"/>
      <c r="X1030" s="280"/>
      <c r="Y1030" s="280"/>
      <c r="Z1030" s="280"/>
      <c r="AA1030" s="280"/>
      <c r="AB1030" s="280"/>
      <c r="AC1030" s="335"/>
      <c r="AD1030" s="336"/>
      <c r="AE1030" s="337"/>
      <c r="AF1030" s="338"/>
      <c r="AG1030" s="329"/>
      <c r="AH1030" s="339"/>
      <c r="AI1030" s="338"/>
      <c r="AJ1030" s="338"/>
      <c r="AK1030" s="338"/>
      <c r="AL1030" s="329"/>
    </row>
    <row r="1031" ht="24.75" customHeight="1">
      <c r="A1031" s="328"/>
      <c r="B1031" s="329"/>
      <c r="C1031" s="340"/>
      <c r="D1031" s="331"/>
      <c r="E1031" s="332"/>
      <c r="F1031" s="331"/>
      <c r="G1031" s="331"/>
      <c r="H1031" s="333"/>
      <c r="I1031" s="333"/>
      <c r="J1031" s="333"/>
      <c r="K1031" s="332"/>
      <c r="L1031" s="331"/>
      <c r="M1031" s="329"/>
      <c r="N1031" s="332"/>
      <c r="O1031" s="332"/>
      <c r="P1031" s="332"/>
      <c r="Q1031" s="332"/>
      <c r="R1031" s="333"/>
      <c r="S1031" s="332"/>
      <c r="T1031" s="329"/>
      <c r="U1031" s="332"/>
      <c r="V1031" s="334"/>
      <c r="W1031" s="280"/>
      <c r="X1031" s="280"/>
      <c r="Y1031" s="280"/>
      <c r="Z1031" s="280"/>
      <c r="AA1031" s="280"/>
      <c r="AB1031" s="280"/>
      <c r="AC1031" s="335"/>
      <c r="AD1031" s="336"/>
      <c r="AE1031" s="337"/>
      <c r="AF1031" s="338"/>
      <c r="AG1031" s="329"/>
      <c r="AH1031" s="339"/>
      <c r="AI1031" s="338"/>
      <c r="AJ1031" s="338"/>
      <c r="AK1031" s="338"/>
      <c r="AL1031" s="329"/>
    </row>
    <row r="1032" ht="24.75" customHeight="1">
      <c r="A1032" s="328"/>
      <c r="B1032" s="329"/>
      <c r="C1032" s="340"/>
      <c r="D1032" s="331"/>
      <c r="E1032" s="332"/>
      <c r="F1032" s="331"/>
      <c r="G1032" s="331"/>
      <c r="H1032" s="333"/>
      <c r="I1032" s="333"/>
      <c r="J1032" s="333"/>
      <c r="K1032" s="332"/>
      <c r="L1032" s="331"/>
      <c r="M1032" s="329"/>
      <c r="N1032" s="332"/>
      <c r="O1032" s="332"/>
      <c r="P1032" s="332"/>
      <c r="Q1032" s="332"/>
      <c r="R1032" s="333"/>
      <c r="S1032" s="332"/>
      <c r="T1032" s="329"/>
      <c r="U1032" s="332"/>
      <c r="V1032" s="334"/>
      <c r="W1032" s="280"/>
      <c r="X1032" s="280"/>
      <c r="Y1032" s="280"/>
      <c r="Z1032" s="280"/>
      <c r="AA1032" s="280"/>
      <c r="AB1032" s="280"/>
      <c r="AC1032" s="335"/>
      <c r="AD1032" s="336"/>
      <c r="AE1032" s="337"/>
      <c r="AF1032" s="338"/>
      <c r="AG1032" s="329"/>
      <c r="AH1032" s="339"/>
      <c r="AI1032" s="338"/>
      <c r="AJ1032" s="338"/>
      <c r="AK1032" s="338"/>
      <c r="AL1032" s="329"/>
    </row>
    <row r="1033" ht="24.75" customHeight="1">
      <c r="A1033" s="328"/>
      <c r="B1033" s="329"/>
      <c r="C1033" s="340"/>
      <c r="D1033" s="331"/>
      <c r="E1033" s="332"/>
      <c r="F1033" s="331"/>
      <c r="G1033" s="331"/>
      <c r="H1033" s="333"/>
      <c r="I1033" s="333"/>
      <c r="J1033" s="333"/>
      <c r="K1033" s="332"/>
      <c r="L1033" s="331"/>
      <c r="M1033" s="329"/>
      <c r="N1033" s="332"/>
      <c r="O1033" s="332"/>
      <c r="P1033" s="332"/>
      <c r="Q1033" s="332"/>
      <c r="R1033" s="333"/>
      <c r="S1033" s="332"/>
      <c r="T1033" s="329"/>
      <c r="U1033" s="332"/>
      <c r="V1033" s="334"/>
      <c r="W1033" s="280"/>
      <c r="X1033" s="280"/>
      <c r="Y1033" s="280"/>
      <c r="Z1033" s="280"/>
      <c r="AA1033" s="280"/>
      <c r="AB1033" s="280"/>
      <c r="AC1033" s="335"/>
      <c r="AD1033" s="336"/>
      <c r="AE1033" s="337"/>
      <c r="AF1033" s="338"/>
      <c r="AG1033" s="329"/>
      <c r="AH1033" s="339"/>
      <c r="AI1033" s="338"/>
      <c r="AJ1033" s="338"/>
      <c r="AK1033" s="338"/>
      <c r="AL1033" s="329"/>
    </row>
    <row r="1034" ht="24.75" customHeight="1">
      <c r="A1034" s="328"/>
      <c r="B1034" s="329"/>
      <c r="C1034" s="340"/>
      <c r="D1034" s="331"/>
      <c r="E1034" s="332"/>
      <c r="F1034" s="331"/>
      <c r="G1034" s="331"/>
      <c r="H1034" s="333"/>
      <c r="I1034" s="333"/>
      <c r="J1034" s="333"/>
      <c r="K1034" s="332"/>
      <c r="L1034" s="331"/>
      <c r="M1034" s="329"/>
      <c r="N1034" s="332"/>
      <c r="O1034" s="332"/>
      <c r="P1034" s="332"/>
      <c r="Q1034" s="332"/>
      <c r="R1034" s="333"/>
      <c r="S1034" s="332"/>
      <c r="T1034" s="329"/>
      <c r="U1034" s="332"/>
      <c r="V1034" s="334"/>
      <c r="W1034" s="280"/>
      <c r="X1034" s="280"/>
      <c r="Y1034" s="280"/>
      <c r="Z1034" s="280"/>
      <c r="AA1034" s="280"/>
      <c r="AB1034" s="280"/>
      <c r="AC1034" s="335"/>
      <c r="AD1034" s="336"/>
      <c r="AE1034" s="337"/>
      <c r="AF1034" s="338"/>
      <c r="AG1034" s="329"/>
      <c r="AH1034" s="339"/>
      <c r="AI1034" s="338"/>
      <c r="AJ1034" s="338"/>
      <c r="AK1034" s="338"/>
      <c r="AL1034" s="329"/>
    </row>
    <row r="1035" ht="24.75" customHeight="1">
      <c r="A1035" s="328"/>
      <c r="B1035" s="329"/>
      <c r="C1035" s="340"/>
      <c r="D1035" s="331"/>
      <c r="E1035" s="332"/>
      <c r="F1035" s="331"/>
      <c r="G1035" s="331"/>
      <c r="H1035" s="333"/>
      <c r="I1035" s="333"/>
      <c r="J1035" s="333"/>
      <c r="K1035" s="332"/>
      <c r="L1035" s="331"/>
      <c r="M1035" s="329"/>
      <c r="N1035" s="332"/>
      <c r="O1035" s="332"/>
      <c r="P1035" s="332"/>
      <c r="Q1035" s="332"/>
      <c r="R1035" s="333"/>
      <c r="S1035" s="332"/>
      <c r="T1035" s="329"/>
      <c r="U1035" s="332"/>
      <c r="V1035" s="334"/>
      <c r="W1035" s="280"/>
      <c r="X1035" s="280"/>
      <c r="Y1035" s="280"/>
      <c r="Z1035" s="280"/>
      <c r="AA1035" s="280"/>
      <c r="AB1035" s="280"/>
      <c r="AC1035" s="335"/>
      <c r="AD1035" s="336"/>
      <c r="AE1035" s="337"/>
      <c r="AF1035" s="338"/>
      <c r="AG1035" s="329"/>
      <c r="AH1035" s="339"/>
      <c r="AI1035" s="338"/>
      <c r="AJ1035" s="338"/>
      <c r="AK1035" s="338"/>
      <c r="AL1035" s="329"/>
    </row>
    <row r="1036" ht="24.75" customHeight="1">
      <c r="A1036" s="328"/>
      <c r="B1036" s="329"/>
      <c r="C1036" s="340"/>
      <c r="D1036" s="331"/>
      <c r="E1036" s="332"/>
      <c r="F1036" s="331"/>
      <c r="G1036" s="331"/>
      <c r="H1036" s="333"/>
      <c r="I1036" s="333"/>
      <c r="J1036" s="333"/>
      <c r="K1036" s="332"/>
      <c r="L1036" s="331"/>
      <c r="M1036" s="329"/>
      <c r="N1036" s="332"/>
      <c r="O1036" s="332"/>
      <c r="P1036" s="332"/>
      <c r="Q1036" s="332"/>
      <c r="R1036" s="333"/>
      <c r="S1036" s="332"/>
      <c r="T1036" s="329"/>
      <c r="U1036" s="332"/>
      <c r="V1036" s="334"/>
      <c r="W1036" s="280"/>
      <c r="X1036" s="280"/>
      <c r="Y1036" s="280"/>
      <c r="Z1036" s="280"/>
      <c r="AA1036" s="280"/>
      <c r="AB1036" s="280"/>
      <c r="AC1036" s="335"/>
      <c r="AD1036" s="336"/>
      <c r="AE1036" s="337"/>
      <c r="AF1036" s="338"/>
      <c r="AG1036" s="329"/>
      <c r="AH1036" s="339"/>
      <c r="AI1036" s="338"/>
      <c r="AJ1036" s="338"/>
      <c r="AK1036" s="338"/>
      <c r="AL1036" s="329"/>
    </row>
    <row r="1037" ht="24.75" customHeight="1">
      <c r="A1037" s="328"/>
      <c r="B1037" s="329"/>
      <c r="C1037" s="340"/>
      <c r="D1037" s="331"/>
      <c r="E1037" s="332"/>
      <c r="F1037" s="331"/>
      <c r="G1037" s="331"/>
      <c r="H1037" s="333"/>
      <c r="I1037" s="333"/>
      <c r="J1037" s="333"/>
      <c r="K1037" s="332"/>
      <c r="L1037" s="331"/>
      <c r="M1037" s="329"/>
      <c r="N1037" s="332"/>
      <c r="O1037" s="332"/>
      <c r="P1037" s="332"/>
      <c r="Q1037" s="332"/>
      <c r="R1037" s="333"/>
      <c r="S1037" s="332"/>
      <c r="T1037" s="329"/>
      <c r="U1037" s="332"/>
      <c r="V1037" s="334"/>
      <c r="W1037" s="280"/>
      <c r="X1037" s="280"/>
      <c r="Y1037" s="280"/>
      <c r="Z1037" s="280"/>
      <c r="AA1037" s="280"/>
      <c r="AB1037" s="280"/>
      <c r="AC1037" s="335"/>
      <c r="AD1037" s="336"/>
      <c r="AE1037" s="337"/>
      <c r="AF1037" s="338"/>
      <c r="AG1037" s="329"/>
      <c r="AH1037" s="339"/>
      <c r="AI1037" s="338"/>
      <c r="AJ1037" s="338"/>
      <c r="AK1037" s="338"/>
      <c r="AL1037" s="329"/>
    </row>
    <row r="1038" ht="24.75" customHeight="1">
      <c r="A1038" s="328"/>
      <c r="B1038" s="329"/>
      <c r="C1038" s="340"/>
      <c r="D1038" s="331"/>
      <c r="E1038" s="332"/>
      <c r="F1038" s="331"/>
      <c r="G1038" s="331"/>
      <c r="H1038" s="333"/>
      <c r="I1038" s="333"/>
      <c r="J1038" s="333"/>
      <c r="K1038" s="332"/>
      <c r="L1038" s="331"/>
      <c r="M1038" s="329"/>
      <c r="N1038" s="332"/>
      <c r="O1038" s="332"/>
      <c r="P1038" s="332"/>
      <c r="Q1038" s="332"/>
      <c r="R1038" s="333"/>
      <c r="S1038" s="332"/>
      <c r="T1038" s="329"/>
      <c r="U1038" s="332"/>
      <c r="V1038" s="334"/>
      <c r="W1038" s="280"/>
      <c r="X1038" s="280"/>
      <c r="Y1038" s="280"/>
      <c r="Z1038" s="280"/>
      <c r="AA1038" s="280"/>
      <c r="AB1038" s="280"/>
      <c r="AC1038" s="335"/>
      <c r="AD1038" s="336"/>
      <c r="AE1038" s="337"/>
      <c r="AF1038" s="338"/>
      <c r="AG1038" s="329"/>
      <c r="AH1038" s="339"/>
      <c r="AI1038" s="338"/>
      <c r="AJ1038" s="338"/>
      <c r="AK1038" s="338"/>
      <c r="AL1038" s="329"/>
    </row>
    <row r="1039" ht="24.75" customHeight="1">
      <c r="A1039" s="328"/>
      <c r="B1039" s="329"/>
      <c r="C1039" s="340"/>
      <c r="D1039" s="331"/>
      <c r="E1039" s="332"/>
      <c r="F1039" s="331"/>
      <c r="G1039" s="331"/>
      <c r="H1039" s="333"/>
      <c r="I1039" s="333"/>
      <c r="J1039" s="333"/>
      <c r="K1039" s="332"/>
      <c r="L1039" s="331"/>
      <c r="M1039" s="329"/>
      <c r="N1039" s="332"/>
      <c r="O1039" s="332"/>
      <c r="P1039" s="332"/>
      <c r="Q1039" s="332"/>
      <c r="R1039" s="333"/>
      <c r="S1039" s="332"/>
      <c r="T1039" s="329"/>
      <c r="U1039" s="332"/>
      <c r="V1039" s="334"/>
      <c r="W1039" s="280"/>
      <c r="X1039" s="280"/>
      <c r="Y1039" s="280"/>
      <c r="Z1039" s="280"/>
      <c r="AA1039" s="280"/>
      <c r="AB1039" s="280"/>
      <c r="AC1039" s="335"/>
      <c r="AD1039" s="336"/>
      <c r="AE1039" s="337"/>
      <c r="AF1039" s="338"/>
      <c r="AG1039" s="329"/>
      <c r="AH1039" s="339"/>
      <c r="AI1039" s="338"/>
      <c r="AJ1039" s="338"/>
      <c r="AK1039" s="338"/>
      <c r="AL1039" s="329"/>
    </row>
    <row r="1040" ht="24.75" customHeight="1">
      <c r="A1040" s="328"/>
      <c r="B1040" s="329"/>
      <c r="C1040" s="340"/>
      <c r="D1040" s="331"/>
      <c r="E1040" s="332"/>
      <c r="F1040" s="331"/>
      <c r="G1040" s="331"/>
      <c r="H1040" s="333"/>
      <c r="I1040" s="333"/>
      <c r="J1040" s="333"/>
      <c r="K1040" s="332"/>
      <c r="L1040" s="331"/>
      <c r="M1040" s="329"/>
      <c r="N1040" s="332"/>
      <c r="O1040" s="332"/>
      <c r="P1040" s="332"/>
      <c r="Q1040" s="332"/>
      <c r="R1040" s="333"/>
      <c r="S1040" s="332"/>
      <c r="T1040" s="329"/>
      <c r="U1040" s="332"/>
      <c r="V1040" s="334"/>
      <c r="W1040" s="280"/>
      <c r="X1040" s="280"/>
      <c r="Y1040" s="280"/>
      <c r="Z1040" s="280"/>
      <c r="AA1040" s="280"/>
      <c r="AB1040" s="280"/>
      <c r="AC1040" s="335"/>
      <c r="AD1040" s="336"/>
      <c r="AE1040" s="337"/>
      <c r="AF1040" s="338"/>
      <c r="AG1040" s="329"/>
      <c r="AH1040" s="339"/>
      <c r="AI1040" s="338"/>
      <c r="AJ1040" s="338"/>
      <c r="AK1040" s="338"/>
      <c r="AL1040" s="329"/>
    </row>
    <row r="1041" ht="24.75" customHeight="1">
      <c r="A1041" s="328"/>
      <c r="B1041" s="329"/>
      <c r="C1041" s="340"/>
      <c r="D1041" s="331"/>
      <c r="E1041" s="332"/>
      <c r="F1041" s="331"/>
      <c r="G1041" s="331"/>
      <c r="H1041" s="333"/>
      <c r="I1041" s="333"/>
      <c r="J1041" s="333"/>
      <c r="K1041" s="332"/>
      <c r="L1041" s="331"/>
      <c r="M1041" s="329"/>
      <c r="N1041" s="332"/>
      <c r="O1041" s="332"/>
      <c r="P1041" s="332"/>
      <c r="Q1041" s="332"/>
      <c r="R1041" s="333"/>
      <c r="S1041" s="332"/>
      <c r="T1041" s="329"/>
      <c r="U1041" s="332"/>
      <c r="V1041" s="334"/>
      <c r="W1041" s="280"/>
      <c r="X1041" s="280"/>
      <c r="Y1041" s="280"/>
      <c r="Z1041" s="280"/>
      <c r="AA1041" s="280"/>
      <c r="AB1041" s="280"/>
      <c r="AC1041" s="335"/>
      <c r="AD1041" s="336"/>
      <c r="AE1041" s="337"/>
      <c r="AF1041" s="338"/>
      <c r="AG1041" s="329"/>
      <c r="AH1041" s="339"/>
      <c r="AI1041" s="338"/>
      <c r="AJ1041" s="338"/>
      <c r="AK1041" s="338"/>
      <c r="AL1041" s="329"/>
    </row>
    <row r="1042" ht="24.75" customHeight="1">
      <c r="A1042" s="328"/>
      <c r="B1042" s="329"/>
      <c r="C1042" s="340"/>
      <c r="D1042" s="331"/>
      <c r="E1042" s="332"/>
      <c r="F1042" s="331"/>
      <c r="G1042" s="331"/>
      <c r="H1042" s="333"/>
      <c r="I1042" s="333"/>
      <c r="J1042" s="333"/>
      <c r="K1042" s="332"/>
      <c r="L1042" s="331"/>
      <c r="M1042" s="329"/>
      <c r="N1042" s="332"/>
      <c r="O1042" s="332"/>
      <c r="P1042" s="332"/>
      <c r="Q1042" s="332"/>
      <c r="R1042" s="333"/>
      <c r="S1042" s="332"/>
      <c r="T1042" s="329"/>
      <c r="U1042" s="332"/>
      <c r="V1042" s="334"/>
      <c r="W1042" s="280"/>
      <c r="X1042" s="280"/>
      <c r="Y1042" s="280"/>
      <c r="Z1042" s="280"/>
      <c r="AA1042" s="280"/>
      <c r="AB1042" s="280"/>
      <c r="AC1042" s="335"/>
      <c r="AD1042" s="336"/>
      <c r="AE1042" s="337"/>
      <c r="AF1042" s="338"/>
      <c r="AG1042" s="329"/>
      <c r="AH1042" s="339"/>
      <c r="AI1042" s="338"/>
      <c r="AJ1042" s="338"/>
      <c r="AK1042" s="338"/>
      <c r="AL1042" s="329"/>
    </row>
    <row r="1043" ht="24.75" customHeight="1">
      <c r="A1043" s="328"/>
      <c r="B1043" s="329"/>
      <c r="C1043" s="340"/>
      <c r="D1043" s="331"/>
      <c r="E1043" s="332"/>
      <c r="F1043" s="331"/>
      <c r="G1043" s="331"/>
      <c r="H1043" s="333"/>
      <c r="I1043" s="333"/>
      <c r="J1043" s="333"/>
      <c r="K1043" s="332"/>
      <c r="L1043" s="331"/>
      <c r="M1043" s="329"/>
      <c r="N1043" s="332"/>
      <c r="O1043" s="332"/>
      <c r="P1043" s="332"/>
      <c r="Q1043" s="332"/>
      <c r="R1043" s="333"/>
      <c r="S1043" s="332"/>
      <c r="T1043" s="329"/>
      <c r="U1043" s="332"/>
      <c r="V1043" s="334"/>
      <c r="W1043" s="280"/>
      <c r="X1043" s="280"/>
      <c r="Y1043" s="280"/>
      <c r="Z1043" s="280"/>
      <c r="AA1043" s="280"/>
      <c r="AB1043" s="280"/>
      <c r="AC1043" s="335"/>
      <c r="AD1043" s="336"/>
      <c r="AE1043" s="337"/>
      <c r="AF1043" s="338"/>
      <c r="AG1043" s="329"/>
      <c r="AH1043" s="339"/>
      <c r="AI1043" s="338"/>
      <c r="AJ1043" s="338"/>
      <c r="AK1043" s="338"/>
      <c r="AL1043" s="329"/>
    </row>
    <row r="1044" ht="24.75" customHeight="1">
      <c r="A1044" s="328"/>
      <c r="B1044" s="329"/>
      <c r="C1044" s="340"/>
      <c r="D1044" s="331"/>
      <c r="E1044" s="332"/>
      <c r="F1044" s="331"/>
      <c r="G1044" s="331"/>
      <c r="H1044" s="333"/>
      <c r="I1044" s="333"/>
      <c r="J1044" s="333"/>
      <c r="K1044" s="332"/>
      <c r="L1044" s="331"/>
      <c r="M1044" s="329"/>
      <c r="N1044" s="332"/>
      <c r="O1044" s="332"/>
      <c r="P1044" s="332"/>
      <c r="Q1044" s="332"/>
      <c r="R1044" s="333"/>
      <c r="S1044" s="332"/>
      <c r="T1044" s="329"/>
      <c r="U1044" s="332"/>
      <c r="V1044" s="334"/>
      <c r="W1044" s="280"/>
      <c r="X1044" s="280"/>
      <c r="Y1044" s="280"/>
      <c r="Z1044" s="280"/>
      <c r="AA1044" s="280"/>
      <c r="AB1044" s="280"/>
      <c r="AC1044" s="335"/>
      <c r="AD1044" s="336"/>
      <c r="AE1044" s="337"/>
      <c r="AF1044" s="338"/>
      <c r="AG1044" s="329"/>
      <c r="AH1044" s="339"/>
      <c r="AI1044" s="338"/>
      <c r="AJ1044" s="338"/>
      <c r="AK1044" s="338"/>
      <c r="AL1044" s="329"/>
    </row>
    <row r="1045" ht="24.75" customHeight="1">
      <c r="A1045" s="328"/>
      <c r="B1045" s="329"/>
      <c r="C1045" s="340"/>
      <c r="D1045" s="331"/>
      <c r="E1045" s="332"/>
      <c r="F1045" s="331"/>
      <c r="G1045" s="331"/>
      <c r="H1045" s="333"/>
      <c r="I1045" s="333"/>
      <c r="J1045" s="333"/>
      <c r="K1045" s="332"/>
      <c r="L1045" s="331"/>
      <c r="M1045" s="329"/>
      <c r="N1045" s="332"/>
      <c r="O1045" s="332"/>
      <c r="P1045" s="332"/>
      <c r="Q1045" s="332"/>
      <c r="R1045" s="333"/>
      <c r="S1045" s="332"/>
      <c r="T1045" s="329"/>
      <c r="U1045" s="332"/>
      <c r="V1045" s="334"/>
      <c r="W1045" s="280"/>
      <c r="X1045" s="280"/>
      <c r="Y1045" s="280"/>
      <c r="Z1045" s="280"/>
      <c r="AA1045" s="280"/>
      <c r="AB1045" s="280"/>
      <c r="AC1045" s="335"/>
      <c r="AD1045" s="336"/>
      <c r="AE1045" s="337"/>
      <c r="AF1045" s="338"/>
      <c r="AG1045" s="329"/>
      <c r="AH1045" s="339"/>
      <c r="AI1045" s="338"/>
      <c r="AJ1045" s="338"/>
      <c r="AK1045" s="338"/>
      <c r="AL1045" s="329"/>
    </row>
    <row r="1046" ht="24.75" customHeight="1">
      <c r="A1046" s="328"/>
      <c r="B1046" s="329"/>
      <c r="C1046" s="340"/>
      <c r="D1046" s="331"/>
      <c r="E1046" s="332"/>
      <c r="F1046" s="331"/>
      <c r="G1046" s="331"/>
      <c r="H1046" s="333"/>
      <c r="I1046" s="333"/>
      <c r="J1046" s="333"/>
      <c r="K1046" s="332"/>
      <c r="L1046" s="331"/>
      <c r="M1046" s="329"/>
      <c r="N1046" s="332"/>
      <c r="O1046" s="332"/>
      <c r="P1046" s="332"/>
      <c r="Q1046" s="332"/>
      <c r="R1046" s="333"/>
      <c r="S1046" s="332"/>
      <c r="T1046" s="329"/>
      <c r="U1046" s="332"/>
      <c r="V1046" s="334"/>
      <c r="W1046" s="280"/>
      <c r="X1046" s="280"/>
      <c r="Y1046" s="280"/>
      <c r="Z1046" s="280"/>
      <c r="AA1046" s="280"/>
      <c r="AB1046" s="280"/>
      <c r="AC1046" s="335"/>
      <c r="AD1046" s="336"/>
      <c r="AE1046" s="337"/>
      <c r="AF1046" s="338"/>
      <c r="AG1046" s="329"/>
      <c r="AH1046" s="339"/>
      <c r="AI1046" s="338"/>
      <c r="AJ1046" s="338"/>
      <c r="AK1046" s="338"/>
      <c r="AL1046" s="329"/>
    </row>
    <row r="1047" ht="24.75" customHeight="1">
      <c r="A1047" s="328"/>
      <c r="B1047" s="329"/>
      <c r="C1047" s="340"/>
      <c r="D1047" s="331"/>
      <c r="E1047" s="332"/>
      <c r="F1047" s="331"/>
      <c r="G1047" s="331"/>
      <c r="H1047" s="333"/>
      <c r="I1047" s="333"/>
      <c r="J1047" s="333"/>
      <c r="K1047" s="332"/>
      <c r="L1047" s="331"/>
      <c r="M1047" s="329"/>
      <c r="N1047" s="332"/>
      <c r="O1047" s="332"/>
      <c r="P1047" s="332"/>
      <c r="Q1047" s="332"/>
      <c r="R1047" s="333"/>
      <c r="S1047" s="332"/>
      <c r="T1047" s="329"/>
      <c r="U1047" s="332"/>
      <c r="V1047" s="334"/>
      <c r="W1047" s="280"/>
      <c r="X1047" s="280"/>
      <c r="Y1047" s="280"/>
      <c r="Z1047" s="280"/>
      <c r="AA1047" s="280"/>
      <c r="AB1047" s="280"/>
      <c r="AC1047" s="335"/>
      <c r="AD1047" s="336"/>
      <c r="AE1047" s="337"/>
      <c r="AF1047" s="338"/>
      <c r="AG1047" s="329"/>
      <c r="AH1047" s="339"/>
      <c r="AI1047" s="338"/>
      <c r="AJ1047" s="338"/>
      <c r="AK1047" s="338"/>
      <c r="AL1047" s="329"/>
    </row>
    <row r="1048" ht="24.75" customHeight="1">
      <c r="A1048" s="328"/>
      <c r="B1048" s="329"/>
      <c r="C1048" s="340"/>
      <c r="D1048" s="331"/>
      <c r="E1048" s="332"/>
      <c r="F1048" s="331"/>
      <c r="G1048" s="331"/>
      <c r="H1048" s="333"/>
      <c r="I1048" s="333"/>
      <c r="J1048" s="333"/>
      <c r="K1048" s="332"/>
      <c r="L1048" s="331"/>
      <c r="M1048" s="329"/>
      <c r="N1048" s="332"/>
      <c r="O1048" s="332"/>
      <c r="P1048" s="332"/>
      <c r="Q1048" s="332"/>
      <c r="R1048" s="333"/>
      <c r="S1048" s="332"/>
      <c r="T1048" s="329"/>
      <c r="U1048" s="332"/>
      <c r="V1048" s="334"/>
      <c r="W1048" s="280"/>
      <c r="X1048" s="280"/>
      <c r="Y1048" s="280"/>
      <c r="Z1048" s="280"/>
      <c r="AA1048" s="280"/>
      <c r="AB1048" s="280"/>
      <c r="AC1048" s="335"/>
      <c r="AD1048" s="336"/>
      <c r="AE1048" s="337"/>
      <c r="AF1048" s="338"/>
      <c r="AG1048" s="329"/>
      <c r="AH1048" s="339"/>
      <c r="AI1048" s="338"/>
      <c r="AJ1048" s="338"/>
      <c r="AK1048" s="338"/>
      <c r="AL1048" s="329"/>
    </row>
    <row r="1049" ht="24.75" customHeight="1">
      <c r="A1049" s="328"/>
      <c r="B1049" s="329"/>
      <c r="C1049" s="340"/>
      <c r="D1049" s="331"/>
      <c r="E1049" s="332"/>
      <c r="F1049" s="331"/>
      <c r="G1049" s="331"/>
      <c r="H1049" s="333"/>
      <c r="I1049" s="333"/>
      <c r="J1049" s="333"/>
      <c r="K1049" s="332"/>
      <c r="L1049" s="331"/>
      <c r="M1049" s="329"/>
      <c r="N1049" s="332"/>
      <c r="O1049" s="332"/>
      <c r="P1049" s="332"/>
      <c r="Q1049" s="332"/>
      <c r="R1049" s="333"/>
      <c r="S1049" s="332"/>
      <c r="T1049" s="329"/>
      <c r="U1049" s="332"/>
      <c r="V1049" s="334"/>
      <c r="W1049" s="280"/>
      <c r="X1049" s="280"/>
      <c r="Y1049" s="280"/>
      <c r="Z1049" s="280"/>
      <c r="AA1049" s="280"/>
      <c r="AB1049" s="280"/>
      <c r="AC1049" s="335"/>
      <c r="AD1049" s="336"/>
      <c r="AE1049" s="337"/>
      <c r="AF1049" s="338"/>
      <c r="AG1049" s="329"/>
      <c r="AH1049" s="339"/>
      <c r="AI1049" s="338"/>
      <c r="AJ1049" s="338"/>
      <c r="AK1049" s="338"/>
      <c r="AL1049" s="329"/>
    </row>
    <row r="1050" ht="24.75" customHeight="1">
      <c r="A1050" s="328"/>
      <c r="B1050" s="329"/>
      <c r="C1050" s="340"/>
      <c r="D1050" s="331"/>
      <c r="E1050" s="332"/>
      <c r="F1050" s="331"/>
      <c r="G1050" s="331"/>
      <c r="H1050" s="333"/>
      <c r="I1050" s="333"/>
      <c r="J1050" s="333"/>
      <c r="K1050" s="332"/>
      <c r="L1050" s="331"/>
      <c r="M1050" s="329"/>
      <c r="N1050" s="332"/>
      <c r="O1050" s="332"/>
      <c r="P1050" s="332"/>
      <c r="Q1050" s="332"/>
      <c r="R1050" s="333"/>
      <c r="S1050" s="332"/>
      <c r="T1050" s="329"/>
      <c r="U1050" s="332"/>
      <c r="V1050" s="334"/>
      <c r="W1050" s="280"/>
      <c r="X1050" s="280"/>
      <c r="Y1050" s="280"/>
      <c r="Z1050" s="280"/>
      <c r="AA1050" s="280"/>
      <c r="AB1050" s="280"/>
      <c r="AC1050" s="335"/>
      <c r="AD1050" s="336"/>
      <c r="AE1050" s="337"/>
      <c r="AF1050" s="338"/>
      <c r="AG1050" s="329"/>
      <c r="AH1050" s="339"/>
      <c r="AI1050" s="338"/>
      <c r="AJ1050" s="338"/>
      <c r="AK1050" s="338"/>
      <c r="AL1050" s="329"/>
    </row>
    <row r="1051" ht="24.75" customHeight="1">
      <c r="A1051" s="328"/>
      <c r="B1051" s="329"/>
      <c r="C1051" s="340"/>
      <c r="D1051" s="331"/>
      <c r="E1051" s="332"/>
      <c r="F1051" s="331"/>
      <c r="G1051" s="331"/>
      <c r="H1051" s="333"/>
      <c r="I1051" s="333"/>
      <c r="J1051" s="333"/>
      <c r="K1051" s="332"/>
      <c r="L1051" s="331"/>
      <c r="M1051" s="329"/>
      <c r="N1051" s="332"/>
      <c r="O1051" s="332"/>
      <c r="P1051" s="332"/>
      <c r="Q1051" s="332"/>
      <c r="R1051" s="333"/>
      <c r="S1051" s="332"/>
      <c r="T1051" s="329"/>
      <c r="U1051" s="332"/>
      <c r="V1051" s="334"/>
      <c r="W1051" s="280"/>
      <c r="X1051" s="280"/>
      <c r="Y1051" s="280"/>
      <c r="Z1051" s="280"/>
      <c r="AA1051" s="280"/>
      <c r="AB1051" s="280"/>
      <c r="AC1051" s="335"/>
      <c r="AD1051" s="336"/>
      <c r="AE1051" s="337"/>
      <c r="AF1051" s="338"/>
      <c r="AG1051" s="329"/>
      <c r="AH1051" s="339"/>
      <c r="AI1051" s="338"/>
      <c r="AJ1051" s="338"/>
      <c r="AK1051" s="338"/>
      <c r="AL1051" s="329"/>
    </row>
    <row r="1052" ht="24.75" customHeight="1">
      <c r="A1052" s="328"/>
      <c r="B1052" s="329"/>
      <c r="C1052" s="340"/>
      <c r="D1052" s="331"/>
      <c r="E1052" s="332"/>
      <c r="F1052" s="331"/>
      <c r="G1052" s="331"/>
      <c r="H1052" s="333"/>
      <c r="I1052" s="333"/>
      <c r="J1052" s="333"/>
      <c r="K1052" s="332"/>
      <c r="L1052" s="331"/>
      <c r="M1052" s="329"/>
      <c r="N1052" s="332"/>
      <c r="O1052" s="332"/>
      <c r="P1052" s="332"/>
      <c r="Q1052" s="332"/>
      <c r="R1052" s="333"/>
      <c r="S1052" s="332"/>
      <c r="T1052" s="329"/>
      <c r="U1052" s="332"/>
      <c r="V1052" s="334"/>
      <c r="W1052" s="280"/>
      <c r="X1052" s="280"/>
      <c r="Y1052" s="280"/>
      <c r="Z1052" s="280"/>
      <c r="AA1052" s="280"/>
      <c r="AB1052" s="280"/>
      <c r="AC1052" s="335"/>
      <c r="AD1052" s="336"/>
      <c r="AE1052" s="337"/>
      <c r="AF1052" s="338"/>
      <c r="AG1052" s="329"/>
      <c r="AH1052" s="339"/>
      <c r="AI1052" s="338"/>
      <c r="AJ1052" s="338"/>
      <c r="AK1052" s="338"/>
      <c r="AL1052" s="329"/>
    </row>
    <row r="1053" ht="24.75" customHeight="1">
      <c r="A1053" s="328"/>
      <c r="B1053" s="329"/>
      <c r="C1053" s="340"/>
      <c r="D1053" s="331"/>
      <c r="E1053" s="332"/>
      <c r="F1053" s="331"/>
      <c r="G1053" s="331"/>
      <c r="H1053" s="333"/>
      <c r="I1053" s="333"/>
      <c r="J1053" s="333"/>
      <c r="K1053" s="332"/>
      <c r="L1053" s="331"/>
      <c r="M1053" s="329"/>
      <c r="N1053" s="332"/>
      <c r="O1053" s="332"/>
      <c r="P1053" s="332"/>
      <c r="Q1053" s="332"/>
      <c r="R1053" s="333"/>
      <c r="S1053" s="332"/>
      <c r="T1053" s="329"/>
      <c r="U1053" s="332"/>
      <c r="V1053" s="334"/>
      <c r="W1053" s="280"/>
      <c r="X1053" s="280"/>
      <c r="Y1053" s="280"/>
      <c r="Z1053" s="280"/>
      <c r="AA1053" s="280"/>
      <c r="AB1053" s="280"/>
      <c r="AC1053" s="335"/>
      <c r="AD1053" s="336"/>
      <c r="AE1053" s="337"/>
      <c r="AF1053" s="338"/>
      <c r="AG1053" s="329"/>
      <c r="AH1053" s="339"/>
      <c r="AI1053" s="338"/>
      <c r="AJ1053" s="338"/>
      <c r="AK1053" s="338"/>
      <c r="AL1053" s="329"/>
    </row>
    <row r="1054" ht="24.75" customHeight="1">
      <c r="A1054" s="328"/>
      <c r="B1054" s="329"/>
      <c r="C1054" s="340"/>
      <c r="D1054" s="331"/>
      <c r="E1054" s="332"/>
      <c r="F1054" s="331"/>
      <c r="G1054" s="331"/>
      <c r="H1054" s="333"/>
      <c r="I1054" s="333"/>
      <c r="J1054" s="333"/>
      <c r="K1054" s="332"/>
      <c r="L1054" s="331"/>
      <c r="M1054" s="329"/>
      <c r="N1054" s="332"/>
      <c r="O1054" s="332"/>
      <c r="P1054" s="332"/>
      <c r="Q1054" s="332"/>
      <c r="R1054" s="333"/>
      <c r="S1054" s="332"/>
      <c r="T1054" s="329"/>
      <c r="U1054" s="332"/>
      <c r="V1054" s="334"/>
      <c r="W1054" s="280"/>
      <c r="X1054" s="280"/>
      <c r="Y1054" s="280"/>
      <c r="Z1054" s="280"/>
      <c r="AA1054" s="280"/>
      <c r="AB1054" s="280"/>
      <c r="AC1054" s="335"/>
      <c r="AD1054" s="336"/>
      <c r="AE1054" s="337"/>
      <c r="AF1054" s="338"/>
      <c r="AG1054" s="329"/>
      <c r="AH1054" s="339"/>
      <c r="AI1054" s="338"/>
      <c r="AJ1054" s="338"/>
      <c r="AK1054" s="338"/>
      <c r="AL1054" s="329"/>
    </row>
    <row r="1055" ht="24.75" customHeight="1">
      <c r="A1055" s="328"/>
      <c r="B1055" s="329"/>
      <c r="C1055" s="340"/>
      <c r="D1055" s="331"/>
      <c r="E1055" s="332"/>
      <c r="F1055" s="331"/>
      <c r="G1055" s="331"/>
      <c r="H1055" s="333"/>
      <c r="I1055" s="333"/>
      <c r="J1055" s="333"/>
      <c r="K1055" s="332"/>
      <c r="L1055" s="331"/>
      <c r="M1055" s="329"/>
      <c r="N1055" s="332"/>
      <c r="O1055" s="332"/>
      <c r="P1055" s="332"/>
      <c r="Q1055" s="332"/>
      <c r="R1055" s="333"/>
      <c r="S1055" s="332"/>
      <c r="T1055" s="329"/>
      <c r="U1055" s="332"/>
      <c r="V1055" s="334"/>
      <c r="W1055" s="280"/>
      <c r="X1055" s="280"/>
      <c r="Y1055" s="280"/>
      <c r="Z1055" s="280"/>
      <c r="AA1055" s="280"/>
      <c r="AB1055" s="280"/>
      <c r="AC1055" s="335"/>
      <c r="AD1055" s="336"/>
      <c r="AE1055" s="337"/>
      <c r="AF1055" s="338"/>
      <c r="AG1055" s="329"/>
      <c r="AH1055" s="339"/>
      <c r="AI1055" s="338"/>
      <c r="AJ1055" s="338"/>
      <c r="AK1055" s="338"/>
      <c r="AL1055" s="329"/>
    </row>
    <row r="1056" ht="24.75" customHeight="1">
      <c r="A1056" s="328"/>
      <c r="B1056" s="329"/>
      <c r="C1056" s="340"/>
      <c r="D1056" s="331"/>
      <c r="E1056" s="332"/>
      <c r="F1056" s="331"/>
      <c r="G1056" s="331"/>
      <c r="H1056" s="333"/>
      <c r="I1056" s="333"/>
      <c r="J1056" s="333"/>
      <c r="K1056" s="332"/>
      <c r="L1056" s="331"/>
      <c r="M1056" s="329"/>
      <c r="N1056" s="332"/>
      <c r="O1056" s="332"/>
      <c r="P1056" s="332"/>
      <c r="Q1056" s="332"/>
      <c r="R1056" s="333"/>
      <c r="S1056" s="332"/>
      <c r="T1056" s="329"/>
      <c r="U1056" s="332"/>
      <c r="V1056" s="334"/>
      <c r="W1056" s="280"/>
      <c r="X1056" s="280"/>
      <c r="Y1056" s="280"/>
      <c r="Z1056" s="280"/>
      <c r="AA1056" s="280"/>
      <c r="AB1056" s="280"/>
      <c r="AC1056" s="335"/>
      <c r="AD1056" s="336"/>
      <c r="AE1056" s="337"/>
      <c r="AF1056" s="338"/>
      <c r="AG1056" s="329"/>
      <c r="AH1056" s="339"/>
      <c r="AI1056" s="338"/>
      <c r="AJ1056" s="338"/>
      <c r="AK1056" s="338"/>
      <c r="AL1056" s="329"/>
    </row>
    <row r="1057" ht="24.75" customHeight="1">
      <c r="A1057" s="328"/>
      <c r="B1057" s="329"/>
      <c r="C1057" s="340"/>
      <c r="D1057" s="331"/>
      <c r="E1057" s="332"/>
      <c r="F1057" s="331"/>
      <c r="G1057" s="331"/>
      <c r="H1057" s="333"/>
      <c r="I1057" s="333"/>
      <c r="J1057" s="333"/>
      <c r="K1057" s="332"/>
      <c r="L1057" s="331"/>
      <c r="M1057" s="329"/>
      <c r="N1057" s="332"/>
      <c r="O1057" s="332"/>
      <c r="P1057" s="332"/>
      <c r="Q1057" s="332"/>
      <c r="R1057" s="333"/>
      <c r="S1057" s="332"/>
      <c r="T1057" s="329"/>
      <c r="U1057" s="332"/>
      <c r="V1057" s="334"/>
      <c r="W1057" s="280"/>
      <c r="X1057" s="280"/>
      <c r="Y1057" s="280"/>
      <c r="Z1057" s="280"/>
      <c r="AA1057" s="280"/>
      <c r="AB1057" s="280"/>
      <c r="AC1057" s="335"/>
      <c r="AD1057" s="336"/>
      <c r="AE1057" s="337"/>
      <c r="AF1057" s="338"/>
      <c r="AG1057" s="329"/>
      <c r="AH1057" s="339"/>
      <c r="AI1057" s="338"/>
      <c r="AJ1057" s="338"/>
      <c r="AK1057" s="338"/>
      <c r="AL1057" s="329"/>
    </row>
    <row r="1058" ht="24.75" customHeight="1">
      <c r="A1058" s="328"/>
      <c r="B1058" s="329"/>
      <c r="C1058" s="340"/>
      <c r="D1058" s="331"/>
      <c r="E1058" s="332"/>
      <c r="F1058" s="331"/>
      <c r="G1058" s="331"/>
      <c r="H1058" s="333"/>
      <c r="I1058" s="333"/>
      <c r="J1058" s="333"/>
      <c r="K1058" s="332"/>
      <c r="L1058" s="331"/>
      <c r="M1058" s="329"/>
      <c r="N1058" s="332"/>
      <c r="O1058" s="332"/>
      <c r="P1058" s="332"/>
      <c r="Q1058" s="332"/>
      <c r="R1058" s="333"/>
      <c r="S1058" s="332"/>
      <c r="T1058" s="329"/>
      <c r="U1058" s="332"/>
      <c r="V1058" s="334"/>
      <c r="W1058" s="280"/>
      <c r="X1058" s="280"/>
      <c r="Y1058" s="280"/>
      <c r="Z1058" s="280"/>
      <c r="AA1058" s="280"/>
      <c r="AB1058" s="280"/>
      <c r="AC1058" s="335"/>
      <c r="AD1058" s="336"/>
      <c r="AE1058" s="337"/>
      <c r="AF1058" s="338"/>
      <c r="AG1058" s="329"/>
      <c r="AH1058" s="339"/>
      <c r="AI1058" s="338"/>
      <c r="AJ1058" s="338"/>
      <c r="AK1058" s="338"/>
      <c r="AL1058" s="329"/>
    </row>
    <row r="1059" ht="24.75" customHeight="1">
      <c r="A1059" s="328"/>
      <c r="B1059" s="329"/>
      <c r="C1059" s="340"/>
      <c r="D1059" s="331"/>
      <c r="E1059" s="332"/>
      <c r="F1059" s="331"/>
      <c r="G1059" s="331"/>
      <c r="H1059" s="333"/>
      <c r="I1059" s="333"/>
      <c r="J1059" s="333"/>
      <c r="K1059" s="332"/>
      <c r="L1059" s="331"/>
      <c r="M1059" s="329"/>
      <c r="N1059" s="332"/>
      <c r="O1059" s="332"/>
      <c r="P1059" s="332"/>
      <c r="Q1059" s="332"/>
      <c r="R1059" s="333"/>
      <c r="S1059" s="332"/>
      <c r="T1059" s="329"/>
      <c r="U1059" s="332"/>
      <c r="V1059" s="334"/>
      <c r="W1059" s="280"/>
      <c r="X1059" s="280"/>
      <c r="Y1059" s="280"/>
      <c r="Z1059" s="280"/>
      <c r="AA1059" s="280"/>
      <c r="AB1059" s="280"/>
      <c r="AC1059" s="335"/>
      <c r="AD1059" s="336"/>
      <c r="AE1059" s="337"/>
      <c r="AF1059" s="338"/>
      <c r="AG1059" s="329"/>
      <c r="AH1059" s="339"/>
      <c r="AI1059" s="338"/>
      <c r="AJ1059" s="338"/>
      <c r="AK1059" s="338"/>
      <c r="AL1059" s="329"/>
    </row>
    <row r="1060" ht="24.75" customHeight="1">
      <c r="A1060" s="328"/>
      <c r="B1060" s="329"/>
      <c r="C1060" s="340"/>
      <c r="D1060" s="331"/>
      <c r="E1060" s="332"/>
      <c r="F1060" s="331"/>
      <c r="G1060" s="331"/>
      <c r="H1060" s="333"/>
      <c r="I1060" s="333"/>
      <c r="J1060" s="333"/>
      <c r="K1060" s="332"/>
      <c r="L1060" s="331"/>
      <c r="M1060" s="329"/>
      <c r="N1060" s="332"/>
      <c r="O1060" s="332"/>
      <c r="P1060" s="332"/>
      <c r="Q1060" s="332"/>
      <c r="R1060" s="333"/>
      <c r="S1060" s="332"/>
      <c r="T1060" s="329"/>
      <c r="U1060" s="332"/>
      <c r="V1060" s="334"/>
      <c r="W1060" s="280"/>
      <c r="X1060" s="280"/>
      <c r="Y1060" s="280"/>
      <c r="Z1060" s="280"/>
      <c r="AA1060" s="280"/>
      <c r="AB1060" s="280"/>
      <c r="AC1060" s="335"/>
      <c r="AD1060" s="336"/>
      <c r="AE1060" s="337"/>
      <c r="AF1060" s="338"/>
      <c r="AG1060" s="329"/>
      <c r="AH1060" s="339"/>
      <c r="AI1060" s="338"/>
      <c r="AJ1060" s="338"/>
      <c r="AK1060" s="338"/>
      <c r="AL1060" s="329"/>
    </row>
    <row r="1061" ht="24.75" customHeight="1">
      <c r="A1061" s="328"/>
      <c r="B1061" s="329"/>
      <c r="C1061" s="340"/>
      <c r="D1061" s="331"/>
      <c r="E1061" s="332"/>
      <c r="F1061" s="331"/>
      <c r="G1061" s="331"/>
      <c r="H1061" s="333"/>
      <c r="I1061" s="333"/>
      <c r="J1061" s="333"/>
      <c r="K1061" s="332"/>
      <c r="L1061" s="331"/>
      <c r="M1061" s="329"/>
      <c r="N1061" s="332"/>
      <c r="O1061" s="332"/>
      <c r="P1061" s="332"/>
      <c r="Q1061" s="332"/>
      <c r="R1061" s="333"/>
      <c r="S1061" s="332"/>
      <c r="T1061" s="329"/>
      <c r="U1061" s="332"/>
      <c r="V1061" s="334"/>
      <c r="W1061" s="280"/>
      <c r="X1061" s="280"/>
      <c r="Y1061" s="280"/>
      <c r="Z1061" s="280"/>
      <c r="AA1061" s="280"/>
      <c r="AB1061" s="280"/>
      <c r="AC1061" s="335"/>
      <c r="AD1061" s="336"/>
      <c r="AE1061" s="337"/>
      <c r="AF1061" s="338"/>
      <c r="AG1061" s="329"/>
      <c r="AH1061" s="339"/>
      <c r="AI1061" s="338"/>
      <c r="AJ1061" s="338"/>
      <c r="AK1061" s="338"/>
      <c r="AL1061" s="329"/>
    </row>
    <row r="1062" ht="24.75" customHeight="1">
      <c r="A1062" s="328"/>
      <c r="B1062" s="329"/>
      <c r="C1062" s="340"/>
      <c r="D1062" s="331"/>
      <c r="E1062" s="332"/>
      <c r="F1062" s="331"/>
      <c r="G1062" s="331"/>
      <c r="H1062" s="333"/>
      <c r="I1062" s="333"/>
      <c r="J1062" s="333"/>
      <c r="K1062" s="332"/>
      <c r="L1062" s="331"/>
      <c r="M1062" s="329"/>
      <c r="N1062" s="332"/>
      <c r="O1062" s="332"/>
      <c r="P1062" s="332"/>
      <c r="Q1062" s="332"/>
      <c r="R1062" s="333"/>
      <c r="S1062" s="332"/>
      <c r="T1062" s="329"/>
      <c r="U1062" s="332"/>
      <c r="V1062" s="334"/>
      <c r="W1062" s="280"/>
      <c r="X1062" s="280"/>
      <c r="Y1062" s="280"/>
      <c r="Z1062" s="280"/>
      <c r="AA1062" s="280"/>
      <c r="AB1062" s="280"/>
      <c r="AC1062" s="335"/>
      <c r="AD1062" s="336"/>
      <c r="AE1062" s="337"/>
      <c r="AF1062" s="338"/>
      <c r="AG1062" s="329"/>
      <c r="AH1062" s="339"/>
      <c r="AI1062" s="338"/>
      <c r="AJ1062" s="338"/>
      <c r="AK1062" s="338"/>
      <c r="AL1062" s="329"/>
    </row>
    <row r="1063" ht="24.75" customHeight="1">
      <c r="A1063" s="328"/>
      <c r="B1063" s="329"/>
      <c r="C1063" s="340"/>
      <c r="D1063" s="331"/>
      <c r="E1063" s="332"/>
      <c r="F1063" s="331"/>
      <c r="G1063" s="331"/>
      <c r="H1063" s="333"/>
      <c r="I1063" s="333"/>
      <c r="J1063" s="333"/>
      <c r="K1063" s="332"/>
      <c r="L1063" s="331"/>
      <c r="M1063" s="329"/>
      <c r="N1063" s="332"/>
      <c r="O1063" s="332"/>
      <c r="P1063" s="332"/>
      <c r="Q1063" s="332"/>
      <c r="R1063" s="333"/>
      <c r="S1063" s="332"/>
      <c r="T1063" s="329"/>
      <c r="U1063" s="332"/>
      <c r="V1063" s="334"/>
      <c r="W1063" s="280"/>
      <c r="X1063" s="280"/>
      <c r="Y1063" s="280"/>
      <c r="Z1063" s="280"/>
      <c r="AA1063" s="280"/>
      <c r="AB1063" s="280"/>
      <c r="AC1063" s="335"/>
      <c r="AD1063" s="336"/>
      <c r="AE1063" s="337"/>
      <c r="AF1063" s="338"/>
      <c r="AG1063" s="329"/>
      <c r="AH1063" s="339"/>
      <c r="AI1063" s="338"/>
      <c r="AJ1063" s="338"/>
      <c r="AK1063" s="338"/>
      <c r="AL1063" s="329"/>
    </row>
    <row r="1064" ht="24.75" customHeight="1">
      <c r="A1064" s="328"/>
      <c r="B1064" s="329"/>
      <c r="C1064" s="340"/>
      <c r="D1064" s="331"/>
      <c r="E1064" s="332"/>
      <c r="F1064" s="331"/>
      <c r="G1064" s="331"/>
      <c r="H1064" s="333"/>
      <c r="I1064" s="333"/>
      <c r="J1064" s="333"/>
      <c r="K1064" s="332"/>
      <c r="L1064" s="331"/>
      <c r="M1064" s="329"/>
      <c r="N1064" s="332"/>
      <c r="O1064" s="332"/>
      <c r="P1064" s="332"/>
      <c r="Q1064" s="332"/>
      <c r="R1064" s="333"/>
      <c r="S1064" s="332"/>
      <c r="T1064" s="329"/>
      <c r="U1064" s="332"/>
      <c r="V1064" s="334"/>
      <c r="W1064" s="280"/>
      <c r="X1064" s="280"/>
      <c r="Y1064" s="280"/>
      <c r="Z1064" s="280"/>
      <c r="AA1064" s="280"/>
      <c r="AB1064" s="280"/>
      <c r="AC1064" s="335"/>
      <c r="AD1064" s="336"/>
      <c r="AE1064" s="337"/>
      <c r="AF1064" s="338"/>
      <c r="AG1064" s="329"/>
      <c r="AH1064" s="339"/>
      <c r="AI1064" s="338"/>
      <c r="AJ1064" s="338"/>
      <c r="AK1064" s="338"/>
      <c r="AL1064" s="329"/>
    </row>
    <row r="1065" ht="24.75" customHeight="1">
      <c r="A1065" s="328"/>
      <c r="B1065" s="329"/>
      <c r="C1065" s="340"/>
      <c r="D1065" s="331"/>
      <c r="E1065" s="332"/>
      <c r="F1065" s="331"/>
      <c r="G1065" s="331"/>
      <c r="H1065" s="333"/>
      <c r="I1065" s="333"/>
      <c r="J1065" s="333"/>
      <c r="K1065" s="332"/>
      <c r="L1065" s="331"/>
      <c r="M1065" s="329"/>
      <c r="N1065" s="332"/>
      <c r="O1065" s="332"/>
      <c r="P1065" s="332"/>
      <c r="Q1065" s="332"/>
      <c r="R1065" s="333"/>
      <c r="S1065" s="332"/>
      <c r="T1065" s="329"/>
      <c r="U1065" s="332"/>
      <c r="V1065" s="334"/>
      <c r="W1065" s="280"/>
      <c r="X1065" s="280"/>
      <c r="Y1065" s="280"/>
      <c r="Z1065" s="280"/>
      <c r="AA1065" s="280"/>
      <c r="AB1065" s="280"/>
      <c r="AC1065" s="335"/>
      <c r="AD1065" s="336"/>
      <c r="AE1065" s="337"/>
      <c r="AF1065" s="338"/>
      <c r="AG1065" s="329"/>
      <c r="AH1065" s="339"/>
      <c r="AI1065" s="338"/>
      <c r="AJ1065" s="338"/>
      <c r="AK1065" s="338"/>
      <c r="AL1065" s="329"/>
    </row>
    <row r="1066" ht="24.75" customHeight="1">
      <c r="A1066" s="328"/>
      <c r="B1066" s="329"/>
      <c r="C1066" s="340"/>
      <c r="D1066" s="331"/>
      <c r="E1066" s="332"/>
      <c r="F1066" s="331"/>
      <c r="G1066" s="331"/>
      <c r="H1066" s="333"/>
      <c r="I1066" s="333"/>
      <c r="J1066" s="333"/>
      <c r="K1066" s="332"/>
      <c r="L1066" s="331"/>
      <c r="M1066" s="329"/>
      <c r="N1066" s="332"/>
      <c r="O1066" s="332"/>
      <c r="P1066" s="332"/>
      <c r="Q1066" s="332"/>
      <c r="R1066" s="333"/>
      <c r="S1066" s="332"/>
      <c r="T1066" s="329"/>
      <c r="U1066" s="332"/>
      <c r="V1066" s="334"/>
      <c r="W1066" s="280"/>
      <c r="X1066" s="280"/>
      <c r="Y1066" s="280"/>
      <c r="Z1066" s="280"/>
      <c r="AA1066" s="280"/>
      <c r="AB1066" s="280"/>
      <c r="AC1066" s="335"/>
      <c r="AD1066" s="336"/>
      <c r="AE1066" s="337"/>
      <c r="AF1066" s="338"/>
      <c r="AG1066" s="329"/>
      <c r="AH1066" s="339"/>
      <c r="AI1066" s="338"/>
      <c r="AJ1066" s="338"/>
      <c r="AK1066" s="338"/>
      <c r="AL1066" s="329"/>
    </row>
    <row r="1067" ht="24.75" customHeight="1">
      <c r="A1067" s="328"/>
      <c r="B1067" s="329"/>
      <c r="C1067" s="340"/>
      <c r="D1067" s="331"/>
      <c r="E1067" s="332"/>
      <c r="F1067" s="331"/>
      <c r="G1067" s="331"/>
      <c r="H1067" s="333"/>
      <c r="I1067" s="333"/>
      <c r="J1067" s="333"/>
      <c r="K1067" s="332"/>
      <c r="L1067" s="331"/>
      <c r="M1067" s="329"/>
      <c r="N1067" s="332"/>
      <c r="O1067" s="332"/>
      <c r="P1067" s="332"/>
      <c r="Q1067" s="332"/>
      <c r="R1067" s="333"/>
      <c r="S1067" s="332"/>
      <c r="T1067" s="329"/>
      <c r="U1067" s="332"/>
      <c r="V1067" s="334"/>
      <c r="W1067" s="280"/>
      <c r="X1067" s="280"/>
      <c r="Y1067" s="280"/>
      <c r="Z1067" s="280"/>
      <c r="AA1067" s="280"/>
      <c r="AB1067" s="280"/>
      <c r="AC1067" s="335"/>
      <c r="AD1067" s="336"/>
      <c r="AE1067" s="337"/>
      <c r="AF1067" s="338"/>
      <c r="AG1067" s="329"/>
      <c r="AH1067" s="339"/>
      <c r="AI1067" s="338"/>
      <c r="AJ1067" s="338"/>
      <c r="AK1067" s="338"/>
      <c r="AL1067" s="329"/>
    </row>
    <row r="1068" ht="24.75" customHeight="1">
      <c r="A1068" s="328"/>
      <c r="B1068" s="329"/>
      <c r="C1068" s="340"/>
      <c r="D1068" s="331"/>
      <c r="E1068" s="332"/>
      <c r="F1068" s="331"/>
      <c r="G1068" s="331"/>
      <c r="H1068" s="333"/>
      <c r="I1068" s="333"/>
      <c r="J1068" s="333"/>
      <c r="K1068" s="332"/>
      <c r="L1068" s="331"/>
      <c r="M1068" s="329"/>
      <c r="N1068" s="332"/>
      <c r="O1068" s="332"/>
      <c r="P1068" s="332"/>
      <c r="Q1068" s="332"/>
      <c r="R1068" s="333"/>
      <c r="S1068" s="332"/>
      <c r="T1068" s="329"/>
      <c r="U1068" s="332"/>
      <c r="V1068" s="334"/>
      <c r="W1068" s="280"/>
      <c r="X1068" s="280"/>
      <c r="Y1068" s="280"/>
      <c r="Z1068" s="280"/>
      <c r="AA1068" s="280"/>
      <c r="AB1068" s="280"/>
      <c r="AC1068" s="335"/>
      <c r="AD1068" s="336"/>
      <c r="AE1068" s="337"/>
      <c r="AF1068" s="338"/>
      <c r="AG1068" s="329"/>
      <c r="AH1068" s="339"/>
      <c r="AI1068" s="338"/>
      <c r="AJ1068" s="338"/>
      <c r="AK1068" s="338"/>
      <c r="AL1068" s="329"/>
    </row>
    <row r="1069" ht="24.75" customHeight="1">
      <c r="A1069" s="328"/>
      <c r="B1069" s="329"/>
      <c r="C1069" s="340"/>
      <c r="D1069" s="331"/>
      <c r="E1069" s="332"/>
      <c r="F1069" s="331"/>
      <c r="G1069" s="331"/>
      <c r="H1069" s="333"/>
      <c r="I1069" s="333"/>
      <c r="J1069" s="333"/>
      <c r="K1069" s="332"/>
      <c r="L1069" s="331"/>
      <c r="M1069" s="329"/>
      <c r="N1069" s="332"/>
      <c r="O1069" s="332"/>
      <c r="P1069" s="332"/>
      <c r="Q1069" s="332"/>
      <c r="R1069" s="333"/>
      <c r="S1069" s="332"/>
      <c r="T1069" s="329"/>
      <c r="U1069" s="332"/>
      <c r="V1069" s="334"/>
      <c r="W1069" s="280"/>
      <c r="X1069" s="280"/>
      <c r="Y1069" s="280"/>
      <c r="Z1069" s="280"/>
      <c r="AA1069" s="280"/>
      <c r="AB1069" s="280"/>
      <c r="AC1069" s="335"/>
      <c r="AD1069" s="336"/>
      <c r="AE1069" s="337"/>
      <c r="AF1069" s="338"/>
      <c r="AG1069" s="329"/>
      <c r="AH1069" s="339"/>
      <c r="AI1069" s="338"/>
      <c r="AJ1069" s="338"/>
      <c r="AK1069" s="338"/>
      <c r="AL1069" s="329"/>
    </row>
    <row r="1070" ht="24.75" customHeight="1">
      <c r="A1070" s="328"/>
      <c r="B1070" s="329"/>
      <c r="C1070" s="340"/>
      <c r="D1070" s="331"/>
      <c r="E1070" s="332"/>
      <c r="F1070" s="331"/>
      <c r="G1070" s="331"/>
      <c r="H1070" s="333"/>
      <c r="I1070" s="333"/>
      <c r="J1070" s="333"/>
      <c r="K1070" s="332"/>
      <c r="L1070" s="331"/>
      <c r="M1070" s="329"/>
      <c r="N1070" s="332"/>
      <c r="O1070" s="332"/>
      <c r="P1070" s="332"/>
      <c r="Q1070" s="332"/>
      <c r="R1070" s="333"/>
      <c r="S1070" s="332"/>
      <c r="T1070" s="329"/>
      <c r="U1070" s="332"/>
      <c r="V1070" s="334"/>
      <c r="W1070" s="280"/>
      <c r="X1070" s="280"/>
      <c r="Y1070" s="280"/>
      <c r="Z1070" s="280"/>
      <c r="AA1070" s="280"/>
      <c r="AB1070" s="280"/>
      <c r="AC1070" s="335"/>
      <c r="AD1070" s="336"/>
      <c r="AE1070" s="337"/>
      <c r="AF1070" s="338"/>
      <c r="AG1070" s="329"/>
      <c r="AH1070" s="339"/>
      <c r="AI1070" s="338"/>
      <c r="AJ1070" s="338"/>
      <c r="AK1070" s="338"/>
      <c r="AL1070" s="329"/>
    </row>
    <row r="1071" ht="24.75" customHeight="1">
      <c r="A1071" s="328"/>
      <c r="B1071" s="329"/>
      <c r="C1071" s="340"/>
      <c r="D1071" s="331"/>
      <c r="E1071" s="332"/>
      <c r="F1071" s="331"/>
      <c r="G1071" s="331"/>
      <c r="H1071" s="333"/>
      <c r="I1071" s="333"/>
      <c r="J1071" s="333"/>
      <c r="K1071" s="332"/>
      <c r="L1071" s="331"/>
      <c r="M1071" s="329"/>
      <c r="N1071" s="332"/>
      <c r="O1071" s="332"/>
      <c r="P1071" s="332"/>
      <c r="Q1071" s="332"/>
      <c r="R1071" s="333"/>
      <c r="S1071" s="332"/>
      <c r="T1071" s="329"/>
      <c r="U1071" s="332"/>
      <c r="V1071" s="334"/>
      <c r="W1071" s="280"/>
      <c r="X1071" s="280"/>
      <c r="Y1071" s="280"/>
      <c r="Z1071" s="280"/>
      <c r="AA1071" s="280"/>
      <c r="AB1071" s="280"/>
      <c r="AC1071" s="335"/>
      <c r="AD1071" s="336"/>
      <c r="AE1071" s="337"/>
      <c r="AF1071" s="338"/>
      <c r="AG1071" s="329"/>
      <c r="AH1071" s="339"/>
      <c r="AI1071" s="338"/>
      <c r="AJ1071" s="338"/>
      <c r="AK1071" s="338"/>
      <c r="AL1071" s="329"/>
    </row>
    <row r="1072" ht="24.75" customHeight="1">
      <c r="A1072" s="328"/>
      <c r="B1072" s="329"/>
      <c r="C1072" s="340"/>
      <c r="D1072" s="331"/>
      <c r="E1072" s="332"/>
      <c r="F1072" s="331"/>
      <c r="G1072" s="331"/>
      <c r="H1072" s="333"/>
      <c r="I1072" s="333"/>
      <c r="J1072" s="333"/>
      <c r="K1072" s="332"/>
      <c r="L1072" s="331"/>
      <c r="M1072" s="329"/>
      <c r="N1072" s="332"/>
      <c r="O1072" s="332"/>
      <c r="P1072" s="332"/>
      <c r="Q1072" s="332"/>
      <c r="R1072" s="333"/>
      <c r="S1072" s="332"/>
      <c r="T1072" s="329"/>
      <c r="U1072" s="332"/>
      <c r="V1072" s="334"/>
      <c r="W1072" s="280"/>
      <c r="X1072" s="280"/>
      <c r="Y1072" s="280"/>
      <c r="Z1072" s="280"/>
      <c r="AA1072" s="280"/>
      <c r="AB1072" s="280"/>
      <c r="AC1072" s="335"/>
      <c r="AD1072" s="336"/>
      <c r="AE1072" s="337"/>
      <c r="AF1072" s="338"/>
      <c r="AG1072" s="329"/>
      <c r="AH1072" s="339"/>
      <c r="AI1072" s="338"/>
      <c r="AJ1072" s="338"/>
      <c r="AK1072" s="338"/>
      <c r="AL1072" s="329"/>
    </row>
    <row r="1073" ht="24.75" customHeight="1">
      <c r="A1073" s="328"/>
      <c r="B1073" s="329"/>
      <c r="C1073" s="340"/>
      <c r="D1073" s="331"/>
      <c r="E1073" s="332"/>
      <c r="F1073" s="331"/>
      <c r="G1073" s="331"/>
      <c r="H1073" s="333"/>
      <c r="I1073" s="333"/>
      <c r="J1073" s="333"/>
      <c r="K1073" s="332"/>
      <c r="L1073" s="331"/>
      <c r="M1073" s="329"/>
      <c r="N1073" s="332"/>
      <c r="O1073" s="332"/>
      <c r="P1073" s="332"/>
      <c r="Q1073" s="332"/>
      <c r="R1073" s="333"/>
      <c r="S1073" s="332"/>
      <c r="T1073" s="329"/>
      <c r="U1073" s="332"/>
      <c r="V1073" s="334"/>
      <c r="W1073" s="280"/>
      <c r="X1073" s="280"/>
      <c r="Y1073" s="280"/>
      <c r="Z1073" s="280"/>
      <c r="AA1073" s="280"/>
      <c r="AB1073" s="280"/>
      <c r="AC1073" s="335"/>
      <c r="AD1073" s="336"/>
      <c r="AE1073" s="337"/>
      <c r="AF1073" s="338"/>
      <c r="AG1073" s="329"/>
      <c r="AH1073" s="339"/>
      <c r="AI1073" s="338"/>
      <c r="AJ1073" s="338"/>
      <c r="AK1073" s="338"/>
      <c r="AL1073" s="329"/>
    </row>
    <row r="1074" ht="24.75" customHeight="1">
      <c r="A1074" s="328"/>
      <c r="B1074" s="329"/>
      <c r="C1074" s="340"/>
      <c r="D1074" s="331"/>
      <c r="E1074" s="332"/>
      <c r="F1074" s="331"/>
      <c r="G1074" s="331"/>
      <c r="H1074" s="333"/>
      <c r="I1074" s="333"/>
      <c r="J1074" s="333"/>
      <c r="K1074" s="332"/>
      <c r="L1074" s="331"/>
      <c r="M1074" s="63"/>
      <c r="N1074" s="38"/>
      <c r="O1074" s="332"/>
      <c r="P1074" s="332"/>
      <c r="Q1074" s="332"/>
      <c r="R1074" s="333"/>
      <c r="S1074" s="32"/>
      <c r="T1074" s="32"/>
      <c r="U1074" s="332"/>
      <c r="V1074" s="34"/>
      <c r="W1074" s="32"/>
      <c r="X1074" s="60"/>
      <c r="Y1074" s="60"/>
      <c r="Z1074" s="32"/>
      <c r="AA1074" s="280"/>
      <c r="AB1074" s="32"/>
      <c r="AC1074" s="335"/>
      <c r="AD1074" s="336"/>
      <c r="AE1074" s="337"/>
      <c r="AF1074" s="54"/>
      <c r="AG1074" s="329"/>
      <c r="AH1074" s="139"/>
      <c r="AI1074" s="338"/>
      <c r="AJ1074" s="338"/>
      <c r="AK1074" s="83"/>
      <c r="AL1074" s="63"/>
    </row>
  </sheetData>
  <autoFilter ref="$A$1:$AL$874"/>
  <dataValidations>
    <dataValidation type="custom" allowBlank="1" showErrorMessage="1" sqref="AD2:AD12 AD15:AD29 J33 H2:H43 H44:J45 O44:O45 Q44:R45 AA44:AA45 AD31:AD47 AD49:AD54 AD59:AD60 H46:H67 H68:I71 AD62:AD71 AD78:AD90 AD92 AD94:AD97 AD104 AD106 AD108:AD111 AD114 H72:H119 AD116:AD124 AD126:AD133 AD136:AD145 AD148:AD156 AD160 H121:H162 H163:I165 AD165 H166:H170 AD169:AD170 AD195:AD198 AD201:AD214 AI215 AD216 AD218:AD219 AD222:AD223 AD225:AD226 AD228 H215:H235 AD233:AD235 AD237:AD239 H237:H243 J241:J243 AD243 H244:J244 J245 H245:H247 AD247 H249 AD249 H254 H255:J255 Q255:R255 AA255 AD254:AD256 AD261:AD262 H256:H269 H273 AD275:AD277 H317 H336 H417 AD439:AD443 AD445:AD450 H468:I468 H476 AD472:AD478 AD500:AD503 AD533 AD564 AD626:AD627 AD635 AD732">
      <formula1>OR(NOT(ISERROR(DATEVALUE(H2))), AND(ISNUMBER(H2), LEFT(CELL("format", H2))="D"))</formula1>
    </dataValidation>
  </dataValidations>
  <hyperlinks>
    <hyperlink r:id="rId2" ref="T2"/>
    <hyperlink r:id="rId3" ref="U2"/>
    <hyperlink r:id="rId4" ref="Y2"/>
    <hyperlink r:id="rId5" ref="AG2"/>
    <hyperlink r:id="rId6" ref="T3"/>
    <hyperlink r:id="rId7" ref="U3"/>
    <hyperlink r:id="rId8" ref="Y3"/>
    <hyperlink r:id="rId9" ref="AG3"/>
    <hyperlink r:id="rId10" ref="AL3"/>
    <hyperlink r:id="rId11" ref="T4"/>
    <hyperlink r:id="rId12" ref="U4"/>
    <hyperlink r:id="rId13" ref="Y4"/>
    <hyperlink r:id="rId14" ref="AG4"/>
    <hyperlink r:id="rId15" ref="AL4"/>
    <hyperlink r:id="rId16" ref="T5"/>
    <hyperlink r:id="rId17" ref="U5"/>
    <hyperlink r:id="rId18" ref="Y5"/>
    <hyperlink r:id="rId19" ref="AG5"/>
    <hyperlink r:id="rId20" ref="AL5"/>
    <hyperlink r:id="rId21" ref="T6"/>
    <hyperlink r:id="rId22" ref="U6"/>
    <hyperlink r:id="rId23" ref="Y6"/>
    <hyperlink r:id="rId24" ref="AG6"/>
    <hyperlink r:id="rId25" ref="AL6"/>
    <hyperlink r:id="rId26" ref="T7"/>
    <hyperlink r:id="rId27" ref="U7"/>
    <hyperlink r:id="rId28" ref="Y7"/>
    <hyperlink r:id="rId29" ref="AG7"/>
    <hyperlink r:id="rId30" ref="AL7"/>
    <hyperlink r:id="rId31" ref="T8"/>
    <hyperlink r:id="rId32" ref="U8"/>
    <hyperlink r:id="rId33" ref="Y8"/>
    <hyperlink r:id="rId34" ref="T9"/>
    <hyperlink r:id="rId35" ref="U9"/>
    <hyperlink r:id="rId36" ref="Y9"/>
    <hyperlink r:id="rId37" ref="AL9"/>
    <hyperlink r:id="rId38" ref="T10"/>
    <hyperlink r:id="rId39" ref="U10"/>
    <hyperlink r:id="rId40" ref="Y10"/>
    <hyperlink r:id="rId41" ref="AG10"/>
    <hyperlink r:id="rId42" ref="T11"/>
    <hyperlink r:id="rId43" ref="U11"/>
    <hyperlink r:id="rId44" ref="Y11"/>
    <hyperlink r:id="rId45" ref="AG11"/>
    <hyperlink r:id="rId46" ref="AL11"/>
    <hyperlink r:id="rId47" ref="T12"/>
    <hyperlink r:id="rId48" ref="U12"/>
    <hyperlink r:id="rId49" ref="Y12"/>
    <hyperlink r:id="rId50" ref="AG12"/>
    <hyperlink r:id="rId51" ref="T13"/>
    <hyperlink r:id="rId52" ref="U13"/>
    <hyperlink r:id="rId53" ref="Y13"/>
    <hyperlink r:id="rId54" ref="AG13"/>
    <hyperlink r:id="rId55" ref="AL13"/>
    <hyperlink r:id="rId56" ref="T14"/>
    <hyperlink r:id="rId57" ref="U14"/>
    <hyperlink r:id="rId58" ref="Y14"/>
    <hyperlink r:id="rId59" ref="AG14"/>
    <hyperlink r:id="rId60" ref="AL14"/>
    <hyperlink r:id="rId61" ref="T15"/>
    <hyperlink r:id="rId62" ref="U15"/>
    <hyperlink r:id="rId63" ref="Y15"/>
    <hyperlink r:id="rId64" ref="AG15"/>
    <hyperlink r:id="rId65" ref="AL15"/>
    <hyperlink r:id="rId66" ref="T16"/>
    <hyperlink r:id="rId67" ref="U16"/>
    <hyperlink r:id="rId68" ref="Y16"/>
    <hyperlink r:id="rId69" ref="AG16"/>
    <hyperlink r:id="rId70" ref="AL16"/>
    <hyperlink r:id="rId71" ref="T17"/>
    <hyperlink r:id="rId72" ref="U17"/>
    <hyperlink r:id="rId73" ref="Y17"/>
    <hyperlink r:id="rId74" ref="AG17"/>
    <hyperlink r:id="rId75" ref="AL17"/>
    <hyperlink r:id="rId76" ref="T18"/>
    <hyperlink r:id="rId77" ref="U18"/>
    <hyperlink r:id="rId78" ref="Y18"/>
    <hyperlink r:id="rId79" ref="AG18"/>
    <hyperlink r:id="rId80" ref="AL18"/>
    <hyperlink r:id="rId81" ref="T19"/>
    <hyperlink r:id="rId82" ref="U19"/>
    <hyperlink r:id="rId83" ref="AG19"/>
    <hyperlink r:id="rId84" ref="T20"/>
    <hyperlink r:id="rId85" ref="U20"/>
    <hyperlink r:id="rId86" ref="AG20"/>
    <hyperlink r:id="rId87" ref="AL20"/>
    <hyperlink r:id="rId88" ref="T21"/>
    <hyperlink r:id="rId89" ref="U21"/>
    <hyperlink r:id="rId90" ref="Y21"/>
    <hyperlink r:id="rId91" ref="T22"/>
    <hyperlink r:id="rId92" ref="U22"/>
    <hyperlink r:id="rId93" ref="Y22"/>
    <hyperlink r:id="rId94" ref="AL22"/>
    <hyperlink r:id="rId95" ref="T23"/>
    <hyperlink r:id="rId96" ref="U23"/>
    <hyperlink r:id="rId97" ref="Y23"/>
    <hyperlink r:id="rId98" ref="AL23"/>
    <hyperlink r:id="rId99" ref="T24"/>
    <hyperlink r:id="rId100" ref="U24"/>
    <hyperlink r:id="rId101" ref="Y24"/>
    <hyperlink r:id="rId102" ref="AG24"/>
    <hyperlink r:id="rId103" ref="AL24"/>
    <hyperlink r:id="rId104" ref="T25"/>
    <hyperlink r:id="rId105" ref="U25"/>
    <hyperlink r:id="rId106" ref="Y25"/>
    <hyperlink r:id="rId107" ref="AG25"/>
    <hyperlink r:id="rId108" ref="AL25"/>
    <hyperlink r:id="rId109" ref="T26"/>
    <hyperlink r:id="rId110" ref="U26"/>
    <hyperlink r:id="rId111" ref="Y26"/>
    <hyperlink r:id="rId112" ref="AG26"/>
    <hyperlink r:id="rId113" ref="T27"/>
    <hyperlink r:id="rId114" ref="U27"/>
    <hyperlink r:id="rId115" ref="Y27"/>
    <hyperlink r:id="rId116" ref="AG27"/>
    <hyperlink r:id="rId117" ref="AL27"/>
    <hyperlink r:id="rId118" ref="T28"/>
    <hyperlink r:id="rId119" ref="U28"/>
    <hyperlink r:id="rId120" ref="Y28"/>
    <hyperlink r:id="rId121" ref="AG28"/>
    <hyperlink r:id="rId122" ref="T29"/>
    <hyperlink r:id="rId123" ref="U29"/>
    <hyperlink r:id="rId124" ref="Y29"/>
    <hyperlink r:id="rId125" ref="AG29"/>
    <hyperlink r:id="rId126" ref="AL29"/>
    <hyperlink r:id="rId127" ref="T30"/>
    <hyperlink r:id="rId128" ref="U30"/>
    <hyperlink r:id="rId129" ref="Y30"/>
    <hyperlink r:id="rId130" ref="AG30"/>
    <hyperlink r:id="rId131" ref="AL30"/>
    <hyperlink r:id="rId132" ref="T31"/>
    <hyperlink r:id="rId133" ref="U31"/>
    <hyperlink r:id="rId134" ref="AG31"/>
    <hyperlink r:id="rId135" ref="AL31"/>
    <hyperlink r:id="rId136" ref="T32"/>
    <hyperlink r:id="rId137" ref="U32"/>
    <hyperlink r:id="rId138" ref="Y32"/>
    <hyperlink r:id="rId139" ref="AG32"/>
    <hyperlink r:id="rId140" ref="AL32"/>
    <hyperlink r:id="rId141" ref="T33"/>
    <hyperlink r:id="rId142" ref="U33"/>
    <hyperlink r:id="rId143" ref="Y33"/>
    <hyperlink r:id="rId144" ref="AG33"/>
    <hyperlink r:id="rId145" ref="AL33"/>
    <hyperlink r:id="rId146" ref="T34"/>
    <hyperlink r:id="rId147" ref="U34"/>
    <hyperlink r:id="rId148" ref="Y34"/>
    <hyperlink r:id="rId149" ref="AG34"/>
    <hyperlink r:id="rId150" ref="AL34"/>
    <hyperlink r:id="rId151" ref="T35"/>
    <hyperlink r:id="rId152" ref="U35"/>
    <hyperlink r:id="rId153" ref="Y35"/>
    <hyperlink r:id="rId154" ref="AG35"/>
    <hyperlink r:id="rId155" ref="AL35"/>
    <hyperlink r:id="rId156" ref="T36"/>
    <hyperlink r:id="rId157" ref="U36"/>
    <hyperlink r:id="rId158" ref="Y36"/>
    <hyperlink r:id="rId159" ref="AG36"/>
    <hyperlink r:id="rId160" ref="AL36"/>
    <hyperlink r:id="rId161" ref="T37"/>
    <hyperlink r:id="rId162" ref="U37"/>
    <hyperlink r:id="rId163" ref="Y37"/>
    <hyperlink r:id="rId164" ref="AG37"/>
    <hyperlink r:id="rId165" ref="AL37"/>
    <hyperlink r:id="rId166" ref="T38"/>
    <hyperlink r:id="rId167" ref="U38"/>
    <hyperlink r:id="rId168" ref="Y38"/>
    <hyperlink r:id="rId169" ref="AG38"/>
    <hyperlink r:id="rId170" ref="AL38"/>
    <hyperlink r:id="rId171" ref="T39"/>
    <hyperlink r:id="rId172" ref="U39"/>
    <hyperlink r:id="rId173" ref="Y39"/>
    <hyperlink r:id="rId174" ref="AG39"/>
    <hyperlink r:id="rId175" ref="AL39"/>
    <hyperlink r:id="rId176" ref="T40"/>
    <hyperlink r:id="rId177" ref="U40"/>
    <hyperlink r:id="rId178" ref="Y40"/>
    <hyperlink r:id="rId179" ref="AG40"/>
    <hyperlink r:id="rId180" ref="AL40"/>
    <hyperlink r:id="rId181" ref="T41"/>
    <hyperlink r:id="rId182" ref="U41"/>
    <hyperlink r:id="rId183" ref="Y41"/>
    <hyperlink r:id="rId184" ref="AG41"/>
    <hyperlink r:id="rId185" ref="AL41"/>
    <hyperlink r:id="rId186" ref="T42"/>
    <hyperlink r:id="rId187" ref="U42"/>
    <hyperlink r:id="rId188" ref="Y42"/>
    <hyperlink r:id="rId189" ref="AG42"/>
    <hyperlink r:id="rId190" ref="AL42"/>
    <hyperlink r:id="rId191" ref="T43"/>
    <hyperlink r:id="rId192" ref="U43"/>
    <hyperlink r:id="rId193" ref="Y43"/>
    <hyperlink r:id="rId194" ref="AG43"/>
    <hyperlink r:id="rId195" ref="AL43"/>
    <hyperlink r:id="rId196" ref="T44"/>
    <hyperlink r:id="rId197" ref="U44"/>
    <hyperlink r:id="rId198" ref="Y44"/>
    <hyperlink r:id="rId199" ref="AG44"/>
    <hyperlink r:id="rId200" ref="AL44"/>
    <hyperlink r:id="rId201" ref="T45"/>
    <hyperlink r:id="rId202" ref="U45"/>
    <hyperlink r:id="rId203" ref="Y45"/>
    <hyperlink r:id="rId204" ref="AG45"/>
    <hyperlink r:id="rId205" ref="AL45"/>
    <hyperlink r:id="rId206" ref="T46"/>
    <hyperlink r:id="rId207" ref="U46"/>
    <hyperlink r:id="rId208" ref="X46"/>
    <hyperlink r:id="rId209" ref="Y46"/>
    <hyperlink r:id="rId210" ref="T47"/>
    <hyperlink r:id="rId211" ref="U47"/>
    <hyperlink r:id="rId212" ref="Y47"/>
    <hyperlink r:id="rId213" ref="AG47"/>
    <hyperlink r:id="rId214" ref="T48"/>
    <hyperlink r:id="rId215" ref="U48"/>
    <hyperlink r:id="rId216" ref="Y48"/>
    <hyperlink r:id="rId217" ref="AG48"/>
    <hyperlink r:id="rId218" ref="AL48"/>
    <hyperlink r:id="rId219" ref="T49"/>
    <hyperlink r:id="rId220" ref="U49"/>
    <hyperlink r:id="rId221" ref="AG49"/>
    <hyperlink r:id="rId222" ref="AL49"/>
    <hyperlink r:id="rId223" ref="T50"/>
    <hyperlink r:id="rId224" ref="U50"/>
    <hyperlink r:id="rId225" ref="Y50"/>
    <hyperlink r:id="rId226" ref="AG50"/>
    <hyperlink r:id="rId227" ref="AL50"/>
    <hyperlink r:id="rId228" ref="T51"/>
    <hyperlink r:id="rId229" ref="U51"/>
    <hyperlink r:id="rId230" ref="Y51"/>
    <hyperlink r:id="rId231" ref="AG51"/>
    <hyperlink r:id="rId232" ref="T52"/>
    <hyperlink r:id="rId233" ref="U52"/>
    <hyperlink r:id="rId234" ref="Y52"/>
    <hyperlink r:id="rId235" ref="AG52"/>
    <hyperlink r:id="rId236" ref="AL52"/>
    <hyperlink r:id="rId237" ref="T53"/>
    <hyperlink r:id="rId238" ref="U53"/>
    <hyperlink r:id="rId239" ref="Y53"/>
    <hyperlink r:id="rId240" ref="AG53"/>
    <hyperlink r:id="rId241" ref="AL53"/>
    <hyperlink r:id="rId242" ref="T54"/>
    <hyperlink r:id="rId243" ref="U54"/>
    <hyperlink r:id="rId244" ref="Y54"/>
    <hyperlink r:id="rId245" ref="AG54"/>
    <hyperlink r:id="rId246" ref="AL54"/>
    <hyperlink r:id="rId247" ref="T55"/>
    <hyperlink r:id="rId248" ref="U55"/>
    <hyperlink r:id="rId249" ref="Y55"/>
    <hyperlink r:id="rId250" ref="AG55"/>
    <hyperlink r:id="rId251" ref="AL55"/>
    <hyperlink r:id="rId252" ref="T56"/>
    <hyperlink r:id="rId253" ref="U56"/>
    <hyperlink r:id="rId254" ref="Y56"/>
    <hyperlink r:id="rId255" ref="AG56"/>
    <hyperlink r:id="rId256" ref="AL56"/>
    <hyperlink r:id="rId257" ref="T57"/>
    <hyperlink r:id="rId258" ref="U57"/>
    <hyperlink r:id="rId259" ref="Y57"/>
    <hyperlink r:id="rId260" ref="AG57"/>
    <hyperlink r:id="rId261" ref="AL57"/>
    <hyperlink r:id="rId262" ref="T58"/>
    <hyperlink r:id="rId263" ref="U58"/>
    <hyperlink r:id="rId264" ref="Y58"/>
    <hyperlink r:id="rId265" ref="AG58"/>
    <hyperlink r:id="rId266" ref="AL58"/>
    <hyperlink r:id="rId267" ref="T59"/>
    <hyperlink r:id="rId268" ref="U59"/>
    <hyperlink r:id="rId269" ref="Y59"/>
    <hyperlink r:id="rId270" ref="AG59"/>
    <hyperlink r:id="rId271" ref="T60"/>
    <hyperlink r:id="rId272" ref="U60"/>
    <hyperlink r:id="rId273" ref="Y60"/>
    <hyperlink r:id="rId274" ref="AG60"/>
    <hyperlink r:id="rId275" ref="AL60"/>
    <hyperlink r:id="rId276" ref="T61"/>
    <hyperlink r:id="rId277" ref="U61"/>
    <hyperlink r:id="rId278" ref="Y61"/>
    <hyperlink r:id="rId279" ref="AG61"/>
    <hyperlink r:id="rId280" ref="AL61"/>
    <hyperlink r:id="rId281" ref="T62"/>
    <hyperlink r:id="rId282" ref="U62"/>
    <hyperlink r:id="rId283" ref="Y62"/>
    <hyperlink r:id="rId284" ref="AG62"/>
    <hyperlink r:id="rId285" ref="AL62"/>
    <hyperlink r:id="rId286" ref="T63"/>
    <hyperlink r:id="rId287" ref="U63"/>
    <hyperlink r:id="rId288" ref="Y63"/>
    <hyperlink r:id="rId289" ref="AG63"/>
    <hyperlink r:id="rId290" ref="AL63"/>
    <hyperlink r:id="rId291" ref="T64"/>
    <hyperlink r:id="rId292" ref="U64"/>
    <hyperlink r:id="rId293" ref="Y64"/>
    <hyperlink r:id="rId294" ref="AG64"/>
    <hyperlink r:id="rId295" ref="AL64"/>
    <hyperlink r:id="rId296" ref="T65"/>
    <hyperlink r:id="rId297" ref="U65"/>
    <hyperlink r:id="rId298" ref="Y65"/>
    <hyperlink r:id="rId299" ref="AG65"/>
    <hyperlink r:id="rId300" ref="AL65"/>
    <hyperlink r:id="rId301" ref="T66"/>
    <hyperlink r:id="rId302" ref="U66"/>
    <hyperlink r:id="rId303" ref="Y66"/>
    <hyperlink r:id="rId304" ref="AG66"/>
    <hyperlink r:id="rId305" ref="AL66"/>
    <hyperlink r:id="rId306" ref="T67"/>
    <hyperlink r:id="rId307" ref="U67"/>
    <hyperlink r:id="rId308" ref="Y67"/>
    <hyperlink r:id="rId309" ref="AG67"/>
    <hyperlink r:id="rId310" ref="AL67"/>
    <hyperlink r:id="rId311" ref="T68"/>
    <hyperlink r:id="rId312" ref="U68"/>
    <hyperlink r:id="rId313" ref="Y68"/>
    <hyperlink r:id="rId314" ref="AG68"/>
    <hyperlink r:id="rId315" ref="AL68"/>
    <hyperlink r:id="rId316" ref="T69"/>
    <hyperlink r:id="rId317" ref="U69"/>
    <hyperlink r:id="rId318" ref="Y69"/>
    <hyperlink r:id="rId319" ref="AG69"/>
    <hyperlink r:id="rId320" ref="AL69"/>
    <hyperlink r:id="rId321" ref="T70"/>
    <hyperlink r:id="rId322" ref="U70"/>
    <hyperlink r:id="rId323" ref="Y70"/>
    <hyperlink r:id="rId324" ref="AG70"/>
    <hyperlink r:id="rId325" ref="AL70"/>
    <hyperlink r:id="rId326" ref="T71"/>
    <hyperlink r:id="rId327" ref="U71"/>
    <hyperlink r:id="rId328" ref="Y71"/>
    <hyperlink r:id="rId329" ref="AG71"/>
    <hyperlink r:id="rId330" ref="AL71"/>
    <hyperlink r:id="rId331" ref="T72"/>
    <hyperlink r:id="rId332" ref="U72"/>
    <hyperlink r:id="rId333" ref="Y72"/>
    <hyperlink r:id="rId334" ref="AG72"/>
    <hyperlink r:id="rId335" ref="AL72"/>
    <hyperlink r:id="rId336" ref="T73"/>
    <hyperlink r:id="rId337" ref="U73"/>
    <hyperlink r:id="rId338" ref="Y73"/>
    <hyperlink r:id="rId339" ref="AG73"/>
    <hyperlink r:id="rId340" ref="AL73"/>
    <hyperlink r:id="rId341" ref="T74"/>
    <hyperlink r:id="rId342" ref="U74"/>
    <hyperlink r:id="rId343" ref="Y74"/>
    <hyperlink r:id="rId344" ref="AG74"/>
    <hyperlink r:id="rId345" ref="AL74"/>
    <hyperlink r:id="rId346" ref="T75"/>
    <hyperlink r:id="rId347" ref="U75"/>
    <hyperlink r:id="rId348" ref="Y75"/>
    <hyperlink r:id="rId349" ref="AG75"/>
    <hyperlink r:id="rId350" ref="AL75"/>
    <hyperlink r:id="rId351" ref="T76"/>
    <hyperlink r:id="rId352" ref="U76"/>
    <hyperlink r:id="rId353" ref="Y76"/>
    <hyperlink r:id="rId354" ref="AG76"/>
    <hyperlink r:id="rId355" ref="AL76"/>
    <hyperlink r:id="rId356" ref="T77"/>
    <hyperlink r:id="rId357" ref="U77"/>
    <hyperlink r:id="rId358" ref="Y77"/>
    <hyperlink r:id="rId359" ref="AG77"/>
    <hyperlink r:id="rId360" ref="AL77"/>
    <hyperlink r:id="rId361" ref="T78"/>
    <hyperlink r:id="rId362" ref="U78"/>
    <hyperlink r:id="rId363" ref="Y78"/>
    <hyperlink r:id="rId364" ref="AG78"/>
    <hyperlink r:id="rId365" ref="AL78"/>
    <hyperlink r:id="rId366" ref="T79"/>
    <hyperlink r:id="rId367" ref="U79"/>
    <hyperlink r:id="rId368" ref="Y79"/>
    <hyperlink r:id="rId369" ref="AG79"/>
    <hyperlink r:id="rId370" ref="AL79"/>
    <hyperlink r:id="rId371" ref="T80"/>
    <hyperlink r:id="rId372" ref="U80"/>
    <hyperlink r:id="rId373" ref="Y80"/>
    <hyperlink r:id="rId374" ref="AG80"/>
    <hyperlink r:id="rId375" ref="AL80"/>
    <hyperlink r:id="rId376" ref="T81"/>
    <hyperlink r:id="rId377" ref="U81"/>
    <hyperlink r:id="rId378" ref="Y81"/>
    <hyperlink r:id="rId379" ref="AG81"/>
    <hyperlink r:id="rId380" ref="AL81"/>
    <hyperlink r:id="rId381" ref="T82"/>
    <hyperlink r:id="rId382" ref="U82"/>
    <hyperlink r:id="rId383" ref="Y82"/>
    <hyperlink r:id="rId384" ref="AG82"/>
    <hyperlink r:id="rId385" ref="AL82"/>
    <hyperlink r:id="rId386" ref="T83"/>
    <hyperlink r:id="rId387" ref="U83"/>
    <hyperlink r:id="rId388" ref="Y83"/>
    <hyperlink r:id="rId389" ref="AG83"/>
    <hyperlink r:id="rId390" ref="AL83"/>
    <hyperlink r:id="rId391" ref="T84"/>
    <hyperlink r:id="rId392" ref="U84"/>
    <hyperlink r:id="rId393" ref="Y84"/>
    <hyperlink r:id="rId394" ref="AG84"/>
    <hyperlink r:id="rId395" ref="AL84"/>
    <hyperlink r:id="rId396" ref="T85"/>
    <hyperlink r:id="rId397" ref="U85"/>
    <hyperlink r:id="rId398" ref="Y85"/>
    <hyperlink r:id="rId399" ref="AG85"/>
    <hyperlink r:id="rId400" ref="AL85"/>
    <hyperlink r:id="rId401" ref="T86"/>
    <hyperlink r:id="rId402" ref="U86"/>
    <hyperlink r:id="rId403" ref="Y86"/>
    <hyperlink r:id="rId404" ref="AG86"/>
    <hyperlink r:id="rId405" ref="AL86"/>
    <hyperlink r:id="rId406" ref="T87"/>
    <hyperlink r:id="rId407" ref="U87"/>
    <hyperlink r:id="rId408" ref="Y87"/>
    <hyperlink r:id="rId409" ref="AG87"/>
    <hyperlink r:id="rId410" ref="AL87"/>
    <hyperlink r:id="rId411" ref="T88"/>
    <hyperlink r:id="rId412" ref="U88"/>
    <hyperlink r:id="rId413" ref="Y88"/>
    <hyperlink r:id="rId414" ref="AG88"/>
    <hyperlink r:id="rId415" ref="AL88"/>
    <hyperlink r:id="rId416" ref="T89"/>
    <hyperlink r:id="rId417" ref="U89"/>
    <hyperlink r:id="rId418" ref="Y89"/>
    <hyperlink r:id="rId419" ref="AG89"/>
    <hyperlink r:id="rId420" ref="AL89"/>
    <hyperlink r:id="rId421" ref="U90"/>
    <hyperlink r:id="rId422" ref="Y90"/>
    <hyperlink r:id="rId423" ref="AG90"/>
    <hyperlink r:id="rId424" ref="AL90"/>
    <hyperlink r:id="rId425" ref="T91"/>
    <hyperlink r:id="rId426" ref="U91"/>
    <hyperlink r:id="rId427" ref="Y91"/>
    <hyperlink r:id="rId428" ref="AG91"/>
    <hyperlink r:id="rId429" ref="AL91"/>
    <hyperlink r:id="rId430" ref="T92"/>
    <hyperlink r:id="rId431" ref="U92"/>
    <hyperlink r:id="rId432" ref="Y92"/>
    <hyperlink r:id="rId433" ref="AG92"/>
    <hyperlink r:id="rId434" ref="AL92"/>
    <hyperlink r:id="rId435" ref="T93"/>
    <hyperlink r:id="rId436" ref="U93"/>
    <hyperlink r:id="rId437" ref="Y93"/>
    <hyperlink r:id="rId438" ref="AG93"/>
    <hyperlink r:id="rId439" ref="AL93"/>
    <hyperlink r:id="rId440" ref="T94"/>
    <hyperlink r:id="rId441" ref="U94"/>
    <hyperlink r:id="rId442" ref="Y94"/>
    <hyperlink r:id="rId443" ref="AL94"/>
    <hyperlink r:id="rId444" ref="T95"/>
    <hyperlink r:id="rId445" ref="U95"/>
    <hyperlink r:id="rId446" ref="Y95"/>
    <hyperlink r:id="rId447" ref="AG95"/>
    <hyperlink r:id="rId448" ref="AL95"/>
    <hyperlink r:id="rId449" ref="T96"/>
    <hyperlink r:id="rId450" ref="U96"/>
    <hyperlink r:id="rId451" ref="Y96"/>
    <hyperlink r:id="rId452" ref="AG96"/>
    <hyperlink r:id="rId453" ref="AL96"/>
    <hyperlink r:id="rId454" ref="T97"/>
    <hyperlink r:id="rId455" ref="U97"/>
    <hyperlink r:id="rId456" ref="Y97"/>
    <hyperlink r:id="rId457" ref="AG97"/>
    <hyperlink r:id="rId458" ref="T98"/>
    <hyperlink r:id="rId459" ref="U98"/>
    <hyperlink r:id="rId460" ref="Y98"/>
    <hyperlink r:id="rId461" ref="AG98"/>
    <hyperlink r:id="rId462" ref="AL98"/>
    <hyperlink r:id="rId463" ref="T99"/>
    <hyperlink r:id="rId464" ref="U99"/>
    <hyperlink r:id="rId465" ref="Y99"/>
    <hyperlink r:id="rId466" ref="AG99"/>
    <hyperlink r:id="rId467" ref="AL99"/>
    <hyperlink r:id="rId468" ref="T100"/>
    <hyperlink r:id="rId469" ref="U100"/>
    <hyperlink r:id="rId470" ref="Y100"/>
    <hyperlink r:id="rId471" ref="AG100"/>
    <hyperlink r:id="rId472" ref="AL100"/>
    <hyperlink r:id="rId473" ref="T101"/>
    <hyperlink r:id="rId474" ref="U101"/>
    <hyperlink r:id="rId475" ref="Y101"/>
    <hyperlink r:id="rId476" ref="AG101"/>
    <hyperlink r:id="rId477" ref="AL101"/>
    <hyperlink r:id="rId478" ref="T102"/>
    <hyperlink r:id="rId479" ref="U102"/>
    <hyperlink r:id="rId480" ref="X102"/>
    <hyperlink r:id="rId481" ref="Y102"/>
    <hyperlink r:id="rId482" ref="T103"/>
    <hyperlink r:id="rId483" ref="U103"/>
    <hyperlink r:id="rId484" ref="X103"/>
    <hyperlink r:id="rId485" ref="Y103"/>
    <hyperlink r:id="rId486" ref="AL103"/>
    <hyperlink r:id="rId487" ref="T104"/>
    <hyperlink r:id="rId488" ref="U104"/>
    <hyperlink r:id="rId489" ref="X104"/>
    <hyperlink r:id="rId490" ref="Y104"/>
    <hyperlink r:id="rId491" ref="AL104"/>
    <hyperlink r:id="rId492" ref="T105"/>
    <hyperlink r:id="rId493" ref="U105"/>
    <hyperlink r:id="rId494" ref="X105"/>
    <hyperlink r:id="rId495" ref="Y105"/>
    <hyperlink r:id="rId496" ref="AG105"/>
    <hyperlink r:id="rId497" ref="AL105"/>
    <hyperlink r:id="rId498" ref="T106"/>
    <hyperlink r:id="rId499" ref="U106"/>
    <hyperlink r:id="rId500" ref="Y106"/>
    <hyperlink r:id="rId501" ref="AG106"/>
    <hyperlink r:id="rId502" ref="T107"/>
    <hyperlink r:id="rId503" ref="U107"/>
    <hyperlink r:id="rId504" ref="Y107"/>
    <hyperlink r:id="rId505" ref="AG107"/>
    <hyperlink r:id="rId506" ref="AL107"/>
    <hyperlink r:id="rId507" ref="T108"/>
    <hyperlink r:id="rId508" ref="U108"/>
    <hyperlink r:id="rId509" ref="Y108"/>
    <hyperlink r:id="rId510" ref="AG108"/>
    <hyperlink r:id="rId511" ref="AL108"/>
    <hyperlink r:id="rId512" ref="T109"/>
    <hyperlink r:id="rId513" ref="U109"/>
    <hyperlink r:id="rId514" ref="Y109"/>
    <hyperlink r:id="rId515" ref="AG109"/>
    <hyperlink r:id="rId516" ref="AL109"/>
    <hyperlink r:id="rId517" ref="T110"/>
    <hyperlink r:id="rId518" ref="U110"/>
    <hyperlink r:id="rId519" ref="Y110"/>
    <hyperlink r:id="rId520" ref="AG110"/>
    <hyperlink r:id="rId521" ref="AL110"/>
    <hyperlink r:id="rId522" ref="T111"/>
    <hyperlink r:id="rId523" ref="U111"/>
    <hyperlink r:id="rId524" ref="Y111"/>
    <hyperlink r:id="rId525" ref="AG111"/>
    <hyperlink r:id="rId526" ref="AL111"/>
    <hyperlink r:id="rId527" ref="T112"/>
    <hyperlink r:id="rId528" ref="U112"/>
    <hyperlink r:id="rId529" ref="Y112"/>
    <hyperlink r:id="rId530" ref="AG112"/>
    <hyperlink r:id="rId531" ref="AL112"/>
    <hyperlink r:id="rId532" ref="T113"/>
    <hyperlink r:id="rId533" ref="U113"/>
    <hyperlink r:id="rId534" ref="Y113"/>
    <hyperlink r:id="rId535" ref="AG113"/>
    <hyperlink r:id="rId536" ref="AL113"/>
    <hyperlink r:id="rId537" ref="T114"/>
    <hyperlink r:id="rId538" ref="U114"/>
    <hyperlink r:id="rId539" ref="Y114"/>
    <hyperlink r:id="rId540" ref="AG114"/>
    <hyperlink r:id="rId541" ref="T115"/>
    <hyperlink r:id="rId542" ref="U115"/>
    <hyperlink r:id="rId543" ref="Y115"/>
    <hyperlink r:id="rId544" ref="AG115"/>
    <hyperlink r:id="rId545" ref="AL115"/>
    <hyperlink r:id="rId546" ref="T116"/>
    <hyperlink r:id="rId547" ref="U116"/>
    <hyperlink r:id="rId548" ref="Y116"/>
    <hyperlink r:id="rId549" ref="AG116"/>
    <hyperlink r:id="rId550" ref="AL116"/>
    <hyperlink r:id="rId551" ref="T117"/>
    <hyperlink r:id="rId552" ref="U117"/>
    <hyperlink r:id="rId553" ref="Y117"/>
    <hyperlink r:id="rId554" ref="AG117"/>
    <hyperlink r:id="rId555" ref="AL117"/>
    <hyperlink r:id="rId556" ref="T118"/>
    <hyperlink r:id="rId557" ref="U118"/>
    <hyperlink r:id="rId558" ref="Y118"/>
    <hyperlink r:id="rId559" ref="AG118"/>
    <hyperlink r:id="rId560" ref="T119"/>
    <hyperlink r:id="rId561" ref="U119"/>
    <hyperlink r:id="rId562" ref="Y119"/>
    <hyperlink r:id="rId563" ref="AG119"/>
    <hyperlink r:id="rId564" ref="AL119"/>
    <hyperlink r:id="rId565" ref="T120"/>
    <hyperlink r:id="rId566" ref="U120"/>
    <hyperlink r:id="rId567" ref="Y120"/>
    <hyperlink r:id="rId568" ref="AG120"/>
    <hyperlink r:id="rId569" ref="T121"/>
    <hyperlink r:id="rId570" ref="U121"/>
    <hyperlink r:id="rId571" ref="Y121"/>
    <hyperlink r:id="rId572" ref="AL121"/>
    <hyperlink r:id="rId573" ref="T122"/>
    <hyperlink r:id="rId574" ref="U122"/>
    <hyperlink r:id="rId575" ref="Y122"/>
    <hyperlink r:id="rId576" ref="AG122"/>
    <hyperlink r:id="rId577" ref="AL122"/>
    <hyperlink r:id="rId578" ref="T123"/>
    <hyperlink r:id="rId579" ref="U123"/>
    <hyperlink r:id="rId580" ref="Y123"/>
    <hyperlink r:id="rId581" ref="AG123"/>
    <hyperlink r:id="rId582" ref="AL123"/>
    <hyperlink r:id="rId583" ref="T124"/>
    <hyperlink r:id="rId584" ref="U124"/>
    <hyperlink r:id="rId585" ref="Y124"/>
    <hyperlink r:id="rId586" ref="AG124"/>
    <hyperlink r:id="rId587" ref="AL124"/>
    <hyperlink r:id="rId588" ref="T125"/>
    <hyperlink r:id="rId589" ref="U125"/>
    <hyperlink r:id="rId590" ref="Y125"/>
    <hyperlink r:id="rId591" ref="AG125"/>
    <hyperlink r:id="rId592" ref="AL125"/>
    <hyperlink r:id="rId593" ref="T126"/>
    <hyperlink r:id="rId594" ref="U126"/>
    <hyperlink r:id="rId595" ref="Y126"/>
    <hyperlink r:id="rId596" ref="AG126"/>
    <hyperlink r:id="rId597" ref="AL126"/>
    <hyperlink r:id="rId598" ref="T127"/>
    <hyperlink r:id="rId599" ref="U127"/>
    <hyperlink r:id="rId600" ref="Y127"/>
    <hyperlink r:id="rId601" ref="AG127"/>
    <hyperlink r:id="rId602" ref="AL127"/>
    <hyperlink r:id="rId603" ref="T128"/>
    <hyperlink r:id="rId604" ref="U128"/>
    <hyperlink r:id="rId605" ref="Y128"/>
    <hyperlink r:id="rId606" ref="AG128"/>
    <hyperlink r:id="rId607" ref="AL128"/>
    <hyperlink r:id="rId608" ref="T129"/>
    <hyperlink r:id="rId609" ref="U129"/>
    <hyperlink r:id="rId610" ref="Y129"/>
    <hyperlink r:id="rId611" ref="AG129"/>
    <hyperlink r:id="rId612" ref="AL129"/>
    <hyperlink r:id="rId613" ref="T130"/>
    <hyperlink r:id="rId614" ref="U130"/>
    <hyperlink r:id="rId615" ref="X130"/>
    <hyperlink r:id="rId616" ref="Y130"/>
    <hyperlink r:id="rId617" ref="AG130"/>
    <hyperlink r:id="rId618" ref="AL130"/>
    <hyperlink r:id="rId619" ref="T131"/>
    <hyperlink r:id="rId620" ref="U131"/>
    <hyperlink r:id="rId621" ref="X131"/>
    <hyperlink r:id="rId622" ref="Y131"/>
    <hyperlink r:id="rId623" ref="AG131"/>
    <hyperlink r:id="rId624" ref="AL131"/>
    <hyperlink r:id="rId625" ref="T132"/>
    <hyperlink r:id="rId626" ref="U132"/>
    <hyperlink r:id="rId627" ref="X132"/>
    <hyperlink r:id="rId628" ref="Y132"/>
    <hyperlink r:id="rId629" ref="AG132"/>
    <hyperlink r:id="rId630" ref="AL132"/>
    <hyperlink r:id="rId631" ref="T133"/>
    <hyperlink r:id="rId632" ref="U133"/>
    <hyperlink r:id="rId633" ref="X133"/>
    <hyperlink r:id="rId634" ref="Y133"/>
    <hyperlink r:id="rId635" ref="AG133"/>
    <hyperlink r:id="rId636" ref="AL133"/>
    <hyperlink r:id="rId637" ref="T134"/>
    <hyperlink r:id="rId638" ref="U134"/>
    <hyperlink r:id="rId639" location="GovernmentCloud" ref="Y134"/>
    <hyperlink r:id="rId640" ref="AG134"/>
    <hyperlink r:id="rId641" ref="AL134"/>
    <hyperlink r:id="rId642" ref="T135"/>
    <hyperlink r:id="rId643" ref="U135"/>
    <hyperlink r:id="rId644" ref="Y135"/>
    <hyperlink r:id="rId645" ref="AG135"/>
    <hyperlink r:id="rId646" ref="AL135"/>
    <hyperlink r:id="rId647" ref="T136"/>
    <hyperlink r:id="rId648" ref="U136"/>
    <hyperlink r:id="rId649" ref="Y136"/>
    <hyperlink r:id="rId650" ref="AG136"/>
    <hyperlink r:id="rId651" ref="AL136"/>
    <hyperlink r:id="rId652" ref="T137"/>
    <hyperlink r:id="rId653" ref="U137"/>
    <hyperlink r:id="rId654" ref="Y137"/>
    <hyperlink r:id="rId655" ref="AG137"/>
    <hyperlink r:id="rId656" ref="AL137"/>
    <hyperlink r:id="rId657" ref="T138"/>
    <hyperlink r:id="rId658" ref="U138"/>
    <hyperlink r:id="rId659" ref="Y138"/>
    <hyperlink r:id="rId660" ref="AG138"/>
    <hyperlink r:id="rId661" ref="AL138"/>
    <hyperlink r:id="rId662" ref="T139"/>
    <hyperlink r:id="rId663" ref="U139"/>
    <hyperlink r:id="rId664" ref="Y139"/>
    <hyperlink r:id="rId665" ref="AG139"/>
    <hyperlink r:id="rId666" ref="T140"/>
    <hyperlink r:id="rId667" ref="U140"/>
    <hyperlink r:id="rId668" ref="Y140"/>
    <hyperlink r:id="rId669" ref="AG140"/>
    <hyperlink r:id="rId670" ref="AL140"/>
    <hyperlink r:id="rId671" ref="T141"/>
    <hyperlink r:id="rId672" ref="U141"/>
    <hyperlink r:id="rId673" ref="Y141"/>
    <hyperlink r:id="rId674" ref="AG141"/>
    <hyperlink r:id="rId675" ref="AL141"/>
    <hyperlink r:id="rId676" ref="T142"/>
    <hyperlink r:id="rId677" ref="U142"/>
    <hyperlink r:id="rId678" ref="Y142"/>
    <hyperlink r:id="rId679" ref="AG142"/>
    <hyperlink r:id="rId680" ref="AL142"/>
    <hyperlink r:id="rId681" ref="T143"/>
    <hyperlink r:id="rId682" ref="U143"/>
    <hyperlink r:id="rId683" ref="Y143"/>
    <hyperlink r:id="rId684" ref="AG143"/>
    <hyperlink r:id="rId685" ref="AL143"/>
    <hyperlink r:id="rId686" ref="T144"/>
    <hyperlink r:id="rId687" ref="U144"/>
    <hyperlink r:id="rId688" ref="Y144"/>
    <hyperlink r:id="rId689" ref="T145"/>
    <hyperlink r:id="rId690" ref="U145"/>
    <hyperlink r:id="rId691" ref="Y145"/>
    <hyperlink r:id="rId692" ref="AL145"/>
    <hyperlink r:id="rId693" ref="T146"/>
    <hyperlink r:id="rId694" ref="U146"/>
    <hyperlink r:id="rId695" ref="Y146"/>
    <hyperlink r:id="rId696" ref="AG146"/>
    <hyperlink r:id="rId697" ref="AL146"/>
    <hyperlink r:id="rId698" ref="T147"/>
    <hyperlink r:id="rId699" ref="U147"/>
    <hyperlink r:id="rId700" ref="Y147"/>
    <hyperlink r:id="rId701" ref="AG147"/>
    <hyperlink r:id="rId702" ref="AL147"/>
    <hyperlink r:id="rId703" ref="T148"/>
    <hyperlink r:id="rId704" ref="U148"/>
    <hyperlink r:id="rId705" ref="Y148"/>
    <hyperlink r:id="rId706" ref="AG148"/>
    <hyperlink r:id="rId707" ref="AL148"/>
    <hyperlink r:id="rId708" ref="T149"/>
    <hyperlink r:id="rId709" ref="U149"/>
    <hyperlink r:id="rId710" ref="Y149"/>
    <hyperlink r:id="rId711" ref="AG149"/>
    <hyperlink r:id="rId712" ref="AL149"/>
    <hyperlink r:id="rId713" ref="T150"/>
    <hyperlink r:id="rId714" ref="U150"/>
    <hyperlink r:id="rId715" ref="Y150"/>
    <hyperlink r:id="rId716" ref="AG150"/>
    <hyperlink r:id="rId717" ref="AL150"/>
    <hyperlink r:id="rId718" ref="T151"/>
    <hyperlink r:id="rId719" ref="U151"/>
    <hyperlink r:id="rId720" ref="Y151"/>
    <hyperlink r:id="rId721" ref="AG151"/>
    <hyperlink r:id="rId722" ref="AL151"/>
    <hyperlink r:id="rId723" ref="T152"/>
    <hyperlink r:id="rId724" ref="U152"/>
    <hyperlink r:id="rId725" ref="Y152"/>
    <hyperlink r:id="rId726" ref="AG152"/>
    <hyperlink r:id="rId727" ref="AL152"/>
    <hyperlink r:id="rId728" ref="T153"/>
    <hyperlink r:id="rId729" ref="U153"/>
    <hyperlink r:id="rId730" ref="Y153"/>
    <hyperlink r:id="rId731" ref="AG153"/>
    <hyperlink r:id="rId732" ref="T154"/>
    <hyperlink r:id="rId733" ref="U154"/>
    <hyperlink r:id="rId734" ref="Y154"/>
    <hyperlink r:id="rId735" ref="AG154"/>
    <hyperlink r:id="rId736" ref="T155"/>
    <hyperlink r:id="rId737" ref="U155"/>
    <hyperlink r:id="rId738" ref="Y155"/>
    <hyperlink r:id="rId739" ref="AG155"/>
    <hyperlink r:id="rId740" ref="AL155"/>
    <hyperlink r:id="rId741" ref="T156"/>
    <hyperlink r:id="rId742" ref="U156"/>
    <hyperlink r:id="rId743" ref="Y156"/>
    <hyperlink r:id="rId744" ref="AG156"/>
    <hyperlink r:id="rId745" ref="AL156"/>
    <hyperlink r:id="rId746" ref="T157"/>
    <hyperlink r:id="rId747" ref="U157"/>
    <hyperlink r:id="rId748" ref="Y157"/>
    <hyperlink r:id="rId749" ref="AG157"/>
    <hyperlink r:id="rId750" ref="AL157"/>
    <hyperlink r:id="rId751" ref="T158"/>
    <hyperlink r:id="rId752" ref="U158"/>
    <hyperlink r:id="rId753" ref="Y158"/>
    <hyperlink r:id="rId754" ref="AG158"/>
    <hyperlink r:id="rId755" ref="AL158"/>
    <hyperlink r:id="rId756" ref="T159"/>
    <hyperlink r:id="rId757" ref="U159"/>
    <hyperlink r:id="rId758" ref="Y159"/>
    <hyperlink r:id="rId759" ref="AG159"/>
    <hyperlink r:id="rId760" ref="AL159"/>
    <hyperlink r:id="rId761" ref="T160"/>
    <hyperlink r:id="rId762" ref="U160"/>
    <hyperlink r:id="rId763" ref="Y160"/>
    <hyperlink r:id="rId764" ref="AG160"/>
    <hyperlink r:id="rId765" ref="AL160"/>
    <hyperlink r:id="rId766" ref="T161"/>
    <hyperlink r:id="rId767" ref="U161"/>
    <hyperlink r:id="rId768" ref="Y161"/>
    <hyperlink r:id="rId769" ref="AG161"/>
    <hyperlink r:id="rId770" ref="AL161"/>
    <hyperlink r:id="rId771" ref="T162"/>
    <hyperlink r:id="rId772" ref="U162"/>
    <hyperlink r:id="rId773" ref="Y162"/>
    <hyperlink r:id="rId774" ref="AG162"/>
    <hyperlink r:id="rId775" ref="AL162"/>
    <hyperlink r:id="rId776" ref="T163"/>
    <hyperlink r:id="rId777" ref="U163"/>
    <hyperlink r:id="rId778" ref="Y163"/>
    <hyperlink r:id="rId779" ref="AG163"/>
    <hyperlink r:id="rId780" ref="AL163"/>
    <hyperlink r:id="rId781" ref="T164"/>
    <hyperlink r:id="rId782" ref="U164"/>
    <hyperlink r:id="rId783" ref="Y164"/>
    <hyperlink r:id="rId784" ref="AG164"/>
    <hyperlink r:id="rId785" ref="AL164"/>
    <hyperlink r:id="rId786" ref="T165"/>
    <hyperlink r:id="rId787" ref="U165"/>
    <hyperlink r:id="rId788" ref="Y165"/>
    <hyperlink r:id="rId789" ref="AG165"/>
    <hyperlink r:id="rId790" ref="AL165"/>
    <hyperlink r:id="rId791" ref="T166"/>
    <hyperlink r:id="rId792" ref="U166"/>
    <hyperlink r:id="rId793" ref="Y166"/>
    <hyperlink r:id="rId794" ref="AG166"/>
    <hyperlink r:id="rId795" ref="T167"/>
    <hyperlink r:id="rId796" ref="Y167"/>
    <hyperlink r:id="rId797" ref="AG167"/>
    <hyperlink r:id="rId798" ref="T168"/>
    <hyperlink r:id="rId799" ref="AG168"/>
    <hyperlink r:id="rId800" ref="T169"/>
    <hyperlink r:id="rId801" ref="U169"/>
    <hyperlink r:id="rId802" ref="Y169"/>
    <hyperlink r:id="rId803" ref="AG169"/>
    <hyperlink r:id="rId804" ref="AL169"/>
    <hyperlink r:id="rId805" ref="T170"/>
    <hyperlink r:id="rId806" ref="U170"/>
    <hyperlink r:id="rId807" ref="Y170"/>
    <hyperlink r:id="rId808" ref="AG170"/>
    <hyperlink r:id="rId809" ref="AL170"/>
    <hyperlink r:id="rId810" ref="T171"/>
    <hyperlink r:id="rId811" ref="U171"/>
    <hyperlink r:id="rId812" ref="Y171"/>
    <hyperlink r:id="rId813" ref="AG171"/>
    <hyperlink r:id="rId814" ref="AL171"/>
    <hyperlink r:id="rId815" ref="T172"/>
    <hyperlink r:id="rId816" ref="U172"/>
    <hyperlink r:id="rId817" ref="Y172"/>
    <hyperlink r:id="rId818" ref="AG172"/>
    <hyperlink r:id="rId819" ref="AL172"/>
    <hyperlink r:id="rId820" ref="T173"/>
    <hyperlink r:id="rId821" ref="U173"/>
    <hyperlink r:id="rId822" ref="Y173"/>
    <hyperlink r:id="rId823" ref="AG173"/>
    <hyperlink r:id="rId824" ref="AL173"/>
    <hyperlink r:id="rId825" ref="T174"/>
    <hyperlink r:id="rId826" ref="U174"/>
    <hyperlink r:id="rId827" ref="Y174"/>
    <hyperlink r:id="rId828" ref="AG174"/>
    <hyperlink r:id="rId829" ref="AL174"/>
    <hyperlink r:id="rId830" ref="T175"/>
    <hyperlink r:id="rId831" ref="U175"/>
    <hyperlink r:id="rId832" ref="Y175"/>
    <hyperlink r:id="rId833" ref="AG175"/>
    <hyperlink r:id="rId834" ref="AL175"/>
    <hyperlink r:id="rId835" ref="T176"/>
    <hyperlink r:id="rId836" ref="U176"/>
    <hyperlink r:id="rId837" ref="Y176"/>
    <hyperlink r:id="rId838" ref="AG176"/>
    <hyperlink r:id="rId839" ref="AL176"/>
    <hyperlink r:id="rId840" ref="T177"/>
    <hyperlink r:id="rId841" ref="U177"/>
    <hyperlink r:id="rId842" ref="Y177"/>
    <hyperlink r:id="rId843" ref="AG177"/>
    <hyperlink r:id="rId844" ref="AL177"/>
    <hyperlink r:id="rId845" ref="T178"/>
    <hyperlink r:id="rId846" ref="U178"/>
    <hyperlink r:id="rId847" ref="Y178"/>
    <hyperlink r:id="rId848" ref="AG178"/>
    <hyperlink r:id="rId849" ref="AL178"/>
    <hyperlink r:id="rId850" ref="T179"/>
    <hyperlink r:id="rId851" ref="U179"/>
    <hyperlink r:id="rId852" ref="Y179"/>
    <hyperlink r:id="rId853" ref="AG179"/>
    <hyperlink r:id="rId854" ref="AL179"/>
    <hyperlink r:id="rId855" ref="T180"/>
    <hyperlink r:id="rId856" ref="U180"/>
    <hyperlink r:id="rId857" ref="Y180"/>
    <hyperlink r:id="rId858" ref="AG180"/>
    <hyperlink r:id="rId859" ref="AL180"/>
    <hyperlink r:id="rId860" ref="T181"/>
    <hyperlink r:id="rId861" ref="U181"/>
    <hyperlink r:id="rId862" ref="Y181"/>
    <hyperlink r:id="rId863" ref="AG181"/>
    <hyperlink r:id="rId864" ref="AL181"/>
    <hyperlink r:id="rId865" ref="T182"/>
    <hyperlink r:id="rId866" ref="U182"/>
    <hyperlink r:id="rId867" ref="Y182"/>
    <hyperlink r:id="rId868" ref="AG182"/>
    <hyperlink r:id="rId869" ref="AL182"/>
    <hyperlink r:id="rId870" ref="T183"/>
    <hyperlink r:id="rId871" ref="U183"/>
    <hyperlink r:id="rId872" ref="X183"/>
    <hyperlink r:id="rId873" ref="Y183"/>
    <hyperlink r:id="rId874" ref="AG183"/>
    <hyperlink r:id="rId875" ref="AL183"/>
    <hyperlink r:id="rId876" ref="T184"/>
    <hyperlink r:id="rId877" ref="U184"/>
    <hyperlink r:id="rId878" ref="Y184"/>
    <hyperlink r:id="rId879" ref="AG184"/>
    <hyperlink r:id="rId880" ref="AL184"/>
    <hyperlink r:id="rId881" ref="T185"/>
    <hyperlink r:id="rId882" ref="U185"/>
    <hyperlink r:id="rId883" ref="Y185"/>
    <hyperlink r:id="rId884" ref="AG185"/>
    <hyperlink r:id="rId885" ref="AL185"/>
    <hyperlink r:id="rId886" ref="T186"/>
    <hyperlink r:id="rId887" ref="U186"/>
    <hyperlink r:id="rId888" ref="Y186"/>
    <hyperlink r:id="rId889" ref="AG186"/>
    <hyperlink r:id="rId890" ref="AL186"/>
    <hyperlink r:id="rId891" ref="T187"/>
    <hyperlink r:id="rId892" ref="U187"/>
    <hyperlink r:id="rId893" ref="Y187"/>
    <hyperlink r:id="rId894" ref="AG187"/>
    <hyperlink r:id="rId895" ref="AL187"/>
    <hyperlink r:id="rId896" ref="T188"/>
    <hyperlink r:id="rId897" ref="U188"/>
    <hyperlink r:id="rId898" ref="Y188"/>
    <hyperlink r:id="rId899" ref="AG188"/>
    <hyperlink r:id="rId900" ref="AL188"/>
    <hyperlink r:id="rId901" ref="T189"/>
    <hyperlink r:id="rId902" ref="U189"/>
    <hyperlink r:id="rId903" ref="Y189"/>
    <hyperlink r:id="rId904" ref="AG189"/>
    <hyperlink r:id="rId905" ref="AL189"/>
    <hyperlink r:id="rId906" ref="T190"/>
    <hyperlink r:id="rId907" ref="U190"/>
    <hyperlink r:id="rId908" ref="Y190"/>
    <hyperlink r:id="rId909" ref="AG190"/>
    <hyperlink r:id="rId910" ref="AL190"/>
    <hyperlink r:id="rId911" ref="T191"/>
    <hyperlink r:id="rId912" ref="U191"/>
    <hyperlink r:id="rId913" ref="Y191"/>
    <hyperlink r:id="rId914" ref="AG191"/>
    <hyperlink r:id="rId915" ref="AL191"/>
    <hyperlink r:id="rId916" ref="T192"/>
    <hyperlink r:id="rId917" ref="U192"/>
    <hyperlink r:id="rId918" ref="Y192"/>
    <hyperlink r:id="rId919" ref="AG192"/>
    <hyperlink r:id="rId920" ref="AL192"/>
    <hyperlink r:id="rId921" ref="T193"/>
    <hyperlink r:id="rId922" ref="U193"/>
    <hyperlink r:id="rId923" ref="Y193"/>
    <hyperlink r:id="rId924" ref="AG193"/>
    <hyperlink r:id="rId925" ref="AL193"/>
    <hyperlink r:id="rId926" ref="T194"/>
    <hyperlink r:id="rId927" ref="U194"/>
    <hyperlink r:id="rId928" ref="Y194"/>
    <hyperlink r:id="rId929" ref="AG194"/>
    <hyperlink r:id="rId930" ref="AL194"/>
    <hyperlink r:id="rId931" ref="T195"/>
    <hyperlink r:id="rId932" ref="U195"/>
    <hyperlink r:id="rId933" ref="Y195"/>
    <hyperlink r:id="rId934" ref="AG195"/>
    <hyperlink r:id="rId935" ref="AL195"/>
    <hyperlink r:id="rId936" ref="T196"/>
    <hyperlink r:id="rId937" ref="U196"/>
    <hyperlink r:id="rId938" ref="Y196"/>
    <hyperlink r:id="rId939" ref="AG196"/>
    <hyperlink r:id="rId940" ref="AL196"/>
    <hyperlink r:id="rId941" ref="T197"/>
    <hyperlink r:id="rId942" ref="U197"/>
    <hyperlink r:id="rId943" ref="AG197"/>
    <hyperlink r:id="rId944" ref="AL197"/>
    <hyperlink r:id="rId945" ref="T198"/>
    <hyperlink r:id="rId946" ref="U198"/>
    <hyperlink r:id="rId947" ref="Y198"/>
    <hyperlink r:id="rId948" ref="AG198"/>
    <hyperlink r:id="rId949" ref="AL198"/>
    <hyperlink r:id="rId950" ref="T199"/>
    <hyperlink r:id="rId951" ref="U199"/>
    <hyperlink r:id="rId952" ref="Y199"/>
    <hyperlink r:id="rId953" ref="AG199"/>
    <hyperlink r:id="rId954" ref="AL199"/>
    <hyperlink r:id="rId955" ref="T200"/>
    <hyperlink r:id="rId956" ref="U200"/>
    <hyperlink r:id="rId957" ref="Y200"/>
    <hyperlink r:id="rId958" ref="AG200"/>
    <hyperlink r:id="rId959" ref="AL200"/>
    <hyperlink r:id="rId960" ref="T201"/>
    <hyperlink r:id="rId961" ref="U201"/>
    <hyperlink r:id="rId962" ref="Y201"/>
    <hyperlink r:id="rId963" ref="AG201"/>
    <hyperlink r:id="rId964" ref="AL201"/>
    <hyperlink r:id="rId965" ref="T202"/>
    <hyperlink r:id="rId966" ref="U202"/>
    <hyperlink r:id="rId967" ref="Y202"/>
    <hyperlink r:id="rId968" ref="AG202"/>
    <hyperlink r:id="rId969" ref="AL202"/>
    <hyperlink r:id="rId970" ref="T203"/>
    <hyperlink r:id="rId971" ref="U203"/>
    <hyperlink r:id="rId972" ref="Y203"/>
    <hyperlink r:id="rId973" ref="AG203"/>
    <hyperlink r:id="rId974" ref="AL203"/>
    <hyperlink r:id="rId975" ref="T204"/>
    <hyperlink r:id="rId976" ref="U204"/>
    <hyperlink r:id="rId977" ref="Y204"/>
    <hyperlink r:id="rId978" ref="AG204"/>
    <hyperlink r:id="rId979" ref="AL204"/>
    <hyperlink r:id="rId980" ref="T205"/>
    <hyperlink r:id="rId981" ref="U205"/>
    <hyperlink r:id="rId982" ref="Y205"/>
    <hyperlink r:id="rId983" ref="AG205"/>
    <hyperlink r:id="rId984" ref="AL205"/>
    <hyperlink r:id="rId985" ref="T206"/>
    <hyperlink r:id="rId986" ref="U206"/>
    <hyperlink r:id="rId987" ref="Y206"/>
    <hyperlink r:id="rId988" ref="AG206"/>
    <hyperlink r:id="rId989" ref="AL206"/>
    <hyperlink r:id="rId990" ref="T207"/>
    <hyperlink r:id="rId991" ref="U207"/>
    <hyperlink r:id="rId992" ref="Y207"/>
    <hyperlink r:id="rId993" ref="AG207"/>
    <hyperlink r:id="rId994" ref="AL207"/>
    <hyperlink r:id="rId995" ref="T208"/>
    <hyperlink r:id="rId996" ref="U208"/>
    <hyperlink r:id="rId997" ref="Y208"/>
    <hyperlink r:id="rId998" ref="AG208"/>
    <hyperlink r:id="rId999" ref="AL208"/>
    <hyperlink r:id="rId1000" ref="T209"/>
    <hyperlink r:id="rId1001" ref="U209"/>
    <hyperlink r:id="rId1002" ref="Y209"/>
    <hyperlink r:id="rId1003" ref="AG209"/>
    <hyperlink r:id="rId1004" ref="AL209"/>
    <hyperlink r:id="rId1005" ref="T210"/>
    <hyperlink r:id="rId1006" ref="U210"/>
    <hyperlink r:id="rId1007" ref="Y210"/>
    <hyperlink r:id="rId1008" ref="AG210"/>
    <hyperlink r:id="rId1009" ref="AL210"/>
    <hyperlink r:id="rId1010" ref="T211"/>
    <hyperlink r:id="rId1011" ref="U211"/>
    <hyperlink r:id="rId1012" ref="Y211"/>
    <hyperlink r:id="rId1013" ref="AG211"/>
    <hyperlink r:id="rId1014" ref="AL211"/>
    <hyperlink r:id="rId1015" ref="T212"/>
    <hyperlink r:id="rId1016" ref="U212"/>
    <hyperlink r:id="rId1017" ref="Y212"/>
    <hyperlink r:id="rId1018" ref="AG212"/>
    <hyperlink r:id="rId1019" ref="AL212"/>
    <hyperlink r:id="rId1020" ref="T213"/>
    <hyperlink r:id="rId1021" ref="U213"/>
    <hyperlink r:id="rId1022" ref="Y213"/>
    <hyperlink r:id="rId1023" ref="AG213"/>
    <hyperlink r:id="rId1024" ref="AL213"/>
    <hyperlink r:id="rId1025" ref="T214"/>
    <hyperlink r:id="rId1026" ref="U214"/>
    <hyperlink r:id="rId1027" ref="Y214"/>
    <hyperlink r:id="rId1028" ref="AG214"/>
    <hyperlink r:id="rId1029" ref="AL214"/>
    <hyperlink r:id="rId1030" ref="Y215"/>
    <hyperlink r:id="rId1031" ref="AG215"/>
    <hyperlink r:id="rId1032" ref="AL215"/>
    <hyperlink r:id="rId1033" ref="T216"/>
    <hyperlink r:id="rId1034" ref="U216"/>
    <hyperlink r:id="rId1035" ref="Y216"/>
    <hyperlink r:id="rId1036" ref="AG216"/>
    <hyperlink r:id="rId1037" ref="AL216"/>
    <hyperlink r:id="rId1038" ref="T217"/>
    <hyperlink r:id="rId1039" ref="U217"/>
    <hyperlink r:id="rId1040" ref="Y217"/>
    <hyperlink r:id="rId1041" ref="AG217"/>
    <hyperlink r:id="rId1042" ref="AL217"/>
    <hyperlink r:id="rId1043" ref="T218"/>
    <hyperlink r:id="rId1044" ref="U218"/>
    <hyperlink r:id="rId1045" ref="Y218"/>
    <hyperlink r:id="rId1046" ref="AL218"/>
    <hyperlink r:id="rId1047" ref="T219"/>
    <hyperlink r:id="rId1048" ref="U219"/>
    <hyperlink r:id="rId1049" ref="Y219"/>
    <hyperlink r:id="rId1050" ref="AG219"/>
    <hyperlink r:id="rId1051" ref="AL219"/>
    <hyperlink r:id="rId1052" ref="T220"/>
    <hyperlink r:id="rId1053" ref="U220"/>
    <hyperlink r:id="rId1054" ref="AG220"/>
    <hyperlink r:id="rId1055" ref="AL220"/>
    <hyperlink r:id="rId1056" ref="T221"/>
    <hyperlink r:id="rId1057" ref="U221"/>
    <hyperlink r:id="rId1058" ref="Y221"/>
    <hyperlink r:id="rId1059" ref="AG221"/>
    <hyperlink r:id="rId1060" ref="T222"/>
    <hyperlink r:id="rId1061" ref="U222"/>
    <hyperlink r:id="rId1062" ref="Y222"/>
    <hyperlink r:id="rId1063" ref="AG222"/>
    <hyperlink r:id="rId1064" ref="AL222"/>
    <hyperlink r:id="rId1065" ref="T223"/>
    <hyperlink r:id="rId1066" ref="U223"/>
    <hyperlink r:id="rId1067" ref="Y223"/>
    <hyperlink r:id="rId1068" ref="AG223"/>
    <hyperlink r:id="rId1069" ref="T224"/>
    <hyperlink r:id="rId1070" ref="U224"/>
    <hyperlink r:id="rId1071" ref="Y224"/>
    <hyperlink r:id="rId1072" ref="AG224"/>
    <hyperlink r:id="rId1073" ref="AL224"/>
    <hyperlink r:id="rId1074" ref="T225"/>
    <hyperlink r:id="rId1075" ref="U225"/>
    <hyperlink r:id="rId1076" ref="Y225"/>
    <hyperlink r:id="rId1077" ref="AG225"/>
    <hyperlink r:id="rId1078" ref="AL225"/>
    <hyperlink r:id="rId1079" ref="T226"/>
    <hyperlink r:id="rId1080" ref="U226"/>
    <hyperlink r:id="rId1081" ref="Y226"/>
    <hyperlink r:id="rId1082" ref="AG226"/>
    <hyperlink r:id="rId1083" ref="AL226"/>
    <hyperlink r:id="rId1084" ref="T227"/>
    <hyperlink r:id="rId1085" ref="U227"/>
    <hyperlink r:id="rId1086" ref="Y227"/>
    <hyperlink r:id="rId1087" ref="AG227"/>
    <hyperlink r:id="rId1088" ref="AL227"/>
    <hyperlink r:id="rId1089" ref="T228"/>
    <hyperlink r:id="rId1090" ref="U228"/>
    <hyperlink r:id="rId1091" ref="X228"/>
    <hyperlink r:id="rId1092" ref="Y228"/>
    <hyperlink r:id="rId1093" ref="AG228"/>
    <hyperlink r:id="rId1094" ref="AL228"/>
    <hyperlink r:id="rId1095" ref="T229"/>
    <hyperlink r:id="rId1096" ref="U229"/>
    <hyperlink r:id="rId1097" location="GovernmentCloud" ref="Y229"/>
    <hyperlink r:id="rId1098" ref="AG229"/>
    <hyperlink r:id="rId1099" ref="AL229"/>
    <hyperlink r:id="rId1100" ref="T230"/>
    <hyperlink r:id="rId1101" ref="U230"/>
    <hyperlink r:id="rId1102" ref="AG230"/>
    <hyperlink r:id="rId1103" ref="AL230"/>
    <hyperlink r:id="rId1104" ref="T231"/>
    <hyperlink r:id="rId1105" ref="U231"/>
    <hyperlink r:id="rId1106" ref="Y231"/>
    <hyperlink r:id="rId1107" ref="AG231"/>
    <hyperlink r:id="rId1108" ref="AL231"/>
    <hyperlink r:id="rId1109" ref="T232"/>
    <hyperlink r:id="rId1110" ref="U232"/>
    <hyperlink r:id="rId1111" ref="X232"/>
    <hyperlink r:id="rId1112" ref="Y232"/>
    <hyperlink r:id="rId1113" ref="AG232"/>
    <hyperlink r:id="rId1114" ref="AL232"/>
    <hyperlink r:id="rId1115" ref="T233"/>
    <hyperlink r:id="rId1116" ref="U233"/>
    <hyperlink r:id="rId1117" ref="Y233"/>
    <hyperlink r:id="rId1118" ref="AG233"/>
    <hyperlink r:id="rId1119" ref="AL233"/>
    <hyperlink r:id="rId1120" ref="T234"/>
    <hyperlink r:id="rId1121" ref="U234"/>
    <hyperlink r:id="rId1122" ref="Y234"/>
    <hyperlink r:id="rId1123" ref="AG234"/>
    <hyperlink r:id="rId1124" ref="T235"/>
    <hyperlink r:id="rId1125" ref="U235"/>
    <hyperlink r:id="rId1126" ref="Y235"/>
    <hyperlink r:id="rId1127" ref="AG235"/>
    <hyperlink r:id="rId1128" ref="AL235"/>
    <hyperlink r:id="rId1129" ref="T236"/>
    <hyperlink r:id="rId1130" ref="U236"/>
    <hyperlink r:id="rId1131" ref="Y236"/>
    <hyperlink r:id="rId1132" ref="AG236"/>
    <hyperlink r:id="rId1133" ref="AL236"/>
    <hyperlink r:id="rId1134" ref="T237"/>
    <hyperlink r:id="rId1135" ref="U237"/>
    <hyperlink r:id="rId1136" ref="Y237"/>
    <hyperlink r:id="rId1137" ref="AG237"/>
    <hyperlink r:id="rId1138" ref="AL237"/>
    <hyperlink r:id="rId1139" ref="T238"/>
    <hyperlink r:id="rId1140" ref="U238"/>
    <hyperlink r:id="rId1141" ref="Y238"/>
    <hyperlink r:id="rId1142" ref="AG238"/>
    <hyperlink r:id="rId1143" ref="AL238"/>
    <hyperlink r:id="rId1144" ref="T239"/>
    <hyperlink r:id="rId1145" ref="U239"/>
    <hyperlink r:id="rId1146" ref="Y239"/>
    <hyperlink r:id="rId1147" ref="AG239"/>
    <hyperlink r:id="rId1148" ref="AL239"/>
    <hyperlink r:id="rId1149" ref="T240"/>
    <hyperlink r:id="rId1150" ref="U240"/>
    <hyperlink r:id="rId1151" ref="Y240"/>
    <hyperlink r:id="rId1152" ref="AG240"/>
    <hyperlink r:id="rId1153" ref="AL240"/>
    <hyperlink r:id="rId1154" ref="T241"/>
    <hyperlink r:id="rId1155" ref="U241"/>
    <hyperlink r:id="rId1156" ref="Y241"/>
    <hyperlink r:id="rId1157" ref="AG241"/>
    <hyperlink r:id="rId1158" ref="AL241"/>
    <hyperlink r:id="rId1159" ref="T242"/>
    <hyperlink r:id="rId1160" ref="U242"/>
    <hyperlink r:id="rId1161" ref="Y242"/>
    <hyperlink r:id="rId1162" ref="AG242"/>
    <hyperlink r:id="rId1163" ref="AL242"/>
    <hyperlink r:id="rId1164" ref="T243"/>
    <hyperlink r:id="rId1165" ref="U243"/>
    <hyperlink r:id="rId1166" ref="Y243"/>
    <hyperlink r:id="rId1167" ref="AG243"/>
    <hyperlink r:id="rId1168" ref="T244"/>
    <hyperlink r:id="rId1169" ref="U244"/>
    <hyperlink r:id="rId1170" ref="Y244"/>
    <hyperlink r:id="rId1171" ref="AG244"/>
    <hyperlink r:id="rId1172" ref="AL244"/>
    <hyperlink r:id="rId1173" ref="T245"/>
    <hyperlink r:id="rId1174" ref="U245"/>
    <hyperlink r:id="rId1175" ref="Y245"/>
    <hyperlink r:id="rId1176" ref="AG245"/>
    <hyperlink r:id="rId1177" ref="T246"/>
    <hyperlink r:id="rId1178" ref="U246"/>
    <hyperlink r:id="rId1179" ref="Y246"/>
    <hyperlink r:id="rId1180" ref="AG246"/>
    <hyperlink r:id="rId1181" ref="AL246"/>
    <hyperlink r:id="rId1182" ref="T247"/>
    <hyperlink r:id="rId1183" ref="U247"/>
    <hyperlink r:id="rId1184" ref="Y247"/>
    <hyperlink r:id="rId1185" ref="AG247"/>
    <hyperlink r:id="rId1186" ref="AL247"/>
    <hyperlink r:id="rId1187" ref="T248"/>
    <hyperlink r:id="rId1188" ref="U248"/>
    <hyperlink r:id="rId1189" ref="Y248"/>
    <hyperlink r:id="rId1190" ref="AG248"/>
    <hyperlink r:id="rId1191" ref="AL248"/>
    <hyperlink r:id="rId1192" ref="T249"/>
    <hyperlink r:id="rId1193" ref="U249"/>
    <hyperlink r:id="rId1194" ref="Y249"/>
    <hyperlink r:id="rId1195" ref="AG249"/>
    <hyperlink r:id="rId1196" ref="AL249"/>
    <hyperlink r:id="rId1197" ref="T250"/>
    <hyperlink r:id="rId1198" ref="U250"/>
    <hyperlink r:id="rId1199" ref="Y250"/>
    <hyperlink r:id="rId1200" ref="AG250"/>
    <hyperlink r:id="rId1201" ref="AL250"/>
    <hyperlink r:id="rId1202" ref="T251"/>
    <hyperlink r:id="rId1203" ref="U251"/>
    <hyperlink r:id="rId1204" ref="Y251"/>
    <hyperlink r:id="rId1205" ref="T252"/>
    <hyperlink r:id="rId1206" ref="U252"/>
    <hyperlink r:id="rId1207" ref="Y252"/>
    <hyperlink r:id="rId1208" ref="AG252"/>
    <hyperlink r:id="rId1209" ref="AL252"/>
    <hyperlink r:id="rId1210" ref="T253"/>
    <hyperlink r:id="rId1211" ref="U253"/>
    <hyperlink r:id="rId1212" ref="Y253"/>
    <hyperlink r:id="rId1213" ref="AG253"/>
    <hyperlink r:id="rId1214" ref="AL253"/>
    <hyperlink r:id="rId1215" ref="T254"/>
    <hyperlink r:id="rId1216" ref="U254"/>
    <hyperlink r:id="rId1217" ref="Y254"/>
    <hyperlink r:id="rId1218" ref="AG254"/>
    <hyperlink r:id="rId1219" ref="AL254"/>
    <hyperlink r:id="rId1220" ref="T255"/>
    <hyperlink r:id="rId1221" ref="U255"/>
    <hyperlink r:id="rId1222" ref="Y255"/>
    <hyperlink r:id="rId1223" ref="AG255"/>
    <hyperlink r:id="rId1224" ref="AL255"/>
    <hyperlink r:id="rId1225" ref="T256"/>
    <hyperlink r:id="rId1226" ref="U256"/>
    <hyperlink r:id="rId1227" ref="Y256"/>
    <hyperlink r:id="rId1228" ref="AG256"/>
    <hyperlink r:id="rId1229" ref="AL256"/>
    <hyperlink r:id="rId1230" ref="T257"/>
    <hyperlink r:id="rId1231" ref="U257"/>
    <hyperlink r:id="rId1232" ref="Y257"/>
    <hyperlink r:id="rId1233" ref="AG257"/>
    <hyperlink r:id="rId1234" ref="AL257"/>
    <hyperlink r:id="rId1235" ref="T258"/>
    <hyperlink r:id="rId1236" ref="U258"/>
    <hyperlink r:id="rId1237" ref="Y258"/>
    <hyperlink r:id="rId1238" ref="AG258"/>
    <hyperlink r:id="rId1239" ref="AL258"/>
    <hyperlink r:id="rId1240" ref="T259"/>
    <hyperlink r:id="rId1241" ref="Y259"/>
    <hyperlink r:id="rId1242" ref="AG259"/>
    <hyperlink r:id="rId1243" ref="T260"/>
    <hyperlink r:id="rId1244" ref="Y260"/>
    <hyperlink r:id="rId1245" ref="AG260"/>
    <hyperlink r:id="rId1246" ref="T261"/>
    <hyperlink r:id="rId1247" ref="Y261"/>
    <hyperlink r:id="rId1248" ref="AG261"/>
    <hyperlink r:id="rId1249" ref="T262"/>
    <hyperlink r:id="rId1250" ref="Y262"/>
    <hyperlink r:id="rId1251" ref="AG262"/>
    <hyperlink r:id="rId1252" ref="T263"/>
    <hyperlink r:id="rId1253" ref="U263"/>
    <hyperlink r:id="rId1254" ref="Y263"/>
    <hyperlink r:id="rId1255" ref="AG263"/>
    <hyperlink r:id="rId1256" ref="AL263"/>
    <hyperlink r:id="rId1257" ref="T264"/>
    <hyperlink r:id="rId1258" ref="U264"/>
    <hyperlink r:id="rId1259" ref="Y264"/>
    <hyperlink r:id="rId1260" ref="AG264"/>
    <hyperlink r:id="rId1261" ref="AL264"/>
    <hyperlink r:id="rId1262" ref="T265"/>
    <hyperlink r:id="rId1263" ref="U265"/>
    <hyperlink r:id="rId1264" ref="Y265"/>
    <hyperlink r:id="rId1265" ref="AG265"/>
    <hyperlink r:id="rId1266" ref="AL265"/>
    <hyperlink r:id="rId1267" ref="T266"/>
    <hyperlink r:id="rId1268" ref="U266"/>
    <hyperlink r:id="rId1269" ref="Y266"/>
    <hyperlink r:id="rId1270" ref="AG266"/>
    <hyperlink r:id="rId1271" ref="AL266"/>
    <hyperlink r:id="rId1272" ref="T267"/>
    <hyperlink r:id="rId1273" ref="U267"/>
    <hyperlink r:id="rId1274" ref="Y267"/>
    <hyperlink r:id="rId1275" ref="AG267"/>
    <hyperlink r:id="rId1276" ref="AL267"/>
    <hyperlink r:id="rId1277" ref="T268"/>
    <hyperlink r:id="rId1278" ref="U268"/>
    <hyperlink r:id="rId1279" ref="Y268"/>
    <hyperlink r:id="rId1280" ref="AG268"/>
    <hyperlink r:id="rId1281" ref="AL268"/>
    <hyperlink r:id="rId1282" ref="T269"/>
    <hyperlink r:id="rId1283" ref="U269"/>
    <hyperlink r:id="rId1284" ref="Y269"/>
    <hyperlink r:id="rId1285" ref="AG269"/>
    <hyperlink r:id="rId1286" ref="AL269"/>
    <hyperlink r:id="rId1287" ref="T270"/>
    <hyperlink r:id="rId1288" ref="U270"/>
    <hyperlink r:id="rId1289" ref="Y270"/>
    <hyperlink r:id="rId1290" ref="AG270"/>
    <hyperlink r:id="rId1291" ref="AL270"/>
    <hyperlink r:id="rId1292" ref="T271"/>
    <hyperlink r:id="rId1293" ref="U271"/>
    <hyperlink r:id="rId1294" ref="Y271"/>
    <hyperlink r:id="rId1295" ref="AG271"/>
    <hyperlink r:id="rId1296" ref="AL271"/>
    <hyperlink r:id="rId1297" ref="T272"/>
    <hyperlink r:id="rId1298" ref="U272"/>
    <hyperlink r:id="rId1299" ref="Y272"/>
    <hyperlink r:id="rId1300" ref="AG272"/>
    <hyperlink r:id="rId1301" ref="AL272"/>
    <hyperlink r:id="rId1302" ref="T273"/>
    <hyperlink r:id="rId1303" ref="U273"/>
    <hyperlink r:id="rId1304" ref="Y273"/>
    <hyperlink r:id="rId1305" ref="AG273"/>
    <hyperlink r:id="rId1306" ref="AL273"/>
    <hyperlink r:id="rId1307" ref="T274"/>
    <hyperlink r:id="rId1308" ref="U274"/>
    <hyperlink r:id="rId1309" ref="Y274"/>
    <hyperlink r:id="rId1310" ref="AG274"/>
    <hyperlink r:id="rId1311" ref="AL274"/>
    <hyperlink r:id="rId1312" ref="T275"/>
    <hyperlink r:id="rId1313" ref="U275"/>
    <hyperlink r:id="rId1314" ref="X275"/>
    <hyperlink r:id="rId1315" ref="Y275"/>
    <hyperlink r:id="rId1316" ref="AG275"/>
    <hyperlink r:id="rId1317" ref="AL275"/>
    <hyperlink r:id="rId1318" ref="T276"/>
    <hyperlink r:id="rId1319" ref="U276"/>
    <hyperlink r:id="rId1320" ref="Y276"/>
    <hyperlink r:id="rId1321" ref="AG276"/>
    <hyperlink r:id="rId1322" ref="T277"/>
    <hyperlink r:id="rId1323" ref="U277"/>
    <hyperlink r:id="rId1324" ref="Y277"/>
    <hyperlink r:id="rId1325" ref="AG277"/>
    <hyperlink r:id="rId1326" ref="T278"/>
    <hyperlink r:id="rId1327" ref="U278"/>
    <hyperlink r:id="rId1328" ref="Y278"/>
    <hyperlink r:id="rId1329" ref="AG278"/>
    <hyperlink r:id="rId1330" ref="AL278"/>
    <hyperlink r:id="rId1331" ref="T279"/>
    <hyperlink r:id="rId1332" ref="U279"/>
    <hyperlink r:id="rId1333" ref="Y279"/>
    <hyperlink r:id="rId1334" ref="AG279"/>
    <hyperlink r:id="rId1335" ref="AL279"/>
    <hyperlink r:id="rId1336" ref="T280"/>
    <hyperlink r:id="rId1337" ref="U280"/>
    <hyperlink r:id="rId1338" ref="Y280"/>
    <hyperlink r:id="rId1339" ref="AG280"/>
    <hyperlink r:id="rId1340" ref="T281"/>
    <hyperlink r:id="rId1341" ref="U281"/>
    <hyperlink r:id="rId1342" ref="Y281"/>
    <hyperlink r:id="rId1343" ref="AG281"/>
    <hyperlink r:id="rId1344" ref="T282"/>
    <hyperlink r:id="rId1345" ref="U282"/>
    <hyperlink r:id="rId1346" ref="Y282"/>
    <hyperlink r:id="rId1347" ref="AG282"/>
    <hyperlink r:id="rId1348" ref="AL282"/>
    <hyperlink r:id="rId1349" ref="T283"/>
    <hyperlink r:id="rId1350" ref="U283"/>
    <hyperlink r:id="rId1351" ref="X283"/>
    <hyperlink r:id="rId1352" ref="Y283"/>
    <hyperlink r:id="rId1353" ref="AG283"/>
    <hyperlink r:id="rId1354" ref="T284"/>
    <hyperlink r:id="rId1355" ref="U284"/>
    <hyperlink r:id="rId1356" ref="X284"/>
    <hyperlink r:id="rId1357" ref="Y284"/>
    <hyperlink r:id="rId1358" ref="AG284"/>
    <hyperlink r:id="rId1359" ref="U285"/>
    <hyperlink r:id="rId1360" ref="AG285"/>
    <hyperlink r:id="rId1361" ref="AL285"/>
    <hyperlink r:id="rId1362" ref="T286"/>
    <hyperlink r:id="rId1363" ref="U286"/>
    <hyperlink r:id="rId1364" ref="X286"/>
    <hyperlink r:id="rId1365" ref="Y286"/>
    <hyperlink r:id="rId1366" ref="AG286"/>
    <hyperlink r:id="rId1367" ref="AL286"/>
    <hyperlink r:id="rId1368" ref="T287"/>
    <hyperlink r:id="rId1369" ref="U287"/>
    <hyperlink r:id="rId1370" ref="Y287"/>
    <hyperlink r:id="rId1371" ref="AG287"/>
    <hyperlink r:id="rId1372" ref="AL287"/>
    <hyperlink r:id="rId1373" ref="T288"/>
    <hyperlink r:id="rId1374" ref="U288"/>
    <hyperlink r:id="rId1375" ref="X288"/>
    <hyperlink r:id="rId1376" ref="Y288"/>
    <hyperlink r:id="rId1377" ref="AG288"/>
    <hyperlink r:id="rId1378" ref="AL288"/>
    <hyperlink r:id="rId1379" ref="T289"/>
    <hyperlink r:id="rId1380" ref="U289"/>
    <hyperlink r:id="rId1381" ref="Y289"/>
    <hyperlink r:id="rId1382" ref="AG289"/>
    <hyperlink r:id="rId1383" ref="AL289"/>
    <hyperlink r:id="rId1384" ref="T290"/>
    <hyperlink r:id="rId1385" ref="U290"/>
    <hyperlink r:id="rId1386" ref="Y290"/>
    <hyperlink r:id="rId1387" ref="AG290"/>
    <hyperlink r:id="rId1388" ref="AL290"/>
    <hyperlink r:id="rId1389" ref="T291"/>
    <hyperlink r:id="rId1390" ref="U291"/>
    <hyperlink r:id="rId1391" ref="Y291"/>
    <hyperlink r:id="rId1392" ref="AL291"/>
    <hyperlink r:id="rId1393" ref="T292"/>
    <hyperlink r:id="rId1394" ref="U292"/>
    <hyperlink r:id="rId1395" ref="Y292"/>
    <hyperlink r:id="rId1396" ref="AG292"/>
    <hyperlink r:id="rId1397" ref="AL292"/>
    <hyperlink r:id="rId1398" ref="T293"/>
    <hyperlink r:id="rId1399" ref="U293"/>
    <hyperlink r:id="rId1400" ref="Y293"/>
    <hyperlink r:id="rId1401" ref="AG293"/>
    <hyperlink r:id="rId1402" ref="AL293"/>
    <hyperlink r:id="rId1403" ref="T294"/>
    <hyperlink r:id="rId1404" ref="U294"/>
    <hyperlink r:id="rId1405" ref="Y294"/>
    <hyperlink r:id="rId1406" ref="AG294"/>
    <hyperlink r:id="rId1407" ref="AL294"/>
    <hyperlink r:id="rId1408" ref="T295"/>
    <hyperlink r:id="rId1409" ref="U295"/>
    <hyperlink r:id="rId1410" ref="Y295"/>
    <hyperlink r:id="rId1411" ref="AG295"/>
    <hyperlink r:id="rId1412" ref="AL295"/>
    <hyperlink r:id="rId1413" ref="T296"/>
    <hyperlink r:id="rId1414" ref="U296"/>
    <hyperlink r:id="rId1415" ref="Y296"/>
    <hyperlink r:id="rId1416" ref="AG296"/>
    <hyperlink r:id="rId1417" ref="AL296"/>
    <hyperlink r:id="rId1418" ref="T297"/>
    <hyperlink r:id="rId1419" ref="U297"/>
    <hyperlink r:id="rId1420" ref="Y297"/>
    <hyperlink r:id="rId1421" ref="AG297"/>
    <hyperlink r:id="rId1422" ref="AL297"/>
    <hyperlink r:id="rId1423" ref="T298"/>
    <hyperlink r:id="rId1424" ref="U298"/>
    <hyperlink r:id="rId1425" ref="Y298"/>
    <hyperlink r:id="rId1426" ref="AG298"/>
    <hyperlink r:id="rId1427" ref="AL298"/>
    <hyperlink r:id="rId1428" ref="T299"/>
    <hyperlink r:id="rId1429" ref="U299"/>
    <hyperlink r:id="rId1430" ref="Y299"/>
    <hyperlink r:id="rId1431" ref="AG299"/>
    <hyperlink r:id="rId1432" ref="T300"/>
    <hyperlink r:id="rId1433" ref="U300"/>
    <hyperlink r:id="rId1434" ref="Y300"/>
    <hyperlink r:id="rId1435" ref="AG300"/>
    <hyperlink r:id="rId1436" ref="AL300"/>
    <hyperlink r:id="rId1437" ref="T301"/>
    <hyperlink r:id="rId1438" ref="U301"/>
    <hyperlink r:id="rId1439" ref="Y301"/>
    <hyperlink r:id="rId1440" ref="AG301"/>
    <hyperlink r:id="rId1441" ref="AL301"/>
    <hyperlink r:id="rId1442" ref="T302"/>
    <hyperlink r:id="rId1443" ref="U302"/>
    <hyperlink r:id="rId1444" ref="Y302"/>
    <hyperlink r:id="rId1445" ref="AG302"/>
    <hyperlink r:id="rId1446" ref="AL302"/>
    <hyperlink r:id="rId1447" ref="T303"/>
    <hyperlink r:id="rId1448" ref="U303"/>
    <hyperlink r:id="rId1449" ref="Y303"/>
    <hyperlink r:id="rId1450" ref="AG303"/>
    <hyperlink r:id="rId1451" ref="AL303"/>
    <hyperlink r:id="rId1452" ref="T304"/>
    <hyperlink r:id="rId1453" ref="U304"/>
    <hyperlink r:id="rId1454" ref="Y304"/>
    <hyperlink r:id="rId1455" ref="AG304"/>
    <hyperlink r:id="rId1456" ref="AL304"/>
    <hyperlink r:id="rId1457" ref="T305"/>
    <hyperlink r:id="rId1458" ref="U305"/>
    <hyperlink r:id="rId1459" ref="Y305"/>
    <hyperlink r:id="rId1460" ref="AG305"/>
    <hyperlink r:id="rId1461" ref="AL305"/>
    <hyperlink r:id="rId1462" ref="T306"/>
    <hyperlink r:id="rId1463" ref="U306"/>
    <hyperlink r:id="rId1464" ref="Y306"/>
    <hyperlink r:id="rId1465" ref="AG306"/>
    <hyperlink r:id="rId1466" ref="AL306"/>
    <hyperlink r:id="rId1467" ref="T307"/>
    <hyperlink r:id="rId1468" ref="U307"/>
    <hyperlink r:id="rId1469" ref="Y307"/>
    <hyperlink r:id="rId1470" ref="AG307"/>
    <hyperlink r:id="rId1471" ref="AL307"/>
    <hyperlink r:id="rId1472" ref="T308"/>
    <hyperlink r:id="rId1473" ref="U308"/>
    <hyperlink r:id="rId1474" ref="Y308"/>
    <hyperlink r:id="rId1475" ref="AG308"/>
    <hyperlink r:id="rId1476" ref="AL308"/>
    <hyperlink r:id="rId1477" ref="T309"/>
    <hyperlink r:id="rId1478" ref="U309"/>
    <hyperlink r:id="rId1479" ref="X309"/>
    <hyperlink r:id="rId1480" ref="Y309"/>
    <hyperlink r:id="rId1481" ref="AG309"/>
    <hyperlink r:id="rId1482" ref="AL309"/>
    <hyperlink r:id="rId1483" ref="T310"/>
    <hyperlink r:id="rId1484" ref="U310"/>
    <hyperlink r:id="rId1485" ref="Y310"/>
    <hyperlink r:id="rId1486" ref="AG310"/>
    <hyperlink r:id="rId1487" ref="AL310"/>
    <hyperlink r:id="rId1488" ref="T311"/>
    <hyperlink r:id="rId1489" ref="U311"/>
    <hyperlink r:id="rId1490" ref="X311"/>
    <hyperlink r:id="rId1491" ref="Y311"/>
    <hyperlink r:id="rId1492" ref="AG311"/>
    <hyperlink r:id="rId1493" ref="AL311"/>
    <hyperlink r:id="rId1494" ref="T312"/>
    <hyperlink r:id="rId1495" ref="U312"/>
    <hyperlink r:id="rId1496" ref="Y312"/>
    <hyperlink r:id="rId1497" ref="AG312"/>
    <hyperlink r:id="rId1498" ref="AL312"/>
    <hyperlink r:id="rId1499" ref="T313"/>
    <hyperlink r:id="rId1500" ref="U313"/>
    <hyperlink r:id="rId1501" ref="Y313"/>
    <hyperlink r:id="rId1502" ref="AG313"/>
    <hyperlink r:id="rId1503" ref="AL313"/>
    <hyperlink r:id="rId1504" ref="T314"/>
    <hyperlink r:id="rId1505" ref="U314"/>
    <hyperlink r:id="rId1506" ref="Y314"/>
    <hyperlink r:id="rId1507" ref="AG314"/>
    <hyperlink r:id="rId1508" ref="AL314"/>
    <hyperlink r:id="rId1509" ref="T315"/>
    <hyperlink r:id="rId1510" ref="U315"/>
    <hyperlink r:id="rId1511" ref="Y315"/>
    <hyperlink r:id="rId1512" ref="AG315"/>
    <hyperlink r:id="rId1513" ref="AL315"/>
    <hyperlink r:id="rId1514" ref="T316"/>
    <hyperlink r:id="rId1515" ref="U316"/>
    <hyperlink r:id="rId1516" ref="Y316"/>
    <hyperlink r:id="rId1517" ref="AG316"/>
    <hyperlink r:id="rId1518" ref="AL316"/>
    <hyperlink r:id="rId1519" ref="T317"/>
    <hyperlink r:id="rId1520" ref="U317"/>
    <hyperlink r:id="rId1521" ref="Y317"/>
    <hyperlink r:id="rId1522" ref="AG317"/>
    <hyperlink r:id="rId1523" ref="AL317"/>
    <hyperlink r:id="rId1524" ref="T318"/>
    <hyperlink r:id="rId1525" ref="U318"/>
    <hyperlink r:id="rId1526" ref="Y318"/>
    <hyperlink r:id="rId1527" ref="AG318"/>
    <hyperlink r:id="rId1528" ref="AL318"/>
    <hyperlink r:id="rId1529" ref="T319"/>
    <hyperlink r:id="rId1530" ref="U319"/>
    <hyperlink r:id="rId1531" ref="Y319"/>
    <hyperlink r:id="rId1532" ref="AG319"/>
    <hyperlink r:id="rId1533" ref="AL319"/>
    <hyperlink r:id="rId1534" ref="T320"/>
    <hyperlink r:id="rId1535" ref="U320"/>
    <hyperlink r:id="rId1536" ref="Y320"/>
    <hyperlink r:id="rId1537" ref="AG320"/>
    <hyperlink r:id="rId1538" ref="AL320"/>
    <hyperlink r:id="rId1539" ref="T321"/>
    <hyperlink r:id="rId1540" ref="U321"/>
    <hyperlink r:id="rId1541" ref="Y321"/>
    <hyperlink r:id="rId1542" ref="AG321"/>
    <hyperlink r:id="rId1543" ref="AL321"/>
    <hyperlink r:id="rId1544" ref="T322"/>
    <hyperlink r:id="rId1545" ref="U322"/>
    <hyperlink r:id="rId1546" ref="Y322"/>
    <hyperlink r:id="rId1547" ref="AG322"/>
    <hyperlink r:id="rId1548" ref="AL322"/>
    <hyperlink r:id="rId1549" ref="T323"/>
    <hyperlink r:id="rId1550" ref="U323"/>
    <hyperlink r:id="rId1551" ref="Y323"/>
    <hyperlink r:id="rId1552" ref="AG323"/>
    <hyperlink r:id="rId1553" ref="AL323"/>
    <hyperlink r:id="rId1554" ref="T324"/>
    <hyperlink r:id="rId1555" ref="U324"/>
    <hyperlink r:id="rId1556" ref="Y324"/>
    <hyperlink r:id="rId1557" ref="AG324"/>
    <hyperlink r:id="rId1558" ref="AL324"/>
    <hyperlink r:id="rId1559" ref="T325"/>
    <hyperlink r:id="rId1560" ref="U325"/>
    <hyperlink r:id="rId1561" ref="Y325"/>
    <hyperlink r:id="rId1562" ref="AG325"/>
    <hyperlink r:id="rId1563" ref="AL325"/>
    <hyperlink r:id="rId1564" ref="T326"/>
    <hyperlink r:id="rId1565" ref="U326"/>
    <hyperlink r:id="rId1566" ref="Y326"/>
    <hyperlink r:id="rId1567" ref="AG326"/>
    <hyperlink r:id="rId1568" ref="AL326"/>
    <hyperlink r:id="rId1569" ref="T327"/>
    <hyperlink r:id="rId1570" ref="U327"/>
    <hyperlink r:id="rId1571" ref="Y327"/>
    <hyperlink r:id="rId1572" ref="AG327"/>
    <hyperlink r:id="rId1573" ref="AL327"/>
    <hyperlink r:id="rId1574" ref="T328"/>
    <hyperlink r:id="rId1575" ref="U328"/>
    <hyperlink r:id="rId1576" ref="Y328"/>
    <hyperlink r:id="rId1577" ref="AG328"/>
    <hyperlink r:id="rId1578" ref="AL328"/>
    <hyperlink r:id="rId1579" ref="T329"/>
    <hyperlink r:id="rId1580" ref="U329"/>
    <hyperlink r:id="rId1581" ref="Y329"/>
    <hyperlink r:id="rId1582" ref="AG329"/>
    <hyperlink r:id="rId1583" ref="AL329"/>
    <hyperlink r:id="rId1584" ref="T330"/>
    <hyperlink r:id="rId1585" ref="U330"/>
    <hyperlink r:id="rId1586" ref="Y330"/>
    <hyperlink r:id="rId1587" ref="AG330"/>
    <hyperlink r:id="rId1588" ref="AL330"/>
    <hyperlink r:id="rId1589" ref="T331"/>
    <hyperlink r:id="rId1590" ref="U331"/>
    <hyperlink r:id="rId1591" ref="X331"/>
    <hyperlink r:id="rId1592" ref="Y331"/>
    <hyperlink r:id="rId1593" ref="AG331"/>
    <hyperlink r:id="rId1594" ref="AL331"/>
    <hyperlink r:id="rId1595" ref="T332"/>
    <hyperlink r:id="rId1596" ref="U332"/>
    <hyperlink r:id="rId1597" ref="Y332"/>
    <hyperlink r:id="rId1598" ref="AG332"/>
    <hyperlink r:id="rId1599" ref="AL332"/>
    <hyperlink r:id="rId1600" ref="T333"/>
    <hyperlink r:id="rId1601" ref="U333"/>
    <hyperlink r:id="rId1602" ref="Y333"/>
    <hyperlink r:id="rId1603" ref="AG333"/>
    <hyperlink r:id="rId1604" ref="AL333"/>
    <hyperlink r:id="rId1605" ref="T334"/>
    <hyperlink r:id="rId1606" ref="U334"/>
    <hyperlink r:id="rId1607" ref="Y334"/>
    <hyperlink r:id="rId1608" ref="AG334"/>
    <hyperlink r:id="rId1609" ref="AL334"/>
    <hyperlink r:id="rId1610" ref="T335"/>
    <hyperlink r:id="rId1611" ref="U335"/>
    <hyperlink r:id="rId1612" ref="Y335"/>
    <hyperlink r:id="rId1613" ref="AG335"/>
    <hyperlink r:id="rId1614" ref="AL335"/>
    <hyperlink r:id="rId1615" ref="T336"/>
    <hyperlink r:id="rId1616" ref="U336"/>
    <hyperlink r:id="rId1617" ref="Y336"/>
    <hyperlink r:id="rId1618" ref="AG336"/>
    <hyperlink r:id="rId1619" ref="AL336"/>
    <hyperlink r:id="rId1620" ref="T337"/>
    <hyperlink r:id="rId1621" ref="U337"/>
    <hyperlink r:id="rId1622" ref="Y337"/>
    <hyperlink r:id="rId1623" ref="AG337"/>
    <hyperlink r:id="rId1624" ref="AL337"/>
    <hyperlink r:id="rId1625" ref="T338"/>
    <hyperlink r:id="rId1626" ref="U338"/>
    <hyperlink r:id="rId1627" ref="Y338"/>
    <hyperlink r:id="rId1628" ref="AG338"/>
    <hyperlink r:id="rId1629" ref="AL338"/>
    <hyperlink r:id="rId1630" ref="T339"/>
    <hyperlink r:id="rId1631" ref="U339"/>
    <hyperlink r:id="rId1632" ref="Y339"/>
    <hyperlink r:id="rId1633" ref="AG339"/>
    <hyperlink r:id="rId1634" ref="AL339"/>
    <hyperlink r:id="rId1635" ref="T340"/>
    <hyperlink r:id="rId1636" ref="U340"/>
    <hyperlink r:id="rId1637" ref="Y340"/>
    <hyperlink r:id="rId1638" ref="AG340"/>
    <hyperlink r:id="rId1639" ref="AL340"/>
    <hyperlink r:id="rId1640" ref="T341"/>
    <hyperlink r:id="rId1641" ref="U341"/>
    <hyperlink r:id="rId1642" ref="Y341"/>
    <hyperlink r:id="rId1643" ref="AG341"/>
    <hyperlink r:id="rId1644" ref="AL341"/>
    <hyperlink r:id="rId1645" ref="T342"/>
    <hyperlink r:id="rId1646" ref="U342"/>
    <hyperlink r:id="rId1647" ref="Y342"/>
    <hyperlink r:id="rId1648" ref="AG342"/>
    <hyperlink r:id="rId1649" ref="AL342"/>
    <hyperlink r:id="rId1650" ref="T343"/>
    <hyperlink r:id="rId1651" ref="U343"/>
    <hyperlink r:id="rId1652" ref="Y343"/>
    <hyperlink r:id="rId1653" ref="AG343"/>
    <hyperlink r:id="rId1654" ref="AL343"/>
    <hyperlink r:id="rId1655" ref="T344"/>
    <hyperlink r:id="rId1656" ref="U344"/>
    <hyperlink r:id="rId1657" ref="Y344"/>
    <hyperlink r:id="rId1658" ref="AG344"/>
    <hyperlink r:id="rId1659" ref="AL344"/>
    <hyperlink r:id="rId1660" ref="T345"/>
    <hyperlink r:id="rId1661" ref="U345"/>
    <hyperlink r:id="rId1662" ref="Y345"/>
    <hyperlink r:id="rId1663" ref="AG345"/>
    <hyperlink r:id="rId1664" ref="AL345"/>
    <hyperlink r:id="rId1665" ref="T346"/>
    <hyperlink r:id="rId1666" ref="U346"/>
    <hyperlink r:id="rId1667" ref="Y346"/>
    <hyperlink r:id="rId1668" ref="AG346"/>
    <hyperlink r:id="rId1669" ref="AL346"/>
    <hyperlink r:id="rId1670" ref="T347"/>
    <hyperlink r:id="rId1671" ref="U347"/>
    <hyperlink r:id="rId1672" ref="Y347"/>
    <hyperlink r:id="rId1673" ref="AG347"/>
    <hyperlink r:id="rId1674" ref="AL347"/>
    <hyperlink r:id="rId1675" ref="T348"/>
    <hyperlink r:id="rId1676" ref="U348"/>
    <hyperlink r:id="rId1677" ref="Y348"/>
    <hyperlink r:id="rId1678" ref="AG348"/>
    <hyperlink r:id="rId1679" ref="AL348"/>
    <hyperlink r:id="rId1680" ref="T349"/>
    <hyperlink r:id="rId1681" ref="U349"/>
    <hyperlink r:id="rId1682" ref="Y349"/>
    <hyperlink r:id="rId1683" ref="AG349"/>
    <hyperlink r:id="rId1684" ref="AL349"/>
    <hyperlink r:id="rId1685" ref="T350"/>
    <hyperlink r:id="rId1686" ref="U350"/>
    <hyperlink r:id="rId1687" ref="Y350"/>
    <hyperlink r:id="rId1688" ref="AG350"/>
    <hyperlink r:id="rId1689" ref="AL350"/>
    <hyperlink r:id="rId1690" ref="T351"/>
    <hyperlink r:id="rId1691" ref="U351"/>
    <hyperlink r:id="rId1692" ref="Y351"/>
    <hyperlink r:id="rId1693" ref="AG351"/>
    <hyperlink r:id="rId1694" ref="AL351"/>
    <hyperlink r:id="rId1695" ref="T352"/>
    <hyperlink r:id="rId1696" ref="U352"/>
    <hyperlink r:id="rId1697" ref="X352"/>
    <hyperlink r:id="rId1698" ref="Y352"/>
    <hyperlink r:id="rId1699" ref="AG352"/>
    <hyperlink r:id="rId1700" ref="AL352"/>
    <hyperlink r:id="rId1701" ref="T353"/>
    <hyperlink r:id="rId1702" ref="U353"/>
    <hyperlink r:id="rId1703" ref="Y353"/>
    <hyperlink r:id="rId1704" ref="AG353"/>
    <hyperlink r:id="rId1705" ref="AL353"/>
    <hyperlink r:id="rId1706" ref="T354"/>
    <hyperlink r:id="rId1707" ref="U354"/>
    <hyperlink r:id="rId1708" ref="Y354"/>
    <hyperlink r:id="rId1709" ref="AG354"/>
    <hyperlink r:id="rId1710" ref="AL354"/>
    <hyperlink r:id="rId1711" ref="T355"/>
    <hyperlink r:id="rId1712" ref="U355"/>
    <hyperlink r:id="rId1713" ref="Y355"/>
    <hyperlink r:id="rId1714" ref="AG355"/>
    <hyperlink r:id="rId1715" ref="AL355"/>
    <hyperlink r:id="rId1716" ref="T356"/>
    <hyperlink r:id="rId1717" ref="U356"/>
    <hyperlink r:id="rId1718" ref="Y356"/>
    <hyperlink r:id="rId1719" ref="AG356"/>
    <hyperlink r:id="rId1720" ref="AL356"/>
    <hyperlink r:id="rId1721" ref="T357"/>
    <hyperlink r:id="rId1722" ref="U357"/>
    <hyperlink r:id="rId1723" ref="Y357"/>
    <hyperlink r:id="rId1724" ref="AG357"/>
    <hyperlink r:id="rId1725" ref="AL357"/>
    <hyperlink r:id="rId1726" ref="T358"/>
    <hyperlink r:id="rId1727" ref="U358"/>
    <hyperlink r:id="rId1728" ref="Y358"/>
    <hyperlink r:id="rId1729" ref="AG358"/>
    <hyperlink r:id="rId1730" ref="AL358"/>
    <hyperlink r:id="rId1731" ref="T359"/>
    <hyperlink r:id="rId1732" ref="U359"/>
    <hyperlink r:id="rId1733" ref="Y359"/>
    <hyperlink r:id="rId1734" ref="AG359"/>
    <hyperlink r:id="rId1735" ref="AL359"/>
    <hyperlink r:id="rId1736" ref="T360"/>
    <hyperlink r:id="rId1737" ref="U360"/>
    <hyperlink r:id="rId1738" ref="Y360"/>
    <hyperlink r:id="rId1739" ref="AG360"/>
    <hyperlink r:id="rId1740" ref="AL360"/>
    <hyperlink r:id="rId1741" ref="T361"/>
    <hyperlink r:id="rId1742" ref="U361"/>
    <hyperlink r:id="rId1743" location="GovernmentCloud" ref="Y361"/>
    <hyperlink r:id="rId1744" ref="AG361"/>
    <hyperlink r:id="rId1745" ref="AL361"/>
    <hyperlink r:id="rId1746" ref="T362"/>
    <hyperlink r:id="rId1747" ref="U362"/>
    <hyperlink r:id="rId1748" ref="Y362"/>
    <hyperlink r:id="rId1749" ref="AG362"/>
    <hyperlink r:id="rId1750" ref="AL362"/>
    <hyperlink r:id="rId1751" ref="T363"/>
    <hyperlink r:id="rId1752" ref="U363"/>
    <hyperlink r:id="rId1753" ref="Y363"/>
    <hyperlink r:id="rId1754" ref="AG363"/>
    <hyperlink r:id="rId1755" ref="AL363"/>
    <hyperlink r:id="rId1756" ref="T364"/>
    <hyperlink r:id="rId1757" ref="U364"/>
    <hyperlink r:id="rId1758" ref="Y364"/>
    <hyperlink r:id="rId1759" ref="AG364"/>
    <hyperlink r:id="rId1760" ref="AL364"/>
    <hyperlink r:id="rId1761" ref="T365"/>
    <hyperlink r:id="rId1762" ref="U365"/>
    <hyperlink r:id="rId1763" ref="Y365"/>
    <hyperlink r:id="rId1764" ref="AG365"/>
    <hyperlink r:id="rId1765" ref="AL365"/>
    <hyperlink r:id="rId1766" ref="T366"/>
    <hyperlink r:id="rId1767" ref="U366"/>
    <hyperlink r:id="rId1768" ref="X366"/>
    <hyperlink r:id="rId1769" ref="Y366"/>
    <hyperlink r:id="rId1770" ref="AG366"/>
    <hyperlink r:id="rId1771" ref="AL366"/>
    <hyperlink r:id="rId1772" ref="T367"/>
    <hyperlink r:id="rId1773" ref="U367"/>
    <hyperlink r:id="rId1774" ref="Y367"/>
    <hyperlink r:id="rId1775" ref="AG367"/>
    <hyperlink r:id="rId1776" ref="AL367"/>
    <hyperlink r:id="rId1777" ref="T368"/>
    <hyperlink r:id="rId1778" ref="U368"/>
    <hyperlink r:id="rId1779" ref="Y368"/>
    <hyperlink r:id="rId1780" ref="AG368"/>
    <hyperlink r:id="rId1781" ref="AL368"/>
    <hyperlink r:id="rId1782" ref="T369"/>
    <hyperlink r:id="rId1783" ref="U369"/>
    <hyperlink r:id="rId1784" ref="Y369"/>
    <hyperlink r:id="rId1785" ref="AG369"/>
    <hyperlink r:id="rId1786" ref="AL369"/>
    <hyperlink r:id="rId1787" ref="T370"/>
    <hyperlink r:id="rId1788" ref="U370"/>
    <hyperlink r:id="rId1789" ref="Y370"/>
    <hyperlink r:id="rId1790" ref="AG370"/>
    <hyperlink r:id="rId1791" ref="AL370"/>
    <hyperlink r:id="rId1792" ref="T371"/>
    <hyperlink r:id="rId1793" ref="U371"/>
    <hyperlink r:id="rId1794" ref="Y371"/>
    <hyperlink r:id="rId1795" ref="AG371"/>
    <hyperlink r:id="rId1796" ref="AL371"/>
    <hyperlink r:id="rId1797" ref="T372"/>
    <hyperlink r:id="rId1798" ref="U372"/>
    <hyperlink r:id="rId1799" ref="Y372"/>
    <hyperlink r:id="rId1800" ref="AG372"/>
    <hyperlink r:id="rId1801" ref="AL372"/>
    <hyperlink r:id="rId1802" ref="T373"/>
    <hyperlink r:id="rId1803" ref="U373"/>
    <hyperlink r:id="rId1804" ref="Y373"/>
    <hyperlink r:id="rId1805" ref="AG373"/>
    <hyperlink r:id="rId1806" ref="AL373"/>
    <hyperlink r:id="rId1807" ref="T374"/>
    <hyperlink r:id="rId1808" ref="U374"/>
    <hyperlink r:id="rId1809" ref="Y374"/>
    <hyperlink r:id="rId1810" ref="AG374"/>
    <hyperlink r:id="rId1811" ref="AL374"/>
    <hyperlink r:id="rId1812" ref="T375"/>
    <hyperlink r:id="rId1813" ref="U375"/>
    <hyperlink r:id="rId1814" ref="Y375"/>
    <hyperlink r:id="rId1815" ref="AG375"/>
    <hyperlink r:id="rId1816" ref="AL375"/>
    <hyperlink r:id="rId1817" ref="T376"/>
    <hyperlink r:id="rId1818" ref="U376"/>
    <hyperlink r:id="rId1819" ref="Y376"/>
    <hyperlink r:id="rId1820" ref="AG376"/>
    <hyperlink r:id="rId1821" ref="AL376"/>
    <hyperlink r:id="rId1822" ref="T377"/>
    <hyperlink r:id="rId1823" ref="U377"/>
    <hyperlink r:id="rId1824" ref="Y377"/>
    <hyperlink r:id="rId1825" ref="AG377"/>
    <hyperlink r:id="rId1826" ref="AL377"/>
    <hyperlink r:id="rId1827" ref="T378"/>
    <hyperlink r:id="rId1828" ref="U378"/>
    <hyperlink r:id="rId1829" ref="Y378"/>
    <hyperlink r:id="rId1830" ref="AG378"/>
    <hyperlink r:id="rId1831" ref="AL378"/>
    <hyperlink r:id="rId1832" ref="T379"/>
    <hyperlink r:id="rId1833" ref="U379"/>
    <hyperlink r:id="rId1834" ref="Y379"/>
    <hyperlink r:id="rId1835" ref="AG379"/>
    <hyperlink r:id="rId1836" ref="AL379"/>
    <hyperlink r:id="rId1837" ref="T380"/>
    <hyperlink r:id="rId1838" ref="U380"/>
    <hyperlink r:id="rId1839" ref="Y380"/>
    <hyperlink r:id="rId1840" ref="AG380"/>
    <hyperlink r:id="rId1841" ref="AL380"/>
    <hyperlink r:id="rId1842" ref="T381"/>
    <hyperlink r:id="rId1843" ref="U381"/>
    <hyperlink r:id="rId1844" ref="Y381"/>
    <hyperlink r:id="rId1845" ref="AG381"/>
    <hyperlink r:id="rId1846" ref="AL381"/>
    <hyperlink r:id="rId1847" ref="T382"/>
    <hyperlink r:id="rId1848" ref="U382"/>
    <hyperlink r:id="rId1849" ref="X382"/>
    <hyperlink r:id="rId1850" ref="Y382"/>
    <hyperlink r:id="rId1851" ref="AG382"/>
    <hyperlink r:id="rId1852" ref="AL382"/>
    <hyperlink r:id="rId1853" ref="T383"/>
    <hyperlink r:id="rId1854" ref="U383"/>
    <hyperlink r:id="rId1855" ref="Y383"/>
    <hyperlink r:id="rId1856" ref="AG383"/>
    <hyperlink r:id="rId1857" ref="AL383"/>
    <hyperlink r:id="rId1858" ref="AG384"/>
    <hyperlink r:id="rId1859" ref="AL384"/>
    <hyperlink r:id="rId1860" ref="T385"/>
    <hyperlink r:id="rId1861" ref="U385"/>
    <hyperlink r:id="rId1862" ref="Y385"/>
    <hyperlink r:id="rId1863" ref="AG385"/>
    <hyperlink r:id="rId1864" ref="AL385"/>
    <hyperlink r:id="rId1865" ref="T386"/>
    <hyperlink r:id="rId1866" ref="U386"/>
    <hyperlink r:id="rId1867" ref="Y386"/>
    <hyperlink r:id="rId1868" ref="AG386"/>
    <hyperlink r:id="rId1869" ref="AL386"/>
    <hyperlink r:id="rId1870" ref="T387"/>
    <hyperlink r:id="rId1871" ref="U387"/>
    <hyperlink r:id="rId1872" ref="Y387"/>
    <hyperlink r:id="rId1873" ref="AG387"/>
    <hyperlink r:id="rId1874" ref="AL387"/>
    <hyperlink r:id="rId1875" ref="T388"/>
    <hyperlink r:id="rId1876" ref="U388"/>
    <hyperlink r:id="rId1877" ref="Y388"/>
    <hyperlink r:id="rId1878" ref="AG388"/>
    <hyperlink r:id="rId1879" ref="AL388"/>
    <hyperlink r:id="rId1880" ref="T389"/>
    <hyperlink r:id="rId1881" ref="U389"/>
    <hyperlink r:id="rId1882" ref="Y389"/>
    <hyperlink r:id="rId1883" ref="AG389"/>
    <hyperlink r:id="rId1884" ref="AL389"/>
    <hyperlink r:id="rId1885" ref="T390"/>
    <hyperlink r:id="rId1886" ref="U390"/>
    <hyperlink r:id="rId1887" ref="Y390"/>
    <hyperlink r:id="rId1888" ref="AG390"/>
    <hyperlink r:id="rId1889" ref="AL390"/>
    <hyperlink r:id="rId1890" ref="T391"/>
    <hyperlink r:id="rId1891" ref="U391"/>
    <hyperlink r:id="rId1892" ref="Y391"/>
    <hyperlink r:id="rId1893" ref="AG391"/>
    <hyperlink r:id="rId1894" ref="AL391"/>
    <hyperlink r:id="rId1895" ref="T392"/>
    <hyperlink r:id="rId1896" ref="U392"/>
    <hyperlink r:id="rId1897" ref="Y392"/>
    <hyperlink r:id="rId1898" ref="AL392"/>
    <hyperlink r:id="rId1899" ref="T393"/>
    <hyperlink r:id="rId1900" ref="U393"/>
    <hyperlink r:id="rId1901" ref="Y393"/>
    <hyperlink r:id="rId1902" ref="AL393"/>
    <hyperlink r:id="rId1903" ref="T394"/>
    <hyperlink r:id="rId1904" ref="U394"/>
    <hyperlink r:id="rId1905" ref="Y394"/>
    <hyperlink r:id="rId1906" ref="AG394"/>
    <hyperlink r:id="rId1907" ref="AL394"/>
    <hyperlink r:id="rId1908" ref="T395"/>
    <hyperlink r:id="rId1909" ref="U395"/>
    <hyperlink r:id="rId1910" ref="X395"/>
    <hyperlink r:id="rId1911" ref="Y395"/>
    <hyperlink r:id="rId1912" ref="AG395"/>
    <hyperlink r:id="rId1913" ref="AL395"/>
    <hyperlink r:id="rId1914" ref="T396"/>
    <hyperlink r:id="rId1915" ref="U396"/>
    <hyperlink r:id="rId1916" ref="Y396"/>
    <hyperlink r:id="rId1917" ref="AG396"/>
    <hyperlink r:id="rId1918" ref="AL396"/>
    <hyperlink r:id="rId1919" ref="T397"/>
    <hyperlink r:id="rId1920" ref="U397"/>
    <hyperlink r:id="rId1921" ref="Y397"/>
    <hyperlink r:id="rId1922" ref="AG397"/>
    <hyperlink r:id="rId1923" ref="AL397"/>
    <hyperlink r:id="rId1924" ref="T398"/>
    <hyperlink r:id="rId1925" ref="U398"/>
    <hyperlink r:id="rId1926" ref="Y398"/>
    <hyperlink r:id="rId1927" ref="AG398"/>
    <hyperlink r:id="rId1928" ref="AL398"/>
    <hyperlink r:id="rId1929" ref="T399"/>
    <hyperlink r:id="rId1930" ref="U399"/>
    <hyperlink r:id="rId1931" ref="Y399"/>
    <hyperlink r:id="rId1932" ref="AG399"/>
    <hyperlink r:id="rId1933" ref="AL399"/>
    <hyperlink r:id="rId1934" ref="T400"/>
    <hyperlink r:id="rId1935" ref="U400"/>
    <hyperlink r:id="rId1936" ref="Y400"/>
    <hyperlink r:id="rId1937" ref="AG400"/>
    <hyperlink r:id="rId1938" ref="AL400"/>
    <hyperlink r:id="rId1939" ref="T401"/>
    <hyperlink r:id="rId1940" ref="U401"/>
    <hyperlink r:id="rId1941" ref="Y401"/>
    <hyperlink r:id="rId1942" ref="AG401"/>
    <hyperlink r:id="rId1943" ref="AL401"/>
    <hyperlink r:id="rId1944" ref="T402"/>
    <hyperlink r:id="rId1945" ref="U402"/>
    <hyperlink r:id="rId1946" ref="Y402"/>
    <hyperlink r:id="rId1947" ref="AG402"/>
    <hyperlink r:id="rId1948" ref="AL402"/>
    <hyperlink r:id="rId1949" ref="T403"/>
    <hyperlink r:id="rId1950" ref="U403"/>
    <hyperlink r:id="rId1951" ref="Y403"/>
    <hyperlink r:id="rId1952" ref="AG403"/>
    <hyperlink r:id="rId1953" ref="AL403"/>
    <hyperlink r:id="rId1954" ref="T404"/>
    <hyperlink r:id="rId1955" ref="U404"/>
    <hyperlink r:id="rId1956" ref="Y404"/>
    <hyperlink r:id="rId1957" ref="AG404"/>
    <hyperlink r:id="rId1958" ref="AL404"/>
    <hyperlink r:id="rId1959" ref="T405"/>
    <hyperlink r:id="rId1960" ref="U405"/>
    <hyperlink r:id="rId1961" ref="Y405"/>
    <hyperlink r:id="rId1962" ref="AG405"/>
    <hyperlink r:id="rId1963" ref="AL405"/>
    <hyperlink r:id="rId1964" ref="T406"/>
    <hyperlink r:id="rId1965" ref="U406"/>
    <hyperlink r:id="rId1966" location="GovernmentCloud" ref="Y406"/>
    <hyperlink r:id="rId1967" ref="AG406"/>
    <hyperlink r:id="rId1968" ref="T407"/>
    <hyperlink r:id="rId1969" ref="U407"/>
    <hyperlink r:id="rId1970" ref="Y407"/>
    <hyperlink r:id="rId1971" ref="AG407"/>
    <hyperlink r:id="rId1972" ref="AL407"/>
    <hyperlink r:id="rId1973" ref="T408"/>
    <hyperlink r:id="rId1974" ref="U408"/>
    <hyperlink r:id="rId1975" ref="Y408"/>
    <hyperlink r:id="rId1976" ref="AG408"/>
    <hyperlink r:id="rId1977" ref="AL408"/>
    <hyperlink r:id="rId1978" ref="T409"/>
    <hyperlink r:id="rId1979" ref="U409"/>
    <hyperlink r:id="rId1980" ref="Y409"/>
    <hyperlink r:id="rId1981" ref="AG409"/>
    <hyperlink r:id="rId1982" ref="AL409"/>
    <hyperlink r:id="rId1983" ref="T410"/>
    <hyperlink r:id="rId1984" ref="U410"/>
    <hyperlink r:id="rId1985" ref="Y410"/>
    <hyperlink r:id="rId1986" ref="AG410"/>
    <hyperlink r:id="rId1987" ref="AL410"/>
    <hyperlink r:id="rId1988" ref="T411"/>
    <hyperlink r:id="rId1989" ref="U411"/>
    <hyperlink r:id="rId1990" ref="Y411"/>
    <hyperlink r:id="rId1991" ref="AG411"/>
    <hyperlink r:id="rId1992" ref="AL411"/>
    <hyperlink r:id="rId1993" ref="T412"/>
    <hyperlink r:id="rId1994" ref="U412"/>
    <hyperlink r:id="rId1995" ref="Y412"/>
    <hyperlink r:id="rId1996" ref="AG412"/>
    <hyperlink r:id="rId1997" ref="AL412"/>
    <hyperlink r:id="rId1998" ref="T413"/>
    <hyperlink r:id="rId1999" ref="U413"/>
    <hyperlink r:id="rId2000" ref="Y413"/>
    <hyperlink r:id="rId2001" ref="AG413"/>
    <hyperlink r:id="rId2002" ref="AL413"/>
    <hyperlink r:id="rId2003" ref="T414"/>
    <hyperlink r:id="rId2004" ref="U414"/>
    <hyperlink r:id="rId2005" ref="Y414"/>
    <hyperlink r:id="rId2006" ref="AG414"/>
    <hyperlink r:id="rId2007" ref="AL414"/>
    <hyperlink r:id="rId2008" ref="T415"/>
    <hyperlink r:id="rId2009" ref="U415"/>
    <hyperlink r:id="rId2010" ref="Y415"/>
    <hyperlink r:id="rId2011" ref="AG415"/>
    <hyperlink r:id="rId2012" ref="AL415"/>
    <hyperlink r:id="rId2013" ref="T416"/>
    <hyperlink r:id="rId2014" ref="U416"/>
    <hyperlink r:id="rId2015" ref="Y416"/>
    <hyperlink r:id="rId2016" ref="AG416"/>
    <hyperlink r:id="rId2017" ref="AL416"/>
    <hyperlink r:id="rId2018" ref="T417"/>
    <hyperlink r:id="rId2019" ref="U417"/>
    <hyperlink r:id="rId2020" ref="Y417"/>
    <hyperlink r:id="rId2021" ref="AG417"/>
    <hyperlink r:id="rId2022" ref="AL417"/>
    <hyperlink r:id="rId2023" ref="T418"/>
    <hyperlink r:id="rId2024" ref="U418"/>
    <hyperlink r:id="rId2025" ref="Y418"/>
    <hyperlink r:id="rId2026" ref="AG418"/>
    <hyperlink r:id="rId2027" ref="AL418"/>
    <hyperlink r:id="rId2028" ref="T419"/>
    <hyperlink r:id="rId2029" ref="U419"/>
    <hyperlink r:id="rId2030" ref="Y419"/>
    <hyperlink r:id="rId2031" ref="AG419"/>
    <hyperlink r:id="rId2032" ref="AL419"/>
    <hyperlink r:id="rId2033" ref="T420"/>
    <hyperlink r:id="rId2034" ref="U420"/>
    <hyperlink r:id="rId2035" ref="Y420"/>
    <hyperlink r:id="rId2036" ref="AG420"/>
    <hyperlink r:id="rId2037" ref="AL420"/>
    <hyperlink r:id="rId2038" ref="T421"/>
    <hyperlink r:id="rId2039" ref="U421"/>
    <hyperlink r:id="rId2040" ref="Y421"/>
    <hyperlink r:id="rId2041" ref="AG421"/>
    <hyperlink r:id="rId2042" ref="T422"/>
    <hyperlink r:id="rId2043" ref="U422"/>
    <hyperlink r:id="rId2044" ref="Y422"/>
    <hyperlink r:id="rId2045" ref="AG422"/>
    <hyperlink r:id="rId2046" ref="AL422"/>
    <hyperlink r:id="rId2047" ref="T423"/>
    <hyperlink r:id="rId2048" ref="U423"/>
    <hyperlink r:id="rId2049" ref="Y423"/>
    <hyperlink r:id="rId2050" ref="AG423"/>
    <hyperlink r:id="rId2051" ref="T424"/>
    <hyperlink r:id="rId2052" ref="U424"/>
    <hyperlink r:id="rId2053" ref="Y424"/>
    <hyperlink r:id="rId2054" ref="AG424"/>
    <hyperlink r:id="rId2055" ref="AL424"/>
    <hyperlink r:id="rId2056" ref="T425"/>
    <hyperlink r:id="rId2057" ref="U425"/>
    <hyperlink r:id="rId2058" ref="Y425"/>
    <hyperlink r:id="rId2059" ref="AG425"/>
    <hyperlink r:id="rId2060" ref="AL425"/>
    <hyperlink r:id="rId2061" ref="T426"/>
    <hyperlink r:id="rId2062" ref="U426"/>
    <hyperlink r:id="rId2063" ref="Y426"/>
    <hyperlink r:id="rId2064" ref="AG426"/>
    <hyperlink r:id="rId2065" ref="AL426"/>
    <hyperlink r:id="rId2066" ref="T427"/>
    <hyperlink r:id="rId2067" ref="U427"/>
    <hyperlink r:id="rId2068" ref="Y427"/>
    <hyperlink r:id="rId2069" ref="AG427"/>
    <hyperlink r:id="rId2070" ref="AL427"/>
    <hyperlink r:id="rId2071" ref="T428"/>
    <hyperlink r:id="rId2072" ref="U428"/>
    <hyperlink r:id="rId2073" ref="Y428"/>
    <hyperlink r:id="rId2074" ref="AG428"/>
    <hyperlink r:id="rId2075" ref="AL428"/>
    <hyperlink r:id="rId2076" ref="T429"/>
    <hyperlink r:id="rId2077" ref="U429"/>
    <hyperlink r:id="rId2078" ref="Y429"/>
    <hyperlink r:id="rId2079" ref="AG429"/>
    <hyperlink r:id="rId2080" ref="AL429"/>
    <hyperlink r:id="rId2081" ref="T430"/>
    <hyperlink r:id="rId2082" ref="U430"/>
    <hyperlink r:id="rId2083" ref="Y430"/>
    <hyperlink r:id="rId2084" ref="AG430"/>
    <hyperlink r:id="rId2085" ref="AL430"/>
    <hyperlink r:id="rId2086" ref="T431"/>
    <hyperlink r:id="rId2087" ref="U431"/>
    <hyperlink r:id="rId2088" ref="Y431"/>
    <hyperlink r:id="rId2089" ref="AG431"/>
    <hyperlink r:id="rId2090" ref="AL431"/>
    <hyperlink r:id="rId2091" ref="T432"/>
    <hyperlink r:id="rId2092" ref="U432"/>
    <hyperlink r:id="rId2093" ref="Y432"/>
    <hyperlink r:id="rId2094" ref="AG432"/>
    <hyperlink r:id="rId2095" ref="AL432"/>
    <hyperlink r:id="rId2096" ref="T433"/>
    <hyperlink r:id="rId2097" ref="U433"/>
    <hyperlink r:id="rId2098" ref="Y433"/>
    <hyperlink r:id="rId2099" ref="AG433"/>
    <hyperlink r:id="rId2100" ref="AL433"/>
    <hyperlink r:id="rId2101" ref="T434"/>
    <hyperlink r:id="rId2102" ref="U434"/>
    <hyperlink r:id="rId2103" ref="X434"/>
    <hyperlink r:id="rId2104" ref="Y434"/>
    <hyperlink r:id="rId2105" ref="AG434"/>
    <hyperlink r:id="rId2106" ref="AL434"/>
    <hyperlink r:id="rId2107" ref="T435"/>
    <hyperlink r:id="rId2108" ref="U435"/>
    <hyperlink r:id="rId2109" ref="Y435"/>
    <hyperlink r:id="rId2110" ref="AG435"/>
    <hyperlink r:id="rId2111" ref="AL435"/>
    <hyperlink r:id="rId2112" ref="T436"/>
    <hyperlink r:id="rId2113" ref="U436"/>
    <hyperlink r:id="rId2114" ref="Y436"/>
    <hyperlink r:id="rId2115" ref="AG436"/>
    <hyperlink r:id="rId2116" ref="AL436"/>
    <hyperlink r:id="rId2117" ref="T437"/>
    <hyperlink r:id="rId2118" ref="U437"/>
    <hyperlink r:id="rId2119" ref="Y437"/>
    <hyperlink r:id="rId2120" ref="AG437"/>
    <hyperlink r:id="rId2121" ref="AL437"/>
    <hyperlink r:id="rId2122" ref="T438"/>
    <hyperlink r:id="rId2123" ref="U438"/>
    <hyperlink r:id="rId2124" ref="Y438"/>
    <hyperlink r:id="rId2125" ref="AG438"/>
    <hyperlink r:id="rId2126" ref="AL438"/>
    <hyperlink r:id="rId2127" ref="T439"/>
    <hyperlink r:id="rId2128" ref="U439"/>
    <hyperlink r:id="rId2129" ref="Y439"/>
    <hyperlink r:id="rId2130" ref="AG439"/>
    <hyperlink r:id="rId2131" ref="AL439"/>
    <hyperlink r:id="rId2132" ref="T440"/>
    <hyperlink r:id="rId2133" ref="U440"/>
    <hyperlink r:id="rId2134" ref="Y440"/>
    <hyperlink r:id="rId2135" ref="AG440"/>
    <hyperlink r:id="rId2136" ref="AL440"/>
    <hyperlink r:id="rId2137" ref="T441"/>
    <hyperlink r:id="rId2138" ref="U441"/>
    <hyperlink r:id="rId2139" ref="Y441"/>
    <hyperlink r:id="rId2140" ref="AG441"/>
    <hyperlink r:id="rId2141" ref="AL441"/>
    <hyperlink r:id="rId2142" ref="T442"/>
    <hyperlink r:id="rId2143" ref="U442"/>
    <hyperlink r:id="rId2144" ref="Y442"/>
    <hyperlink r:id="rId2145" ref="AG442"/>
    <hyperlink r:id="rId2146" ref="AL442"/>
    <hyperlink r:id="rId2147" ref="T443"/>
    <hyperlink r:id="rId2148" ref="U443"/>
    <hyperlink r:id="rId2149" ref="X443"/>
    <hyperlink r:id="rId2150" ref="Y443"/>
    <hyperlink r:id="rId2151" ref="AG443"/>
    <hyperlink r:id="rId2152" ref="AL443"/>
    <hyperlink r:id="rId2153" ref="T444"/>
    <hyperlink r:id="rId2154" ref="U444"/>
    <hyperlink r:id="rId2155" ref="Y444"/>
    <hyperlink r:id="rId2156" ref="AG444"/>
    <hyperlink r:id="rId2157" ref="AL444"/>
    <hyperlink r:id="rId2158" ref="T445"/>
    <hyperlink r:id="rId2159" ref="U445"/>
    <hyperlink r:id="rId2160" ref="X445"/>
    <hyperlink r:id="rId2161" ref="Y445"/>
    <hyperlink r:id="rId2162" ref="AG445"/>
    <hyperlink r:id="rId2163" ref="AL445"/>
    <hyperlink r:id="rId2164" ref="T446"/>
    <hyperlink r:id="rId2165" ref="U446"/>
    <hyperlink r:id="rId2166" ref="Y446"/>
    <hyperlink r:id="rId2167" ref="AG446"/>
    <hyperlink r:id="rId2168" ref="AL446"/>
    <hyperlink r:id="rId2169" ref="T447"/>
    <hyperlink r:id="rId2170" ref="U447"/>
    <hyperlink r:id="rId2171" ref="Y447"/>
    <hyperlink r:id="rId2172" ref="AG447"/>
    <hyperlink r:id="rId2173" ref="AL447"/>
    <hyperlink r:id="rId2174" ref="T448"/>
    <hyperlink r:id="rId2175" ref="U448"/>
    <hyperlink r:id="rId2176" location="GovernmentCloud" ref="Y448"/>
    <hyperlink r:id="rId2177" ref="AG448"/>
    <hyperlink r:id="rId2178" ref="AL448"/>
    <hyperlink r:id="rId2179" ref="T449"/>
    <hyperlink r:id="rId2180" ref="U449"/>
    <hyperlink r:id="rId2181" ref="Y449"/>
    <hyperlink r:id="rId2182" ref="AG449"/>
    <hyperlink r:id="rId2183" ref="AL449"/>
    <hyperlink r:id="rId2184" ref="T450"/>
    <hyperlink r:id="rId2185" ref="U450"/>
    <hyperlink r:id="rId2186" ref="Y450"/>
    <hyperlink r:id="rId2187" ref="AG450"/>
    <hyperlink r:id="rId2188" ref="AL450"/>
    <hyperlink r:id="rId2189" ref="T451"/>
    <hyperlink r:id="rId2190" ref="U451"/>
    <hyperlink r:id="rId2191" ref="Y451"/>
    <hyperlink r:id="rId2192" ref="AG451"/>
    <hyperlink r:id="rId2193" ref="AL451"/>
    <hyperlink r:id="rId2194" ref="T452"/>
    <hyperlink r:id="rId2195" ref="U452"/>
    <hyperlink r:id="rId2196" ref="Y452"/>
    <hyperlink r:id="rId2197" ref="AG452"/>
    <hyperlink r:id="rId2198" ref="AL452"/>
    <hyperlink r:id="rId2199" ref="T453"/>
    <hyperlink r:id="rId2200" ref="U453"/>
    <hyperlink r:id="rId2201" ref="Y453"/>
    <hyperlink r:id="rId2202" ref="AG453"/>
    <hyperlink r:id="rId2203" ref="AL453"/>
    <hyperlink r:id="rId2204" ref="T454"/>
    <hyperlink r:id="rId2205" ref="U454"/>
    <hyperlink r:id="rId2206" ref="Y454"/>
    <hyperlink r:id="rId2207" ref="AG454"/>
    <hyperlink r:id="rId2208" ref="AL454"/>
    <hyperlink r:id="rId2209" ref="T455"/>
    <hyperlink r:id="rId2210" ref="U455"/>
    <hyperlink r:id="rId2211" ref="Y455"/>
    <hyperlink r:id="rId2212" ref="AG455"/>
    <hyperlink r:id="rId2213" ref="AL455"/>
    <hyperlink r:id="rId2214" ref="T456"/>
    <hyperlink r:id="rId2215" ref="U456"/>
    <hyperlink r:id="rId2216" ref="X456"/>
    <hyperlink r:id="rId2217" ref="Y456"/>
    <hyperlink r:id="rId2218" ref="AG456"/>
    <hyperlink r:id="rId2219" ref="AL456"/>
    <hyperlink r:id="rId2220" ref="T457"/>
    <hyperlink r:id="rId2221" ref="U457"/>
    <hyperlink r:id="rId2222" ref="Y457"/>
    <hyperlink r:id="rId2223" ref="AG457"/>
    <hyperlink r:id="rId2224" ref="AL457"/>
    <hyperlink r:id="rId2225" ref="T458"/>
    <hyperlink r:id="rId2226" ref="U458"/>
    <hyperlink r:id="rId2227" ref="Y458"/>
    <hyperlink r:id="rId2228" ref="AG458"/>
    <hyperlink r:id="rId2229" ref="AL458"/>
    <hyperlink r:id="rId2230" ref="T459"/>
    <hyperlink r:id="rId2231" ref="U459"/>
    <hyperlink r:id="rId2232" ref="Y459"/>
    <hyperlink r:id="rId2233" ref="AG459"/>
    <hyperlink r:id="rId2234" ref="AL459"/>
    <hyperlink r:id="rId2235" ref="T460"/>
    <hyperlink r:id="rId2236" ref="U460"/>
    <hyperlink r:id="rId2237" ref="Y460"/>
    <hyperlink r:id="rId2238" ref="AG460"/>
    <hyperlink r:id="rId2239" ref="AL460"/>
    <hyperlink r:id="rId2240" ref="T461"/>
    <hyperlink r:id="rId2241" ref="U461"/>
    <hyperlink r:id="rId2242" ref="Y461"/>
    <hyperlink r:id="rId2243" ref="AG461"/>
    <hyperlink r:id="rId2244" ref="AL461"/>
    <hyperlink r:id="rId2245" ref="T462"/>
    <hyperlink r:id="rId2246" ref="U462"/>
    <hyperlink r:id="rId2247" ref="Y462"/>
    <hyperlink r:id="rId2248" ref="AG462"/>
    <hyperlink r:id="rId2249" ref="AL462"/>
    <hyperlink r:id="rId2250" ref="T463"/>
    <hyperlink r:id="rId2251" ref="U463"/>
    <hyperlink r:id="rId2252" ref="Y463"/>
    <hyperlink r:id="rId2253" ref="AG463"/>
    <hyperlink r:id="rId2254" ref="AL463"/>
    <hyperlink r:id="rId2255" ref="T464"/>
    <hyperlink r:id="rId2256" ref="U464"/>
    <hyperlink r:id="rId2257" ref="X464"/>
    <hyperlink r:id="rId2258" ref="Y464"/>
    <hyperlink r:id="rId2259" ref="AG464"/>
    <hyperlink r:id="rId2260" ref="AL464"/>
    <hyperlink r:id="rId2261" ref="T465"/>
    <hyperlink r:id="rId2262" ref="U465"/>
    <hyperlink r:id="rId2263" location="GovernmentCloud" ref="Y465"/>
    <hyperlink r:id="rId2264" ref="AG465"/>
    <hyperlink r:id="rId2265" ref="AL465"/>
    <hyperlink r:id="rId2266" ref="T466"/>
    <hyperlink r:id="rId2267" ref="U466"/>
    <hyperlink r:id="rId2268" ref="Y466"/>
    <hyperlink r:id="rId2269" ref="AG466"/>
    <hyperlink r:id="rId2270" ref="AL466"/>
    <hyperlink r:id="rId2271" ref="T467"/>
    <hyperlink r:id="rId2272" ref="U467"/>
    <hyperlink r:id="rId2273" ref="Y467"/>
    <hyperlink r:id="rId2274" ref="AG467"/>
    <hyperlink r:id="rId2275" ref="AL467"/>
    <hyperlink r:id="rId2276" ref="T468"/>
    <hyperlink r:id="rId2277" ref="U468"/>
    <hyperlink r:id="rId2278" ref="Y468"/>
    <hyperlink r:id="rId2279" ref="AG468"/>
    <hyperlink r:id="rId2280" ref="AL468"/>
    <hyperlink r:id="rId2281" ref="T469"/>
    <hyperlink r:id="rId2282" ref="U469"/>
    <hyperlink r:id="rId2283" ref="Y469"/>
    <hyperlink r:id="rId2284" ref="AG469"/>
    <hyperlink r:id="rId2285" ref="AL469"/>
    <hyperlink r:id="rId2286" ref="T470"/>
    <hyperlink r:id="rId2287" ref="U470"/>
    <hyperlink r:id="rId2288" ref="Y470"/>
    <hyperlink r:id="rId2289" ref="AG470"/>
    <hyperlink r:id="rId2290" ref="AL470"/>
    <hyperlink r:id="rId2291" ref="T471"/>
    <hyperlink r:id="rId2292" ref="U471"/>
    <hyperlink r:id="rId2293" ref="Y471"/>
    <hyperlink r:id="rId2294" ref="AG471"/>
    <hyperlink r:id="rId2295" ref="AL471"/>
    <hyperlink r:id="rId2296" ref="T472"/>
    <hyperlink r:id="rId2297" ref="U472"/>
    <hyperlink r:id="rId2298" ref="Y472"/>
    <hyperlink r:id="rId2299" ref="AG472"/>
    <hyperlink r:id="rId2300" ref="AL472"/>
    <hyperlink r:id="rId2301" ref="T473"/>
    <hyperlink r:id="rId2302" ref="U473"/>
    <hyperlink r:id="rId2303" ref="Y473"/>
    <hyperlink r:id="rId2304" ref="AG473"/>
    <hyperlink r:id="rId2305" ref="AL473"/>
    <hyperlink r:id="rId2306" ref="T474"/>
    <hyperlink r:id="rId2307" ref="U474"/>
    <hyperlink r:id="rId2308" ref="Y474"/>
    <hyperlink r:id="rId2309" ref="AG474"/>
    <hyperlink r:id="rId2310" ref="AL474"/>
    <hyperlink r:id="rId2311" ref="T475"/>
    <hyperlink r:id="rId2312" ref="U475"/>
    <hyperlink r:id="rId2313" ref="Y475"/>
    <hyperlink r:id="rId2314" ref="AG475"/>
    <hyperlink r:id="rId2315" ref="AL475"/>
    <hyperlink r:id="rId2316" ref="T476"/>
    <hyperlink r:id="rId2317" ref="U476"/>
    <hyperlink r:id="rId2318" ref="Y476"/>
    <hyperlink r:id="rId2319" ref="AG476"/>
    <hyperlink r:id="rId2320" ref="AL476"/>
    <hyperlink r:id="rId2321" ref="T477"/>
    <hyperlink r:id="rId2322" ref="U477"/>
    <hyperlink r:id="rId2323" ref="Y477"/>
    <hyperlink r:id="rId2324" ref="AG477"/>
    <hyperlink r:id="rId2325" ref="AL477"/>
    <hyperlink r:id="rId2326" ref="T478"/>
    <hyperlink r:id="rId2327" ref="U478"/>
    <hyperlink r:id="rId2328" ref="Y478"/>
    <hyperlink r:id="rId2329" ref="AG478"/>
    <hyperlink r:id="rId2330" ref="AL478"/>
    <hyperlink r:id="rId2331" ref="T479"/>
    <hyperlink r:id="rId2332" ref="U479"/>
    <hyperlink r:id="rId2333" ref="Y479"/>
    <hyperlink r:id="rId2334" ref="AG479"/>
    <hyperlink r:id="rId2335" ref="AL479"/>
    <hyperlink r:id="rId2336" ref="T480"/>
    <hyperlink r:id="rId2337" ref="U480"/>
    <hyperlink r:id="rId2338" ref="Y480"/>
    <hyperlink r:id="rId2339" ref="AG480"/>
    <hyperlink r:id="rId2340" ref="AL480"/>
    <hyperlink r:id="rId2341" ref="T481"/>
    <hyperlink r:id="rId2342" ref="U481"/>
    <hyperlink r:id="rId2343" ref="Y481"/>
    <hyperlink r:id="rId2344" ref="AG481"/>
    <hyperlink r:id="rId2345" ref="AL481"/>
    <hyperlink r:id="rId2346" ref="T482"/>
    <hyperlink r:id="rId2347" ref="U482"/>
    <hyperlink r:id="rId2348" ref="Y482"/>
    <hyperlink r:id="rId2349" ref="AG482"/>
    <hyperlink r:id="rId2350" ref="AL482"/>
    <hyperlink r:id="rId2351" ref="T483"/>
    <hyperlink r:id="rId2352" ref="U483"/>
    <hyperlink r:id="rId2353" ref="Y483"/>
    <hyperlink r:id="rId2354" ref="AG483"/>
    <hyperlink r:id="rId2355" ref="AL483"/>
    <hyperlink r:id="rId2356" ref="T484"/>
    <hyperlink r:id="rId2357" ref="U484"/>
    <hyperlink r:id="rId2358" ref="Y484"/>
    <hyperlink r:id="rId2359" ref="AG484"/>
    <hyperlink r:id="rId2360" ref="AL484"/>
    <hyperlink r:id="rId2361" ref="T485"/>
    <hyperlink r:id="rId2362" ref="U485"/>
    <hyperlink r:id="rId2363" ref="X485"/>
    <hyperlink r:id="rId2364" ref="Y485"/>
    <hyperlink r:id="rId2365" ref="AG485"/>
    <hyperlink r:id="rId2366" ref="AL485"/>
    <hyperlink r:id="rId2367" ref="T486"/>
    <hyperlink r:id="rId2368" ref="U486"/>
    <hyperlink r:id="rId2369" ref="Y486"/>
    <hyperlink r:id="rId2370" ref="AG486"/>
    <hyperlink r:id="rId2371" ref="AL486"/>
    <hyperlink r:id="rId2372" ref="T487"/>
    <hyperlink r:id="rId2373" ref="U487"/>
    <hyperlink r:id="rId2374" ref="Y487"/>
    <hyperlink r:id="rId2375" ref="AG487"/>
    <hyperlink r:id="rId2376" ref="AL487"/>
    <hyperlink r:id="rId2377" ref="T488"/>
    <hyperlink r:id="rId2378" ref="U488"/>
    <hyperlink r:id="rId2379" ref="Y488"/>
    <hyperlink r:id="rId2380" ref="AG488"/>
    <hyperlink r:id="rId2381" ref="AL488"/>
    <hyperlink r:id="rId2382" ref="T489"/>
    <hyperlink r:id="rId2383" ref="U489"/>
    <hyperlink r:id="rId2384" ref="Y489"/>
    <hyperlink r:id="rId2385" ref="AG489"/>
    <hyperlink r:id="rId2386" ref="AL489"/>
    <hyperlink r:id="rId2387" ref="T490"/>
    <hyperlink r:id="rId2388" ref="U490"/>
    <hyperlink r:id="rId2389" ref="Y490"/>
    <hyperlink r:id="rId2390" ref="AG490"/>
    <hyperlink r:id="rId2391" ref="AL490"/>
    <hyperlink r:id="rId2392" ref="T491"/>
    <hyperlink r:id="rId2393" ref="U491"/>
    <hyperlink r:id="rId2394" ref="Y491"/>
    <hyperlink r:id="rId2395" ref="AG491"/>
    <hyperlink r:id="rId2396" ref="AL491"/>
    <hyperlink r:id="rId2397" ref="T492"/>
    <hyperlink r:id="rId2398" ref="U492"/>
    <hyperlink r:id="rId2399" ref="X492"/>
    <hyperlink r:id="rId2400" ref="Y492"/>
    <hyperlink r:id="rId2401" ref="AG492"/>
    <hyperlink r:id="rId2402" ref="AL492"/>
    <hyperlink r:id="rId2403" ref="T493"/>
    <hyperlink r:id="rId2404" ref="U493"/>
    <hyperlink r:id="rId2405" ref="Y493"/>
    <hyperlink r:id="rId2406" ref="AG493"/>
    <hyperlink r:id="rId2407" ref="AL493"/>
    <hyperlink r:id="rId2408" ref="T494"/>
    <hyperlink r:id="rId2409" ref="U494"/>
    <hyperlink r:id="rId2410" ref="Y494"/>
    <hyperlink r:id="rId2411" ref="AG494"/>
    <hyperlink r:id="rId2412" ref="AL494"/>
    <hyperlink r:id="rId2413" ref="T495"/>
    <hyperlink r:id="rId2414" ref="U495"/>
    <hyperlink r:id="rId2415" ref="Y495"/>
    <hyperlink r:id="rId2416" ref="AG495"/>
    <hyperlink r:id="rId2417" ref="AL495"/>
    <hyperlink r:id="rId2418" ref="T496"/>
    <hyperlink r:id="rId2419" ref="U496"/>
    <hyperlink r:id="rId2420" ref="Y496"/>
    <hyperlink r:id="rId2421" ref="AG496"/>
    <hyperlink r:id="rId2422" ref="AL496"/>
    <hyperlink r:id="rId2423" ref="T497"/>
    <hyperlink r:id="rId2424" ref="U497"/>
    <hyperlink r:id="rId2425" ref="Y497"/>
    <hyperlink r:id="rId2426" ref="AG497"/>
    <hyperlink r:id="rId2427" ref="AL497"/>
    <hyperlink r:id="rId2428" ref="T498"/>
    <hyperlink r:id="rId2429" ref="U498"/>
    <hyperlink r:id="rId2430" ref="Y498"/>
    <hyperlink r:id="rId2431" ref="AG498"/>
    <hyperlink r:id="rId2432" ref="AL498"/>
    <hyperlink r:id="rId2433" ref="T499"/>
    <hyperlink r:id="rId2434" ref="U499"/>
    <hyperlink r:id="rId2435" ref="Y499"/>
    <hyperlink r:id="rId2436" ref="AG499"/>
    <hyperlink r:id="rId2437" ref="AL499"/>
    <hyperlink r:id="rId2438" ref="T500"/>
    <hyperlink r:id="rId2439" ref="U500"/>
    <hyperlink r:id="rId2440" ref="Y500"/>
    <hyperlink r:id="rId2441" ref="AG500"/>
    <hyperlink r:id="rId2442" ref="AL500"/>
    <hyperlink r:id="rId2443" ref="T501"/>
    <hyperlink r:id="rId2444" ref="U501"/>
    <hyperlink r:id="rId2445" ref="Y501"/>
    <hyperlink r:id="rId2446" ref="AG501"/>
    <hyperlink r:id="rId2447" ref="AL501"/>
    <hyperlink r:id="rId2448" ref="T502"/>
    <hyperlink r:id="rId2449" ref="U502"/>
    <hyperlink r:id="rId2450" ref="X502"/>
    <hyperlink r:id="rId2451" ref="Y502"/>
    <hyperlink r:id="rId2452" ref="AG502"/>
    <hyperlink r:id="rId2453" ref="AL502"/>
    <hyperlink r:id="rId2454" ref="T503"/>
    <hyperlink r:id="rId2455" ref="U503"/>
    <hyperlink r:id="rId2456" ref="Y503"/>
    <hyperlink r:id="rId2457" ref="AG503"/>
    <hyperlink r:id="rId2458" ref="AL503"/>
    <hyperlink r:id="rId2459" ref="T504"/>
    <hyperlink r:id="rId2460" ref="U504"/>
    <hyperlink r:id="rId2461" ref="Y504"/>
    <hyperlink r:id="rId2462" ref="AG504"/>
    <hyperlink r:id="rId2463" ref="AL504"/>
    <hyperlink r:id="rId2464" ref="T505"/>
    <hyperlink r:id="rId2465" ref="U505"/>
    <hyperlink r:id="rId2466" ref="Y505"/>
    <hyperlink r:id="rId2467" ref="AG505"/>
    <hyperlink r:id="rId2468" ref="AL505"/>
    <hyperlink r:id="rId2469" ref="T506"/>
    <hyperlink r:id="rId2470" ref="U506"/>
    <hyperlink r:id="rId2471" ref="Y506"/>
    <hyperlink r:id="rId2472" ref="AG506"/>
    <hyperlink r:id="rId2473" ref="AL506"/>
    <hyperlink r:id="rId2474" ref="T507"/>
    <hyperlink r:id="rId2475" ref="U507"/>
    <hyperlink r:id="rId2476" ref="Y507"/>
    <hyperlink r:id="rId2477" ref="AG507"/>
    <hyperlink r:id="rId2478" ref="AL507"/>
    <hyperlink r:id="rId2479" ref="T508"/>
    <hyperlink r:id="rId2480" ref="U508"/>
    <hyperlink r:id="rId2481" ref="Y508"/>
    <hyperlink r:id="rId2482" ref="AG508"/>
    <hyperlink r:id="rId2483" ref="AL508"/>
    <hyperlink r:id="rId2484" ref="T509"/>
    <hyperlink r:id="rId2485" ref="U509"/>
    <hyperlink r:id="rId2486" ref="Y509"/>
    <hyperlink r:id="rId2487" ref="AG509"/>
    <hyperlink r:id="rId2488" ref="AL509"/>
    <hyperlink r:id="rId2489" ref="T510"/>
    <hyperlink r:id="rId2490" ref="U510"/>
    <hyperlink r:id="rId2491" ref="X510"/>
    <hyperlink r:id="rId2492" ref="Y510"/>
    <hyperlink r:id="rId2493" ref="AG510"/>
    <hyperlink r:id="rId2494" ref="AL510"/>
    <hyperlink r:id="rId2495" ref="T511"/>
    <hyperlink r:id="rId2496" ref="U511"/>
    <hyperlink r:id="rId2497" ref="Y511"/>
    <hyperlink r:id="rId2498" ref="AG511"/>
    <hyperlink r:id="rId2499" ref="AL511"/>
    <hyperlink r:id="rId2500" ref="T512"/>
    <hyperlink r:id="rId2501" ref="U512"/>
    <hyperlink r:id="rId2502" ref="Y512"/>
    <hyperlink r:id="rId2503" ref="AG512"/>
    <hyperlink r:id="rId2504" ref="AL512"/>
    <hyperlink r:id="rId2505" ref="T513"/>
    <hyperlink r:id="rId2506" ref="U513"/>
    <hyperlink r:id="rId2507" ref="Y513"/>
    <hyperlink r:id="rId2508" ref="AG513"/>
    <hyperlink r:id="rId2509" ref="AL513"/>
    <hyperlink r:id="rId2510" ref="T514"/>
    <hyperlink r:id="rId2511" ref="U514"/>
    <hyperlink r:id="rId2512" ref="Y514"/>
    <hyperlink r:id="rId2513" ref="AG514"/>
    <hyperlink r:id="rId2514" ref="AL514"/>
    <hyperlink r:id="rId2515" ref="T515"/>
    <hyperlink r:id="rId2516" ref="U515"/>
    <hyperlink r:id="rId2517" ref="Y515"/>
    <hyperlink r:id="rId2518" ref="AG515"/>
    <hyperlink r:id="rId2519" ref="AL515"/>
    <hyperlink r:id="rId2520" ref="T516"/>
    <hyperlink r:id="rId2521" ref="U516"/>
    <hyperlink r:id="rId2522" ref="Y516"/>
    <hyperlink r:id="rId2523" ref="AG516"/>
    <hyperlink r:id="rId2524" ref="AL516"/>
    <hyperlink r:id="rId2525" ref="T517"/>
    <hyperlink r:id="rId2526" ref="U517"/>
    <hyperlink r:id="rId2527" location="GovernmentCloud" ref="Y517"/>
    <hyperlink r:id="rId2528" ref="AG517"/>
    <hyperlink r:id="rId2529" ref="AL517"/>
    <hyperlink r:id="rId2530" ref="T518"/>
    <hyperlink r:id="rId2531" ref="U518"/>
    <hyperlink r:id="rId2532" ref="Y518"/>
    <hyperlink r:id="rId2533" ref="AG518"/>
    <hyperlink r:id="rId2534" ref="AL518"/>
    <hyperlink r:id="rId2535" ref="T519"/>
    <hyperlink r:id="rId2536" ref="U519"/>
    <hyperlink r:id="rId2537" ref="Y519"/>
    <hyperlink r:id="rId2538" ref="AG519"/>
    <hyperlink r:id="rId2539" ref="AL519"/>
    <hyperlink r:id="rId2540" ref="T520"/>
    <hyperlink r:id="rId2541" ref="U520"/>
    <hyperlink r:id="rId2542" ref="Y520"/>
    <hyperlink r:id="rId2543" ref="AG520"/>
    <hyperlink r:id="rId2544" ref="AL520"/>
    <hyperlink r:id="rId2545" ref="T521"/>
    <hyperlink r:id="rId2546" ref="U521"/>
    <hyperlink r:id="rId2547" ref="Y521"/>
    <hyperlink r:id="rId2548" ref="AG521"/>
    <hyperlink r:id="rId2549" ref="AL521"/>
    <hyperlink r:id="rId2550" ref="T522"/>
    <hyperlink r:id="rId2551" ref="U522"/>
    <hyperlink r:id="rId2552" ref="Y522"/>
    <hyperlink r:id="rId2553" ref="AG522"/>
    <hyperlink r:id="rId2554" ref="AL522"/>
    <hyperlink r:id="rId2555" ref="T523"/>
    <hyperlink r:id="rId2556" ref="U523"/>
    <hyperlink r:id="rId2557" ref="Y523"/>
    <hyperlink r:id="rId2558" ref="AG523"/>
    <hyperlink r:id="rId2559" ref="AL523"/>
    <hyperlink r:id="rId2560" ref="T524"/>
    <hyperlink r:id="rId2561" ref="U524"/>
    <hyperlink r:id="rId2562" ref="Y524"/>
    <hyperlink r:id="rId2563" ref="AG524"/>
    <hyperlink r:id="rId2564" ref="AL524"/>
    <hyperlink r:id="rId2565" ref="T525"/>
    <hyperlink r:id="rId2566" ref="U525"/>
    <hyperlink r:id="rId2567" ref="Y525"/>
    <hyperlink r:id="rId2568" ref="AG525"/>
    <hyperlink r:id="rId2569" ref="AL525"/>
    <hyperlink r:id="rId2570" ref="T526"/>
    <hyperlink r:id="rId2571" ref="U526"/>
    <hyperlink r:id="rId2572" ref="Y526"/>
    <hyperlink r:id="rId2573" ref="AG526"/>
    <hyperlink r:id="rId2574" ref="AL526"/>
    <hyperlink r:id="rId2575" ref="T527"/>
    <hyperlink r:id="rId2576" ref="U527"/>
    <hyperlink r:id="rId2577" ref="Y527"/>
    <hyperlink r:id="rId2578" ref="AG527"/>
    <hyperlink r:id="rId2579" ref="AL527"/>
    <hyperlink r:id="rId2580" ref="T528"/>
    <hyperlink r:id="rId2581" ref="U528"/>
    <hyperlink r:id="rId2582" ref="Y528"/>
    <hyperlink r:id="rId2583" ref="AG528"/>
    <hyperlink r:id="rId2584" ref="AL528"/>
    <hyperlink r:id="rId2585" ref="T529"/>
    <hyperlink r:id="rId2586" ref="U529"/>
    <hyperlink r:id="rId2587" ref="Y529"/>
    <hyperlink r:id="rId2588" ref="AG529"/>
    <hyperlink r:id="rId2589" ref="AL529"/>
    <hyperlink r:id="rId2590" ref="T530"/>
    <hyperlink r:id="rId2591" ref="U530"/>
    <hyperlink r:id="rId2592" ref="Y530"/>
    <hyperlink r:id="rId2593" ref="AG530"/>
    <hyperlink r:id="rId2594" ref="AL530"/>
    <hyperlink r:id="rId2595" ref="T531"/>
    <hyperlink r:id="rId2596" ref="U531"/>
    <hyperlink r:id="rId2597" ref="Y531"/>
    <hyperlink r:id="rId2598" ref="AG531"/>
    <hyperlink r:id="rId2599" ref="AL531"/>
    <hyperlink r:id="rId2600" ref="T532"/>
    <hyperlink r:id="rId2601" ref="U532"/>
    <hyperlink r:id="rId2602" ref="Y532"/>
    <hyperlink r:id="rId2603" ref="AG532"/>
    <hyperlink r:id="rId2604" ref="AL532"/>
    <hyperlink r:id="rId2605" ref="T533"/>
    <hyperlink r:id="rId2606" ref="U533"/>
    <hyperlink r:id="rId2607" ref="X533"/>
    <hyperlink r:id="rId2608" ref="Y533"/>
    <hyperlink r:id="rId2609" ref="AG533"/>
    <hyperlink r:id="rId2610" ref="AL533"/>
    <hyperlink r:id="rId2611" ref="T534"/>
    <hyperlink r:id="rId2612" ref="U534"/>
    <hyperlink r:id="rId2613" ref="Y534"/>
    <hyperlink r:id="rId2614" ref="AG534"/>
    <hyperlink r:id="rId2615" ref="AL534"/>
    <hyperlink r:id="rId2616" ref="T535"/>
    <hyperlink r:id="rId2617" ref="U535"/>
    <hyperlink r:id="rId2618" ref="Y535"/>
    <hyperlink r:id="rId2619" ref="AG535"/>
    <hyperlink r:id="rId2620" ref="AL535"/>
    <hyperlink r:id="rId2621" ref="T536"/>
    <hyperlink r:id="rId2622" ref="U536"/>
    <hyperlink r:id="rId2623" ref="Y536"/>
    <hyperlink r:id="rId2624" ref="AG536"/>
    <hyperlink r:id="rId2625" ref="T537"/>
    <hyperlink r:id="rId2626" ref="U537"/>
    <hyperlink r:id="rId2627" ref="Y537"/>
    <hyperlink r:id="rId2628" ref="AG537"/>
    <hyperlink r:id="rId2629" ref="AL537"/>
    <hyperlink r:id="rId2630" ref="T538"/>
    <hyperlink r:id="rId2631" ref="U538"/>
    <hyperlink r:id="rId2632" ref="Y538"/>
    <hyperlink r:id="rId2633" ref="AG538"/>
    <hyperlink r:id="rId2634" ref="AL538"/>
    <hyperlink r:id="rId2635" ref="T539"/>
    <hyperlink r:id="rId2636" ref="U539"/>
    <hyperlink r:id="rId2637" ref="Y539"/>
    <hyperlink r:id="rId2638" ref="AG539"/>
    <hyperlink r:id="rId2639" ref="AL539"/>
    <hyperlink r:id="rId2640" ref="T540"/>
    <hyperlink r:id="rId2641" ref="U540"/>
    <hyperlink r:id="rId2642" ref="Y540"/>
    <hyperlink r:id="rId2643" ref="AG540"/>
    <hyperlink r:id="rId2644" ref="AL540"/>
    <hyperlink r:id="rId2645" ref="T541"/>
    <hyperlink r:id="rId2646" ref="U541"/>
    <hyperlink r:id="rId2647" ref="Y541"/>
    <hyperlink r:id="rId2648" ref="AG541"/>
    <hyperlink r:id="rId2649" ref="AL541"/>
    <hyperlink r:id="rId2650" ref="T542"/>
    <hyperlink r:id="rId2651" ref="U542"/>
    <hyperlink r:id="rId2652" ref="Y542"/>
    <hyperlink r:id="rId2653" ref="AG542"/>
    <hyperlink r:id="rId2654" ref="AL542"/>
    <hyperlink r:id="rId2655" ref="T543"/>
    <hyperlink r:id="rId2656" ref="U543"/>
    <hyperlink r:id="rId2657" ref="Y543"/>
    <hyperlink r:id="rId2658" ref="AG543"/>
    <hyperlink r:id="rId2659" ref="AL543"/>
    <hyperlink r:id="rId2660" ref="T544"/>
    <hyperlink r:id="rId2661" ref="U544"/>
    <hyperlink r:id="rId2662" ref="Y544"/>
    <hyperlink r:id="rId2663" ref="AG544"/>
    <hyperlink r:id="rId2664" ref="AL544"/>
    <hyperlink r:id="rId2665" ref="T545"/>
    <hyperlink r:id="rId2666" ref="U545"/>
    <hyperlink r:id="rId2667" ref="Y545"/>
    <hyperlink r:id="rId2668" ref="AG545"/>
    <hyperlink r:id="rId2669" ref="AL545"/>
    <hyperlink r:id="rId2670" ref="T546"/>
    <hyperlink r:id="rId2671" ref="U546"/>
    <hyperlink r:id="rId2672" ref="Y546"/>
    <hyperlink r:id="rId2673" ref="AG546"/>
    <hyperlink r:id="rId2674" ref="AL546"/>
    <hyperlink r:id="rId2675" ref="T547"/>
    <hyperlink r:id="rId2676" ref="U547"/>
    <hyperlink r:id="rId2677" ref="Y547"/>
    <hyperlink r:id="rId2678" ref="AG547"/>
    <hyperlink r:id="rId2679" ref="AL547"/>
    <hyperlink r:id="rId2680" ref="T548"/>
    <hyperlink r:id="rId2681" ref="U548"/>
    <hyperlink r:id="rId2682" ref="Y548"/>
    <hyperlink r:id="rId2683" ref="AG548"/>
    <hyperlink r:id="rId2684" ref="AL548"/>
    <hyperlink r:id="rId2685" ref="T549"/>
    <hyperlink r:id="rId2686" ref="U549"/>
    <hyperlink r:id="rId2687" ref="Y549"/>
    <hyperlink r:id="rId2688" ref="AG549"/>
    <hyperlink r:id="rId2689" ref="AL549"/>
    <hyperlink r:id="rId2690" ref="T550"/>
    <hyperlink r:id="rId2691" ref="U550"/>
    <hyperlink r:id="rId2692" ref="Y550"/>
    <hyperlink r:id="rId2693" ref="AG550"/>
    <hyperlink r:id="rId2694" ref="AL550"/>
    <hyperlink r:id="rId2695" ref="T551"/>
    <hyperlink r:id="rId2696" ref="U551"/>
    <hyperlink r:id="rId2697" ref="Y551"/>
    <hyperlink r:id="rId2698" ref="AG551"/>
    <hyperlink r:id="rId2699" ref="AL551"/>
    <hyperlink r:id="rId2700" ref="T552"/>
    <hyperlink r:id="rId2701" ref="U552"/>
    <hyperlink r:id="rId2702" ref="Y552"/>
    <hyperlink r:id="rId2703" ref="AG552"/>
    <hyperlink r:id="rId2704" ref="AL552"/>
    <hyperlink r:id="rId2705" ref="T553"/>
    <hyperlink r:id="rId2706" ref="U553"/>
    <hyperlink r:id="rId2707" ref="Y553"/>
    <hyperlink r:id="rId2708" ref="AG553"/>
    <hyperlink r:id="rId2709" ref="AL553"/>
    <hyperlink r:id="rId2710" ref="T554"/>
    <hyperlink r:id="rId2711" ref="U554"/>
    <hyperlink r:id="rId2712" ref="Y554"/>
    <hyperlink r:id="rId2713" ref="AG554"/>
    <hyperlink r:id="rId2714" ref="AL554"/>
    <hyperlink r:id="rId2715" ref="T555"/>
    <hyperlink r:id="rId2716" ref="U555"/>
    <hyperlink r:id="rId2717" ref="Y555"/>
    <hyperlink r:id="rId2718" ref="AG555"/>
    <hyperlink r:id="rId2719" ref="AL555"/>
    <hyperlink r:id="rId2720" ref="T556"/>
    <hyperlink r:id="rId2721" ref="U556"/>
    <hyperlink r:id="rId2722" ref="Y556"/>
    <hyperlink r:id="rId2723" ref="AG556"/>
    <hyperlink r:id="rId2724" ref="AL556"/>
    <hyperlink r:id="rId2725" ref="T557"/>
    <hyperlink r:id="rId2726" ref="U557"/>
    <hyperlink r:id="rId2727" ref="Y557"/>
    <hyperlink r:id="rId2728" ref="AG557"/>
    <hyperlink r:id="rId2729" ref="AL557"/>
    <hyperlink r:id="rId2730" ref="T558"/>
    <hyperlink r:id="rId2731" ref="U558"/>
    <hyperlink r:id="rId2732" ref="Y558"/>
    <hyperlink r:id="rId2733" ref="AG558"/>
    <hyperlink r:id="rId2734" ref="AL558"/>
    <hyperlink r:id="rId2735" ref="T559"/>
    <hyperlink r:id="rId2736" ref="U559"/>
    <hyperlink r:id="rId2737" ref="Y559"/>
    <hyperlink r:id="rId2738" ref="AG559"/>
    <hyperlink r:id="rId2739" ref="AL559"/>
    <hyperlink r:id="rId2740" ref="T560"/>
    <hyperlink r:id="rId2741" ref="U560"/>
    <hyperlink r:id="rId2742" ref="Y560"/>
    <hyperlink r:id="rId2743" ref="AG560"/>
    <hyperlink r:id="rId2744" ref="AL560"/>
    <hyperlink r:id="rId2745" ref="T561"/>
    <hyperlink r:id="rId2746" ref="U561"/>
    <hyperlink r:id="rId2747" ref="Y561"/>
    <hyperlink r:id="rId2748" ref="AG561"/>
    <hyperlink r:id="rId2749" ref="T562"/>
    <hyperlink r:id="rId2750" ref="U562"/>
    <hyperlink r:id="rId2751" ref="Y562"/>
    <hyperlink r:id="rId2752" ref="AG562"/>
    <hyperlink r:id="rId2753" ref="AL562"/>
    <hyperlink r:id="rId2754" ref="T563"/>
    <hyperlink r:id="rId2755" ref="U563"/>
    <hyperlink r:id="rId2756" ref="Y563"/>
    <hyperlink r:id="rId2757" ref="AG563"/>
    <hyperlink r:id="rId2758" ref="AL563"/>
    <hyperlink r:id="rId2759" ref="T564"/>
    <hyperlink r:id="rId2760" ref="U564"/>
    <hyperlink r:id="rId2761" ref="Y564"/>
    <hyperlink r:id="rId2762" ref="AG564"/>
    <hyperlink r:id="rId2763" ref="T565"/>
    <hyperlink r:id="rId2764" ref="U565"/>
    <hyperlink r:id="rId2765" ref="X565"/>
    <hyperlink r:id="rId2766" ref="Y565"/>
    <hyperlink r:id="rId2767" ref="AG565"/>
    <hyperlink r:id="rId2768" ref="T566"/>
    <hyperlink r:id="rId2769" ref="U566"/>
    <hyperlink r:id="rId2770" ref="Y566"/>
    <hyperlink r:id="rId2771" ref="AG566"/>
    <hyperlink r:id="rId2772" ref="AL566"/>
    <hyperlink r:id="rId2773" ref="T567"/>
    <hyperlink r:id="rId2774" ref="U567"/>
    <hyperlink r:id="rId2775" ref="Y567"/>
    <hyperlink r:id="rId2776" ref="AG567"/>
    <hyperlink r:id="rId2777" ref="AL567"/>
    <hyperlink r:id="rId2778" ref="T568"/>
    <hyperlink r:id="rId2779" ref="U568"/>
    <hyperlink r:id="rId2780" ref="Y568"/>
    <hyperlink r:id="rId2781" ref="AG568"/>
    <hyperlink r:id="rId2782" ref="AL568"/>
    <hyperlink r:id="rId2783" ref="T569"/>
    <hyperlink r:id="rId2784" ref="U569"/>
    <hyperlink r:id="rId2785" ref="Y569"/>
    <hyperlink r:id="rId2786" ref="AG569"/>
    <hyperlink r:id="rId2787" ref="AL569"/>
    <hyperlink r:id="rId2788" ref="T570"/>
    <hyperlink r:id="rId2789" ref="U570"/>
    <hyperlink r:id="rId2790" ref="Y570"/>
    <hyperlink r:id="rId2791" ref="AG570"/>
    <hyperlink r:id="rId2792" ref="AL570"/>
    <hyperlink r:id="rId2793" ref="T571"/>
    <hyperlink r:id="rId2794" ref="U571"/>
    <hyperlink r:id="rId2795" ref="X571"/>
    <hyperlink r:id="rId2796" ref="Y571"/>
    <hyperlink r:id="rId2797" ref="AG571"/>
    <hyperlink r:id="rId2798" ref="AL571"/>
    <hyperlink r:id="rId2799" ref="T572"/>
    <hyperlink r:id="rId2800" ref="U572"/>
    <hyperlink r:id="rId2801" ref="Y572"/>
    <hyperlink r:id="rId2802" ref="AG572"/>
    <hyperlink r:id="rId2803" ref="AL572"/>
    <hyperlink r:id="rId2804" ref="T573"/>
    <hyperlink r:id="rId2805" ref="U573"/>
    <hyperlink r:id="rId2806" ref="Y573"/>
    <hyperlink r:id="rId2807" ref="AG573"/>
    <hyperlink r:id="rId2808" ref="AL573"/>
    <hyperlink r:id="rId2809" ref="T574"/>
    <hyperlink r:id="rId2810" ref="U574"/>
    <hyperlink r:id="rId2811" ref="Y574"/>
    <hyperlink r:id="rId2812" ref="AG574"/>
    <hyperlink r:id="rId2813" ref="AL574"/>
    <hyperlink r:id="rId2814" ref="T575"/>
    <hyperlink r:id="rId2815" ref="U575"/>
    <hyperlink r:id="rId2816" ref="Y575"/>
    <hyperlink r:id="rId2817" ref="AG575"/>
    <hyperlink r:id="rId2818" ref="AL575"/>
    <hyperlink r:id="rId2819" ref="T576"/>
    <hyperlink r:id="rId2820" ref="U576"/>
    <hyperlink r:id="rId2821" ref="Y576"/>
    <hyperlink r:id="rId2822" ref="AG576"/>
    <hyperlink r:id="rId2823" ref="AL576"/>
    <hyperlink r:id="rId2824" ref="T577"/>
    <hyperlink r:id="rId2825" ref="U577"/>
    <hyperlink r:id="rId2826" ref="Y577"/>
    <hyperlink r:id="rId2827" ref="AG577"/>
    <hyperlink r:id="rId2828" ref="AL577"/>
    <hyperlink r:id="rId2829" ref="T578"/>
    <hyperlink r:id="rId2830" ref="U578"/>
    <hyperlink r:id="rId2831" ref="Y578"/>
    <hyperlink r:id="rId2832" ref="AG578"/>
    <hyperlink r:id="rId2833" ref="AL578"/>
    <hyperlink r:id="rId2834" ref="T579"/>
    <hyperlink r:id="rId2835" ref="U579"/>
    <hyperlink r:id="rId2836" ref="Y579"/>
    <hyperlink r:id="rId2837" ref="AG579"/>
    <hyperlink r:id="rId2838" ref="AL579"/>
    <hyperlink r:id="rId2839" ref="T580"/>
    <hyperlink r:id="rId2840" ref="U580"/>
    <hyperlink r:id="rId2841" ref="Y580"/>
    <hyperlink r:id="rId2842" ref="AG580"/>
    <hyperlink r:id="rId2843" ref="AL580"/>
    <hyperlink r:id="rId2844" ref="T581"/>
    <hyperlink r:id="rId2845" ref="U581"/>
    <hyperlink r:id="rId2846" ref="Y581"/>
    <hyperlink r:id="rId2847" ref="AG581"/>
    <hyperlink r:id="rId2848" ref="AL581"/>
    <hyperlink r:id="rId2849" ref="T582"/>
    <hyperlink r:id="rId2850" ref="U582"/>
    <hyperlink r:id="rId2851" ref="Y582"/>
    <hyperlink r:id="rId2852" ref="AG582"/>
    <hyperlink r:id="rId2853" ref="AL582"/>
    <hyperlink r:id="rId2854" ref="T583"/>
    <hyperlink r:id="rId2855" ref="U583"/>
    <hyperlink r:id="rId2856" ref="Y583"/>
    <hyperlink r:id="rId2857" ref="AG583"/>
    <hyperlink r:id="rId2858" ref="AL583"/>
    <hyperlink r:id="rId2859" ref="T584"/>
    <hyperlink r:id="rId2860" ref="U584"/>
    <hyperlink r:id="rId2861" ref="Y584"/>
    <hyperlink r:id="rId2862" ref="AG584"/>
    <hyperlink r:id="rId2863" ref="AL584"/>
    <hyperlink r:id="rId2864" ref="T585"/>
    <hyperlink r:id="rId2865" ref="U585"/>
    <hyperlink r:id="rId2866" ref="Y585"/>
    <hyperlink r:id="rId2867" ref="AG585"/>
    <hyperlink r:id="rId2868" ref="AL585"/>
    <hyperlink r:id="rId2869" ref="T586"/>
    <hyperlink r:id="rId2870" ref="U586"/>
    <hyperlink r:id="rId2871" ref="Y586"/>
    <hyperlink r:id="rId2872" ref="AG586"/>
    <hyperlink r:id="rId2873" ref="AL586"/>
    <hyperlink r:id="rId2874" ref="T587"/>
    <hyperlink r:id="rId2875" ref="U587"/>
    <hyperlink r:id="rId2876" ref="Y587"/>
    <hyperlink r:id="rId2877" ref="AG587"/>
    <hyperlink r:id="rId2878" ref="AL587"/>
    <hyperlink r:id="rId2879" ref="T588"/>
    <hyperlink r:id="rId2880" ref="U588"/>
    <hyperlink r:id="rId2881" ref="Y588"/>
    <hyperlink r:id="rId2882" ref="AG588"/>
    <hyperlink r:id="rId2883" ref="AL588"/>
    <hyperlink r:id="rId2884" ref="T589"/>
    <hyperlink r:id="rId2885" ref="U589"/>
    <hyperlink r:id="rId2886" ref="Y589"/>
    <hyperlink r:id="rId2887" ref="AG589"/>
    <hyperlink r:id="rId2888" ref="AL589"/>
    <hyperlink r:id="rId2889" ref="T590"/>
    <hyperlink r:id="rId2890" ref="U590"/>
    <hyperlink r:id="rId2891" ref="Y590"/>
    <hyperlink r:id="rId2892" ref="AG590"/>
    <hyperlink r:id="rId2893" ref="AL590"/>
    <hyperlink r:id="rId2894" ref="T591"/>
    <hyperlink r:id="rId2895" ref="U591"/>
    <hyperlink r:id="rId2896" ref="Y591"/>
    <hyperlink r:id="rId2897" ref="AG591"/>
    <hyperlink r:id="rId2898" ref="AL591"/>
    <hyperlink r:id="rId2899" ref="T592"/>
    <hyperlink r:id="rId2900" ref="U592"/>
    <hyperlink r:id="rId2901" ref="Y592"/>
    <hyperlink r:id="rId2902" ref="AG592"/>
    <hyperlink r:id="rId2903" ref="AL592"/>
    <hyperlink r:id="rId2904" ref="T593"/>
    <hyperlink r:id="rId2905" ref="U593"/>
    <hyperlink r:id="rId2906" ref="Y593"/>
    <hyperlink r:id="rId2907" ref="AG593"/>
    <hyperlink r:id="rId2908" ref="AL593"/>
    <hyperlink r:id="rId2909" ref="T594"/>
    <hyperlink r:id="rId2910" ref="U594"/>
    <hyperlink r:id="rId2911" ref="Y594"/>
    <hyperlink r:id="rId2912" ref="AG594"/>
    <hyperlink r:id="rId2913" ref="AL594"/>
    <hyperlink r:id="rId2914" ref="T595"/>
    <hyperlink r:id="rId2915" ref="U595"/>
    <hyperlink r:id="rId2916" ref="Y595"/>
    <hyperlink r:id="rId2917" ref="AG595"/>
    <hyperlink r:id="rId2918" ref="T596"/>
    <hyperlink r:id="rId2919" ref="U596"/>
    <hyperlink r:id="rId2920" ref="Y596"/>
    <hyperlink r:id="rId2921" ref="AG596"/>
    <hyperlink r:id="rId2922" ref="T597"/>
    <hyperlink r:id="rId2923" ref="U597"/>
    <hyperlink r:id="rId2924" ref="Y597"/>
    <hyperlink r:id="rId2925" ref="AG597"/>
    <hyperlink r:id="rId2926" ref="T598"/>
    <hyperlink r:id="rId2927" ref="U598"/>
    <hyperlink r:id="rId2928" ref="Y598"/>
    <hyperlink r:id="rId2929" ref="AG598"/>
    <hyperlink r:id="rId2930" ref="AL598"/>
    <hyperlink r:id="rId2931" ref="T599"/>
    <hyperlink r:id="rId2932" ref="U599"/>
    <hyperlink r:id="rId2933" ref="Y599"/>
    <hyperlink r:id="rId2934" ref="AG599"/>
    <hyperlink r:id="rId2935" ref="AL599"/>
    <hyperlink r:id="rId2936" ref="T600"/>
    <hyperlink r:id="rId2937" ref="U600"/>
    <hyperlink r:id="rId2938" ref="Y600"/>
    <hyperlink r:id="rId2939" ref="AG600"/>
    <hyperlink r:id="rId2940" ref="AL600"/>
    <hyperlink r:id="rId2941" ref="T601"/>
    <hyperlink r:id="rId2942" ref="U601"/>
    <hyperlink r:id="rId2943" ref="Y601"/>
    <hyperlink r:id="rId2944" ref="AG601"/>
    <hyperlink r:id="rId2945" ref="AL601"/>
    <hyperlink r:id="rId2946" ref="T602"/>
    <hyperlink r:id="rId2947" ref="U602"/>
    <hyperlink r:id="rId2948" ref="Y602"/>
    <hyperlink r:id="rId2949" ref="AG602"/>
    <hyperlink r:id="rId2950" ref="AL602"/>
    <hyperlink r:id="rId2951" ref="T603"/>
    <hyperlink r:id="rId2952" ref="U603"/>
    <hyperlink r:id="rId2953" ref="Y603"/>
    <hyperlink r:id="rId2954" ref="AG603"/>
    <hyperlink r:id="rId2955" ref="AL603"/>
    <hyperlink r:id="rId2956" ref="T604"/>
    <hyperlink r:id="rId2957" ref="U604"/>
    <hyperlink r:id="rId2958" ref="Y604"/>
    <hyperlink r:id="rId2959" ref="AG604"/>
    <hyperlink r:id="rId2960" ref="AL604"/>
    <hyperlink r:id="rId2961" ref="T605"/>
    <hyperlink r:id="rId2962" ref="U605"/>
    <hyperlink r:id="rId2963" ref="Y605"/>
    <hyperlink r:id="rId2964" ref="AG605"/>
    <hyperlink r:id="rId2965" ref="AL605"/>
    <hyperlink r:id="rId2966" ref="T606"/>
    <hyperlink r:id="rId2967" ref="U606"/>
    <hyperlink r:id="rId2968" ref="Y606"/>
    <hyperlink r:id="rId2969" ref="AG606"/>
    <hyperlink r:id="rId2970" ref="AL606"/>
    <hyperlink r:id="rId2971" ref="T607"/>
    <hyperlink r:id="rId2972" ref="U607"/>
    <hyperlink r:id="rId2973" ref="Y607"/>
    <hyperlink r:id="rId2974" ref="AG607"/>
    <hyperlink r:id="rId2975" ref="AL607"/>
    <hyperlink r:id="rId2976" ref="T608"/>
    <hyperlink r:id="rId2977" ref="U608"/>
    <hyperlink r:id="rId2978" ref="Y608"/>
    <hyperlink r:id="rId2979" ref="AG608"/>
    <hyperlink r:id="rId2980" ref="AL608"/>
    <hyperlink r:id="rId2981" ref="T609"/>
    <hyperlink r:id="rId2982" ref="U609"/>
    <hyperlink r:id="rId2983" ref="Y609"/>
    <hyperlink r:id="rId2984" ref="AG609"/>
    <hyperlink r:id="rId2985" ref="AL609"/>
    <hyperlink r:id="rId2986" ref="T610"/>
    <hyperlink r:id="rId2987" ref="U610"/>
    <hyperlink r:id="rId2988" ref="Y610"/>
    <hyperlink r:id="rId2989" ref="AG610"/>
    <hyperlink r:id="rId2990" ref="AL610"/>
    <hyperlink r:id="rId2991" ref="T611"/>
    <hyperlink r:id="rId2992" ref="U611"/>
    <hyperlink r:id="rId2993" ref="Y611"/>
    <hyperlink r:id="rId2994" ref="AG611"/>
    <hyperlink r:id="rId2995" ref="AL611"/>
    <hyperlink r:id="rId2996" ref="T612"/>
    <hyperlink r:id="rId2997" ref="U612"/>
    <hyperlink r:id="rId2998" ref="Y612"/>
    <hyperlink r:id="rId2999" ref="AG612"/>
    <hyperlink r:id="rId3000" ref="AL612"/>
    <hyperlink r:id="rId3001" ref="T613"/>
    <hyperlink r:id="rId3002" ref="U613"/>
    <hyperlink r:id="rId3003" ref="Y613"/>
    <hyperlink r:id="rId3004" ref="AG613"/>
    <hyperlink r:id="rId3005" ref="AL613"/>
    <hyperlink r:id="rId3006" ref="T614"/>
    <hyperlink r:id="rId3007" ref="U614"/>
    <hyperlink r:id="rId3008" ref="Y614"/>
    <hyperlink r:id="rId3009" ref="AG614"/>
    <hyperlink r:id="rId3010" ref="AL614"/>
    <hyperlink r:id="rId3011" ref="T615"/>
    <hyperlink r:id="rId3012" ref="U615"/>
    <hyperlink r:id="rId3013" ref="Y615"/>
    <hyperlink r:id="rId3014" ref="AG615"/>
    <hyperlink r:id="rId3015" ref="AL615"/>
    <hyperlink r:id="rId3016" ref="T616"/>
    <hyperlink r:id="rId3017" ref="U616"/>
    <hyperlink r:id="rId3018" ref="Y616"/>
    <hyperlink r:id="rId3019" ref="AG616"/>
    <hyperlink r:id="rId3020" ref="AL616"/>
    <hyperlink r:id="rId3021" ref="T617"/>
    <hyperlink r:id="rId3022" ref="U617"/>
    <hyperlink r:id="rId3023" ref="Y617"/>
    <hyperlink r:id="rId3024" ref="AG617"/>
    <hyperlink r:id="rId3025" ref="AL617"/>
    <hyperlink r:id="rId3026" ref="T618"/>
    <hyperlink r:id="rId3027" ref="U618"/>
    <hyperlink r:id="rId3028" ref="Y618"/>
    <hyperlink r:id="rId3029" ref="AG618"/>
    <hyperlink r:id="rId3030" ref="AL618"/>
    <hyperlink r:id="rId3031" ref="T619"/>
    <hyperlink r:id="rId3032" ref="U619"/>
    <hyperlink r:id="rId3033" ref="Y619"/>
    <hyperlink r:id="rId3034" ref="AG619"/>
    <hyperlink r:id="rId3035" ref="AL619"/>
    <hyperlink r:id="rId3036" ref="T620"/>
    <hyperlink r:id="rId3037" ref="U620"/>
    <hyperlink r:id="rId3038" ref="Y620"/>
    <hyperlink r:id="rId3039" ref="AG620"/>
    <hyperlink r:id="rId3040" ref="AL620"/>
    <hyperlink r:id="rId3041" ref="T621"/>
    <hyperlink r:id="rId3042" ref="U621"/>
    <hyperlink r:id="rId3043" ref="Y621"/>
    <hyperlink r:id="rId3044" ref="AG621"/>
    <hyperlink r:id="rId3045" ref="AL621"/>
    <hyperlink r:id="rId3046" ref="T622"/>
    <hyperlink r:id="rId3047" ref="U622"/>
    <hyperlink r:id="rId3048" ref="Y622"/>
    <hyperlink r:id="rId3049" ref="AG622"/>
    <hyperlink r:id="rId3050" ref="AL622"/>
    <hyperlink r:id="rId3051" ref="T623"/>
    <hyperlink r:id="rId3052" ref="U623"/>
    <hyperlink r:id="rId3053" ref="Y623"/>
    <hyperlink r:id="rId3054" ref="AG623"/>
    <hyperlink r:id="rId3055" ref="AL623"/>
    <hyperlink r:id="rId3056" ref="T624"/>
    <hyperlink r:id="rId3057" ref="U624"/>
    <hyperlink r:id="rId3058" ref="Y624"/>
    <hyperlink r:id="rId3059" ref="AG624"/>
    <hyperlink r:id="rId3060" ref="AL624"/>
    <hyperlink r:id="rId3061" ref="T625"/>
    <hyperlink r:id="rId3062" ref="U625"/>
    <hyperlink r:id="rId3063" ref="Y625"/>
    <hyperlink r:id="rId3064" ref="AG625"/>
    <hyperlink r:id="rId3065" ref="AL625"/>
    <hyperlink r:id="rId3066" ref="T626"/>
    <hyperlink r:id="rId3067" ref="U626"/>
    <hyperlink r:id="rId3068" ref="Y626"/>
    <hyperlink r:id="rId3069" ref="AG626"/>
    <hyperlink r:id="rId3070" ref="AL626"/>
    <hyperlink r:id="rId3071" ref="T627"/>
    <hyperlink r:id="rId3072" ref="U627"/>
    <hyperlink r:id="rId3073" ref="Y627"/>
    <hyperlink r:id="rId3074" ref="AG627"/>
    <hyperlink r:id="rId3075" ref="AL627"/>
    <hyperlink r:id="rId3076" ref="T628"/>
    <hyperlink r:id="rId3077" ref="U628"/>
    <hyperlink r:id="rId3078" ref="Y628"/>
    <hyperlink r:id="rId3079" ref="AG628"/>
    <hyperlink r:id="rId3080" ref="AL628"/>
    <hyperlink r:id="rId3081" ref="T629"/>
    <hyperlink r:id="rId3082" ref="U629"/>
    <hyperlink r:id="rId3083" ref="Y629"/>
    <hyperlink r:id="rId3084" ref="AG629"/>
    <hyperlink r:id="rId3085" ref="AL629"/>
    <hyperlink r:id="rId3086" ref="T630"/>
    <hyperlink r:id="rId3087" ref="U630"/>
    <hyperlink r:id="rId3088" ref="Y630"/>
    <hyperlink r:id="rId3089" ref="AG630"/>
    <hyperlink r:id="rId3090" ref="AL630"/>
    <hyperlink r:id="rId3091" ref="T631"/>
    <hyperlink r:id="rId3092" ref="U631"/>
    <hyperlink r:id="rId3093" ref="Y631"/>
    <hyperlink r:id="rId3094" ref="AG631"/>
    <hyperlink r:id="rId3095" ref="AL631"/>
    <hyperlink r:id="rId3096" ref="T632"/>
    <hyperlink r:id="rId3097" ref="U632"/>
    <hyperlink r:id="rId3098" ref="Y632"/>
    <hyperlink r:id="rId3099" ref="AG632"/>
    <hyperlink r:id="rId3100" ref="AL632"/>
    <hyperlink r:id="rId3101" ref="T633"/>
    <hyperlink r:id="rId3102" ref="U633"/>
    <hyperlink r:id="rId3103" ref="Y633"/>
    <hyperlink r:id="rId3104" ref="AG633"/>
    <hyperlink r:id="rId3105" ref="AL633"/>
    <hyperlink r:id="rId3106" ref="T634"/>
    <hyperlink r:id="rId3107" ref="U634"/>
    <hyperlink r:id="rId3108" ref="Y634"/>
    <hyperlink r:id="rId3109" ref="AG634"/>
    <hyperlink r:id="rId3110" ref="T635"/>
    <hyperlink r:id="rId3111" ref="U635"/>
    <hyperlink r:id="rId3112" ref="Y635"/>
    <hyperlink r:id="rId3113" ref="AG635"/>
    <hyperlink r:id="rId3114" ref="T636"/>
    <hyperlink r:id="rId3115" ref="U636"/>
    <hyperlink r:id="rId3116" ref="Y636"/>
    <hyperlink r:id="rId3117" ref="AG636"/>
    <hyperlink r:id="rId3118" ref="AL636"/>
    <hyperlink r:id="rId3119" ref="T637"/>
    <hyperlink r:id="rId3120" ref="U637"/>
    <hyperlink r:id="rId3121" ref="Y637"/>
    <hyperlink r:id="rId3122" ref="AG637"/>
    <hyperlink r:id="rId3123" ref="AL637"/>
    <hyperlink r:id="rId3124" ref="T638"/>
    <hyperlink r:id="rId3125" ref="U638"/>
    <hyperlink r:id="rId3126" ref="Y638"/>
    <hyperlink r:id="rId3127" ref="AG638"/>
    <hyperlink r:id="rId3128" ref="AL638"/>
    <hyperlink r:id="rId3129" ref="T639"/>
    <hyperlink r:id="rId3130" ref="U639"/>
    <hyperlink r:id="rId3131" ref="X639"/>
    <hyperlink r:id="rId3132" ref="Y639"/>
    <hyperlink r:id="rId3133" ref="AG639"/>
    <hyperlink r:id="rId3134" ref="AL639"/>
    <hyperlink r:id="rId3135" ref="T640"/>
    <hyperlink r:id="rId3136" ref="U640"/>
    <hyperlink r:id="rId3137" ref="Y640"/>
    <hyperlink r:id="rId3138" ref="AG640"/>
    <hyperlink r:id="rId3139" ref="AL640"/>
    <hyperlink r:id="rId3140" ref="T641"/>
    <hyperlink r:id="rId3141" ref="U641"/>
    <hyperlink r:id="rId3142" ref="Y641"/>
    <hyperlink r:id="rId3143" ref="AG641"/>
    <hyperlink r:id="rId3144" ref="AL641"/>
    <hyperlink r:id="rId3145" ref="T642"/>
    <hyperlink r:id="rId3146" ref="U642"/>
    <hyperlink r:id="rId3147" ref="Y642"/>
    <hyperlink r:id="rId3148" ref="AG642"/>
    <hyperlink r:id="rId3149" ref="AL642"/>
    <hyperlink r:id="rId3150" ref="T643"/>
    <hyperlink r:id="rId3151" ref="U643"/>
    <hyperlink r:id="rId3152" ref="Y643"/>
    <hyperlink r:id="rId3153" ref="AG643"/>
    <hyperlink r:id="rId3154" ref="AL643"/>
    <hyperlink r:id="rId3155" ref="T644"/>
    <hyperlink r:id="rId3156" ref="U644"/>
    <hyperlink r:id="rId3157" ref="Y644"/>
    <hyperlink r:id="rId3158" ref="AG644"/>
    <hyperlink r:id="rId3159" ref="AL644"/>
    <hyperlink r:id="rId3160" ref="T645"/>
    <hyperlink r:id="rId3161" ref="U645"/>
    <hyperlink r:id="rId3162" ref="Y645"/>
    <hyperlink r:id="rId3163" ref="AG645"/>
    <hyperlink r:id="rId3164" ref="AL645"/>
    <hyperlink r:id="rId3165" ref="T646"/>
    <hyperlink r:id="rId3166" ref="U646"/>
    <hyperlink r:id="rId3167" ref="Y646"/>
    <hyperlink r:id="rId3168" ref="AG646"/>
    <hyperlink r:id="rId3169" ref="AL646"/>
    <hyperlink r:id="rId3170" ref="T647"/>
    <hyperlink r:id="rId3171" ref="U647"/>
    <hyperlink r:id="rId3172" ref="Y647"/>
    <hyperlink r:id="rId3173" ref="AG647"/>
    <hyperlink r:id="rId3174" ref="AL647"/>
    <hyperlink r:id="rId3175" ref="T648"/>
    <hyperlink r:id="rId3176" ref="U648"/>
    <hyperlink r:id="rId3177" ref="Y648"/>
    <hyperlink r:id="rId3178" ref="AG648"/>
    <hyperlink r:id="rId3179" ref="AL648"/>
    <hyperlink r:id="rId3180" ref="T649"/>
    <hyperlink r:id="rId3181" ref="U649"/>
    <hyperlink r:id="rId3182" ref="Y649"/>
    <hyperlink r:id="rId3183" ref="AG649"/>
    <hyperlink r:id="rId3184" ref="AL649"/>
    <hyperlink r:id="rId3185" ref="T650"/>
    <hyperlink r:id="rId3186" ref="U650"/>
    <hyperlink r:id="rId3187" ref="Y650"/>
    <hyperlink r:id="rId3188" ref="AG650"/>
    <hyperlink r:id="rId3189" ref="AL650"/>
    <hyperlink r:id="rId3190" ref="T651"/>
    <hyperlink r:id="rId3191" ref="U651"/>
    <hyperlink r:id="rId3192" ref="Y651"/>
    <hyperlink r:id="rId3193" ref="AG651"/>
    <hyperlink r:id="rId3194" ref="AL651"/>
    <hyperlink r:id="rId3195" ref="T652"/>
    <hyperlink r:id="rId3196" ref="U652"/>
    <hyperlink r:id="rId3197" ref="Y652"/>
    <hyperlink r:id="rId3198" ref="AG652"/>
    <hyperlink r:id="rId3199" ref="AL652"/>
    <hyperlink r:id="rId3200" ref="T653"/>
    <hyperlink r:id="rId3201" ref="U653"/>
    <hyperlink r:id="rId3202" ref="Y653"/>
    <hyperlink r:id="rId3203" ref="AG653"/>
    <hyperlink r:id="rId3204" ref="AL653"/>
    <hyperlink r:id="rId3205" ref="T654"/>
    <hyperlink r:id="rId3206" ref="U654"/>
    <hyperlink r:id="rId3207" ref="Y654"/>
    <hyperlink r:id="rId3208" ref="AG654"/>
    <hyperlink r:id="rId3209" ref="AL654"/>
    <hyperlink r:id="rId3210" ref="T655"/>
    <hyperlink r:id="rId3211" ref="U655"/>
    <hyperlink r:id="rId3212" ref="Y655"/>
    <hyperlink r:id="rId3213" ref="AG655"/>
    <hyperlink r:id="rId3214" ref="AL655"/>
    <hyperlink r:id="rId3215" ref="T656"/>
    <hyperlink r:id="rId3216" ref="U656"/>
    <hyperlink r:id="rId3217" ref="Y656"/>
    <hyperlink r:id="rId3218" ref="AG656"/>
    <hyperlink r:id="rId3219" ref="AL656"/>
    <hyperlink r:id="rId3220" ref="T657"/>
    <hyperlink r:id="rId3221" ref="U657"/>
    <hyperlink r:id="rId3222" ref="Y657"/>
    <hyperlink r:id="rId3223" ref="AG657"/>
    <hyperlink r:id="rId3224" ref="AL657"/>
    <hyperlink r:id="rId3225" ref="T658"/>
    <hyperlink r:id="rId3226" ref="U658"/>
    <hyperlink r:id="rId3227" ref="Y658"/>
    <hyperlink r:id="rId3228" ref="AG658"/>
    <hyperlink r:id="rId3229" ref="AL658"/>
    <hyperlink r:id="rId3230" ref="T659"/>
    <hyperlink r:id="rId3231" ref="U659"/>
    <hyperlink r:id="rId3232" ref="Y659"/>
    <hyperlink r:id="rId3233" ref="AG659"/>
    <hyperlink r:id="rId3234" ref="AL659"/>
    <hyperlink r:id="rId3235" ref="T660"/>
    <hyperlink r:id="rId3236" ref="U660"/>
    <hyperlink r:id="rId3237" ref="Y660"/>
    <hyperlink r:id="rId3238" ref="AG660"/>
    <hyperlink r:id="rId3239" ref="AL660"/>
    <hyperlink r:id="rId3240" ref="T661"/>
    <hyperlink r:id="rId3241" ref="U661"/>
    <hyperlink r:id="rId3242" ref="Y661"/>
    <hyperlink r:id="rId3243" ref="AG661"/>
    <hyperlink r:id="rId3244" ref="AL661"/>
    <hyperlink r:id="rId3245" ref="T662"/>
    <hyperlink r:id="rId3246" ref="U662"/>
    <hyperlink r:id="rId3247" ref="Y662"/>
    <hyperlink r:id="rId3248" ref="AG662"/>
    <hyperlink r:id="rId3249" ref="AL662"/>
    <hyperlink r:id="rId3250" ref="T663"/>
    <hyperlink r:id="rId3251" ref="U663"/>
    <hyperlink r:id="rId3252" ref="Y663"/>
    <hyperlink r:id="rId3253" ref="AG663"/>
    <hyperlink r:id="rId3254" ref="AL663"/>
    <hyperlink r:id="rId3255" ref="T664"/>
    <hyperlink r:id="rId3256" ref="U664"/>
    <hyperlink r:id="rId3257" ref="Y664"/>
    <hyperlink r:id="rId3258" ref="AG664"/>
    <hyperlink r:id="rId3259" ref="AL664"/>
    <hyperlink r:id="rId3260" ref="T665"/>
    <hyperlink r:id="rId3261" ref="U665"/>
    <hyperlink r:id="rId3262" ref="Y665"/>
    <hyperlink r:id="rId3263" ref="AG665"/>
    <hyperlink r:id="rId3264" ref="AL665"/>
    <hyperlink r:id="rId3265" ref="T666"/>
    <hyperlink r:id="rId3266" ref="U666"/>
    <hyperlink r:id="rId3267" ref="Y666"/>
    <hyperlink r:id="rId3268" ref="AG666"/>
    <hyperlink r:id="rId3269" ref="AL666"/>
    <hyperlink r:id="rId3270" ref="T667"/>
    <hyperlink r:id="rId3271" ref="U667"/>
    <hyperlink r:id="rId3272" ref="Y667"/>
    <hyperlink r:id="rId3273" ref="AG667"/>
    <hyperlink r:id="rId3274" ref="AL667"/>
    <hyperlink r:id="rId3275" ref="T668"/>
    <hyperlink r:id="rId3276" ref="U668"/>
    <hyperlink r:id="rId3277" ref="Y668"/>
    <hyperlink r:id="rId3278" ref="AG668"/>
    <hyperlink r:id="rId3279" ref="AL668"/>
    <hyperlink r:id="rId3280" ref="T669"/>
    <hyperlink r:id="rId3281" ref="U669"/>
    <hyperlink r:id="rId3282" ref="Y669"/>
    <hyperlink r:id="rId3283" ref="AG669"/>
    <hyperlink r:id="rId3284" ref="AL669"/>
    <hyperlink r:id="rId3285" ref="T670"/>
    <hyperlink r:id="rId3286" ref="U670"/>
    <hyperlink r:id="rId3287" ref="Y670"/>
    <hyperlink r:id="rId3288" ref="AG670"/>
    <hyperlink r:id="rId3289" ref="AL670"/>
    <hyperlink r:id="rId3290" ref="T671"/>
    <hyperlink r:id="rId3291" ref="U671"/>
    <hyperlink r:id="rId3292" ref="Y671"/>
    <hyperlink r:id="rId3293" ref="AG671"/>
    <hyperlink r:id="rId3294" ref="AL671"/>
    <hyperlink r:id="rId3295" ref="T672"/>
    <hyperlink r:id="rId3296" ref="U672"/>
    <hyperlink r:id="rId3297" ref="Y672"/>
    <hyperlink r:id="rId3298" ref="AG672"/>
    <hyperlink r:id="rId3299" ref="AL672"/>
    <hyperlink r:id="rId3300" ref="T673"/>
    <hyperlink r:id="rId3301" ref="U673"/>
    <hyperlink r:id="rId3302" ref="Y673"/>
    <hyperlink r:id="rId3303" ref="AG673"/>
    <hyperlink r:id="rId3304" ref="AL673"/>
    <hyperlink r:id="rId3305" ref="T674"/>
    <hyperlink r:id="rId3306" ref="U674"/>
    <hyperlink r:id="rId3307" ref="Y674"/>
    <hyperlink r:id="rId3308" ref="AG674"/>
    <hyperlink r:id="rId3309" ref="AL674"/>
    <hyperlink r:id="rId3310" ref="T675"/>
    <hyperlink r:id="rId3311" ref="U675"/>
    <hyperlink r:id="rId3312" ref="Y675"/>
    <hyperlink r:id="rId3313" ref="AG675"/>
    <hyperlink r:id="rId3314" ref="AL675"/>
    <hyperlink r:id="rId3315" ref="T676"/>
    <hyperlink r:id="rId3316" ref="U676"/>
    <hyperlink r:id="rId3317" ref="Y676"/>
    <hyperlink r:id="rId3318" ref="AG676"/>
    <hyperlink r:id="rId3319" ref="AL676"/>
    <hyperlink r:id="rId3320" ref="T677"/>
    <hyperlink r:id="rId3321" ref="U677"/>
    <hyperlink r:id="rId3322" ref="Y677"/>
    <hyperlink r:id="rId3323" ref="AG677"/>
    <hyperlink r:id="rId3324" ref="AL677"/>
    <hyperlink r:id="rId3325" ref="T678"/>
    <hyperlink r:id="rId3326" ref="U678"/>
    <hyperlink r:id="rId3327" ref="Y678"/>
    <hyperlink r:id="rId3328" ref="AG678"/>
    <hyperlink r:id="rId3329" ref="AL678"/>
    <hyperlink r:id="rId3330" ref="T679"/>
    <hyperlink r:id="rId3331" ref="U679"/>
    <hyperlink r:id="rId3332" ref="Y679"/>
    <hyperlink r:id="rId3333" ref="AG679"/>
    <hyperlink r:id="rId3334" ref="AL679"/>
    <hyperlink r:id="rId3335" ref="T680"/>
    <hyperlink r:id="rId3336" ref="U680"/>
    <hyperlink r:id="rId3337" ref="Y680"/>
    <hyperlink r:id="rId3338" ref="AG680"/>
    <hyperlink r:id="rId3339" ref="AL680"/>
    <hyperlink r:id="rId3340" ref="T681"/>
    <hyperlink r:id="rId3341" ref="U681"/>
    <hyperlink r:id="rId3342" ref="Y681"/>
    <hyperlink r:id="rId3343" ref="AG681"/>
    <hyperlink r:id="rId3344" ref="AL681"/>
    <hyperlink r:id="rId3345" ref="T682"/>
    <hyperlink r:id="rId3346" ref="U682"/>
    <hyperlink r:id="rId3347" ref="Y682"/>
    <hyperlink r:id="rId3348" ref="AG682"/>
    <hyperlink r:id="rId3349" ref="T683"/>
    <hyperlink r:id="rId3350" ref="U683"/>
    <hyperlink r:id="rId3351" location="GovernmentCloud" ref="Y683"/>
    <hyperlink r:id="rId3352" ref="AG683"/>
    <hyperlink r:id="rId3353" ref="T684"/>
    <hyperlink r:id="rId3354" ref="U684"/>
    <hyperlink r:id="rId3355" ref="Y684"/>
    <hyperlink r:id="rId3356" ref="AG684"/>
    <hyperlink r:id="rId3357" ref="AL684"/>
    <hyperlink r:id="rId3358" ref="T685"/>
    <hyperlink r:id="rId3359" ref="U685"/>
    <hyperlink r:id="rId3360" ref="Y685"/>
    <hyperlink r:id="rId3361" ref="AG685"/>
    <hyperlink r:id="rId3362" ref="AL685"/>
    <hyperlink r:id="rId3363" ref="T686"/>
    <hyperlink r:id="rId3364" ref="U686"/>
    <hyperlink r:id="rId3365" ref="Y686"/>
    <hyperlink r:id="rId3366" ref="AG686"/>
    <hyperlink r:id="rId3367" ref="AL686"/>
    <hyperlink r:id="rId3368" ref="T687"/>
    <hyperlink r:id="rId3369" ref="U687"/>
    <hyperlink r:id="rId3370" ref="Y687"/>
    <hyperlink r:id="rId3371" ref="AG687"/>
    <hyperlink r:id="rId3372" ref="T688"/>
    <hyperlink r:id="rId3373" ref="U688"/>
    <hyperlink r:id="rId3374" ref="Y688"/>
    <hyperlink r:id="rId3375" ref="AG688"/>
    <hyperlink r:id="rId3376" ref="AL688"/>
    <hyperlink r:id="rId3377" ref="T689"/>
    <hyperlink r:id="rId3378" ref="U689"/>
    <hyperlink r:id="rId3379" ref="Y689"/>
    <hyperlink r:id="rId3380" ref="AG689"/>
    <hyperlink r:id="rId3381" ref="AL689"/>
    <hyperlink r:id="rId3382" ref="T690"/>
    <hyperlink r:id="rId3383" ref="U690"/>
    <hyperlink r:id="rId3384" ref="Y690"/>
    <hyperlink r:id="rId3385" ref="AG690"/>
    <hyperlink r:id="rId3386" ref="AL690"/>
    <hyperlink r:id="rId3387" ref="T691"/>
    <hyperlink r:id="rId3388" ref="U691"/>
    <hyperlink r:id="rId3389" ref="Y691"/>
    <hyperlink r:id="rId3390" ref="AG691"/>
    <hyperlink r:id="rId3391" ref="AL691"/>
    <hyperlink r:id="rId3392" ref="T692"/>
    <hyperlink r:id="rId3393" ref="U692"/>
    <hyperlink r:id="rId3394" ref="Y692"/>
    <hyperlink r:id="rId3395" ref="AG692"/>
    <hyperlink r:id="rId3396" ref="AL692"/>
    <hyperlink r:id="rId3397" ref="T693"/>
    <hyperlink r:id="rId3398" ref="U693"/>
    <hyperlink r:id="rId3399" ref="Y693"/>
    <hyperlink r:id="rId3400" ref="AG693"/>
    <hyperlink r:id="rId3401" ref="AL693"/>
    <hyperlink r:id="rId3402" ref="T694"/>
    <hyperlink r:id="rId3403" ref="U694"/>
    <hyperlink r:id="rId3404" ref="Y694"/>
    <hyperlink r:id="rId3405" ref="AG694"/>
    <hyperlink r:id="rId3406" ref="AL694"/>
    <hyperlink r:id="rId3407" ref="T695"/>
    <hyperlink r:id="rId3408" ref="U695"/>
    <hyperlink r:id="rId3409" ref="Y695"/>
    <hyperlink r:id="rId3410" ref="AG695"/>
    <hyperlink r:id="rId3411" ref="AL695"/>
    <hyperlink r:id="rId3412" ref="T696"/>
    <hyperlink r:id="rId3413" ref="U696"/>
    <hyperlink r:id="rId3414" ref="Y696"/>
    <hyperlink r:id="rId3415" ref="AG696"/>
    <hyperlink r:id="rId3416" ref="AL696"/>
    <hyperlink r:id="rId3417" ref="T697"/>
    <hyperlink r:id="rId3418" ref="U697"/>
    <hyperlink r:id="rId3419" ref="Y697"/>
    <hyperlink r:id="rId3420" ref="AG697"/>
    <hyperlink r:id="rId3421" ref="T698"/>
    <hyperlink r:id="rId3422" ref="U698"/>
    <hyperlink r:id="rId3423" ref="Y698"/>
    <hyperlink r:id="rId3424" ref="AG698"/>
    <hyperlink r:id="rId3425" ref="AL698"/>
    <hyperlink r:id="rId3426" ref="T699"/>
    <hyperlink r:id="rId3427" ref="U699"/>
    <hyperlink r:id="rId3428" ref="X699"/>
    <hyperlink r:id="rId3429" ref="Y699"/>
    <hyperlink r:id="rId3430" ref="AG699"/>
    <hyperlink r:id="rId3431" ref="AL699"/>
    <hyperlink r:id="rId3432" ref="T700"/>
    <hyperlink r:id="rId3433" ref="U700"/>
    <hyperlink r:id="rId3434" ref="Y700"/>
    <hyperlink r:id="rId3435" ref="AG700"/>
    <hyperlink r:id="rId3436" ref="AL700"/>
    <hyperlink r:id="rId3437" ref="T701"/>
    <hyperlink r:id="rId3438" ref="U701"/>
    <hyperlink r:id="rId3439" ref="Y701"/>
    <hyperlink r:id="rId3440" ref="AG701"/>
    <hyperlink r:id="rId3441" ref="AL701"/>
    <hyperlink r:id="rId3442" ref="T702"/>
    <hyperlink r:id="rId3443" ref="U702"/>
    <hyperlink r:id="rId3444" ref="Y702"/>
    <hyperlink r:id="rId3445" ref="AG702"/>
    <hyperlink r:id="rId3446" ref="AL702"/>
    <hyperlink r:id="rId3447" ref="T703"/>
    <hyperlink r:id="rId3448" ref="U703"/>
    <hyperlink r:id="rId3449" ref="Y703"/>
    <hyperlink r:id="rId3450" ref="AG703"/>
    <hyperlink r:id="rId3451" ref="AL703"/>
    <hyperlink r:id="rId3452" ref="T704"/>
    <hyperlink r:id="rId3453" ref="U704"/>
    <hyperlink r:id="rId3454" ref="Y704"/>
    <hyperlink r:id="rId3455" ref="AG704"/>
    <hyperlink r:id="rId3456" ref="AL704"/>
    <hyperlink r:id="rId3457" ref="T705"/>
    <hyperlink r:id="rId3458" ref="U705"/>
    <hyperlink r:id="rId3459" ref="Y705"/>
    <hyperlink r:id="rId3460" ref="AG705"/>
    <hyperlink r:id="rId3461" ref="AL705"/>
    <hyperlink r:id="rId3462" ref="T706"/>
    <hyperlink r:id="rId3463" ref="U706"/>
    <hyperlink r:id="rId3464" location="GovernmentCloud" ref="Y706"/>
    <hyperlink r:id="rId3465" ref="AG706"/>
    <hyperlink r:id="rId3466" ref="AL706"/>
    <hyperlink r:id="rId3467" ref="T707"/>
    <hyperlink r:id="rId3468" ref="U707"/>
    <hyperlink r:id="rId3469" ref="Y707"/>
    <hyperlink r:id="rId3470" ref="AG707"/>
    <hyperlink r:id="rId3471" ref="AL707"/>
    <hyperlink r:id="rId3472" ref="T708"/>
    <hyperlink r:id="rId3473" ref="U708"/>
    <hyperlink r:id="rId3474" ref="Y708"/>
    <hyperlink r:id="rId3475" ref="AG708"/>
    <hyperlink r:id="rId3476" ref="AL708"/>
    <hyperlink r:id="rId3477" ref="T709"/>
    <hyperlink r:id="rId3478" ref="U709"/>
    <hyperlink r:id="rId3479" ref="Y709"/>
    <hyperlink r:id="rId3480" ref="AG709"/>
    <hyperlink r:id="rId3481" ref="AL709"/>
    <hyperlink r:id="rId3482" ref="T710"/>
    <hyperlink r:id="rId3483" ref="U710"/>
    <hyperlink r:id="rId3484" ref="Y710"/>
    <hyperlink r:id="rId3485" ref="AG710"/>
    <hyperlink r:id="rId3486" ref="AL710"/>
    <hyperlink r:id="rId3487" ref="T711"/>
    <hyperlink r:id="rId3488" ref="U711"/>
    <hyperlink r:id="rId3489" ref="Y711"/>
    <hyperlink r:id="rId3490" ref="AG711"/>
    <hyperlink r:id="rId3491" ref="AL711"/>
    <hyperlink r:id="rId3492" ref="T712"/>
    <hyperlink r:id="rId3493" ref="U712"/>
    <hyperlink r:id="rId3494" ref="Y712"/>
    <hyperlink r:id="rId3495" ref="AG712"/>
    <hyperlink r:id="rId3496" ref="AL712"/>
    <hyperlink r:id="rId3497" ref="T713"/>
    <hyperlink r:id="rId3498" ref="U713"/>
    <hyperlink r:id="rId3499" ref="Y713"/>
    <hyperlink r:id="rId3500" ref="AG713"/>
    <hyperlink r:id="rId3501" ref="AL713"/>
    <hyperlink r:id="rId3502" ref="T714"/>
    <hyperlink r:id="rId3503" ref="U714"/>
    <hyperlink r:id="rId3504" ref="Y714"/>
    <hyperlink r:id="rId3505" ref="AG714"/>
    <hyperlink r:id="rId3506" ref="AL714"/>
    <hyperlink r:id="rId3507" ref="T715"/>
    <hyperlink r:id="rId3508" ref="U715"/>
    <hyperlink r:id="rId3509" ref="Y715"/>
    <hyperlink r:id="rId3510" ref="AG715"/>
    <hyperlink r:id="rId3511" ref="AL715"/>
    <hyperlink r:id="rId3512" ref="T716"/>
    <hyperlink r:id="rId3513" ref="U716"/>
    <hyperlink r:id="rId3514" ref="Y716"/>
    <hyperlink r:id="rId3515" ref="AG716"/>
    <hyperlink r:id="rId3516" ref="AL716"/>
    <hyperlink r:id="rId3517" ref="T717"/>
    <hyperlink r:id="rId3518" ref="U717"/>
    <hyperlink r:id="rId3519" ref="Y717"/>
    <hyperlink r:id="rId3520" ref="AG717"/>
    <hyperlink r:id="rId3521" ref="AL717"/>
    <hyperlink r:id="rId3522" ref="T718"/>
    <hyperlink r:id="rId3523" ref="U718"/>
    <hyperlink r:id="rId3524" ref="Y718"/>
    <hyperlink r:id="rId3525" ref="AG718"/>
    <hyperlink r:id="rId3526" ref="AL718"/>
    <hyperlink r:id="rId3527" ref="T719"/>
    <hyperlink r:id="rId3528" ref="U719"/>
    <hyperlink r:id="rId3529" ref="Y719"/>
    <hyperlink r:id="rId3530" ref="AG719"/>
    <hyperlink r:id="rId3531" ref="AL719"/>
    <hyperlink r:id="rId3532" ref="T720"/>
    <hyperlink r:id="rId3533" ref="U720"/>
    <hyperlink r:id="rId3534" ref="Y720"/>
    <hyperlink r:id="rId3535" ref="AG720"/>
    <hyperlink r:id="rId3536" ref="AL720"/>
    <hyperlink r:id="rId3537" ref="T721"/>
    <hyperlink r:id="rId3538" ref="U721"/>
    <hyperlink r:id="rId3539" ref="Y721"/>
    <hyperlink r:id="rId3540" ref="AG721"/>
    <hyperlink r:id="rId3541" ref="AL721"/>
    <hyperlink r:id="rId3542" ref="T722"/>
    <hyperlink r:id="rId3543" ref="U722"/>
    <hyperlink r:id="rId3544" ref="Y722"/>
    <hyperlink r:id="rId3545" ref="AG722"/>
    <hyperlink r:id="rId3546" ref="AL722"/>
    <hyperlink r:id="rId3547" ref="T723"/>
    <hyperlink r:id="rId3548" ref="U723"/>
    <hyperlink r:id="rId3549" ref="Y723"/>
    <hyperlink r:id="rId3550" ref="AG723"/>
    <hyperlink r:id="rId3551" ref="AL723"/>
    <hyperlink r:id="rId3552" ref="T724"/>
    <hyperlink r:id="rId3553" ref="U724"/>
    <hyperlink r:id="rId3554" ref="Y724"/>
    <hyperlink r:id="rId3555" ref="AG724"/>
    <hyperlink r:id="rId3556" ref="AL724"/>
    <hyperlink r:id="rId3557" ref="T725"/>
    <hyperlink r:id="rId3558" ref="U725"/>
    <hyperlink r:id="rId3559" ref="Y725"/>
    <hyperlink r:id="rId3560" ref="AG725"/>
    <hyperlink r:id="rId3561" ref="AL725"/>
    <hyperlink r:id="rId3562" ref="T726"/>
    <hyperlink r:id="rId3563" ref="U726"/>
    <hyperlink r:id="rId3564" ref="Y726"/>
    <hyperlink r:id="rId3565" ref="AG726"/>
    <hyperlink r:id="rId3566" ref="AL726"/>
    <hyperlink r:id="rId3567" ref="T727"/>
    <hyperlink r:id="rId3568" ref="U727"/>
    <hyperlink r:id="rId3569" ref="Y727"/>
    <hyperlink r:id="rId3570" ref="AG727"/>
    <hyperlink r:id="rId3571" ref="AL727"/>
    <hyperlink r:id="rId3572" ref="T728"/>
    <hyperlink r:id="rId3573" ref="U728"/>
    <hyperlink r:id="rId3574" ref="Y728"/>
    <hyperlink r:id="rId3575" ref="AG728"/>
    <hyperlink r:id="rId3576" ref="AL728"/>
    <hyperlink r:id="rId3577" ref="T729"/>
    <hyperlink r:id="rId3578" ref="U729"/>
    <hyperlink r:id="rId3579" ref="Y729"/>
    <hyperlink r:id="rId3580" ref="AG729"/>
    <hyperlink r:id="rId3581" ref="AL729"/>
    <hyperlink r:id="rId3582" ref="T730"/>
    <hyperlink r:id="rId3583" ref="U730"/>
    <hyperlink r:id="rId3584" ref="Y730"/>
    <hyperlink r:id="rId3585" ref="AG730"/>
    <hyperlink r:id="rId3586" ref="AL730"/>
    <hyperlink r:id="rId3587" ref="T731"/>
    <hyperlink r:id="rId3588" ref="U731"/>
    <hyperlink r:id="rId3589" ref="Y731"/>
    <hyperlink r:id="rId3590" ref="AG731"/>
    <hyperlink r:id="rId3591" ref="AL731"/>
    <hyperlink r:id="rId3592" ref="T732"/>
    <hyperlink r:id="rId3593" ref="U732"/>
    <hyperlink r:id="rId3594" ref="Y732"/>
    <hyperlink r:id="rId3595" ref="AG732"/>
    <hyperlink r:id="rId3596" ref="AL732"/>
    <hyperlink r:id="rId3597" ref="T733"/>
    <hyperlink r:id="rId3598" ref="U733"/>
    <hyperlink r:id="rId3599" ref="Y733"/>
    <hyperlink r:id="rId3600" ref="AG733"/>
    <hyperlink r:id="rId3601" ref="AL733"/>
    <hyperlink r:id="rId3602" ref="T734"/>
    <hyperlink r:id="rId3603" ref="U734"/>
    <hyperlink r:id="rId3604" ref="Y734"/>
    <hyperlink r:id="rId3605" ref="AG734"/>
    <hyperlink r:id="rId3606" ref="AL734"/>
    <hyperlink r:id="rId3607" ref="T735"/>
    <hyperlink r:id="rId3608" ref="U735"/>
    <hyperlink r:id="rId3609" ref="Y735"/>
    <hyperlink r:id="rId3610" ref="AG735"/>
    <hyperlink r:id="rId3611" ref="AL735"/>
    <hyperlink r:id="rId3612" ref="T736"/>
    <hyperlink r:id="rId3613" ref="U736"/>
    <hyperlink r:id="rId3614" ref="Y736"/>
    <hyperlink r:id="rId3615" ref="AG736"/>
    <hyperlink r:id="rId3616" ref="AL736"/>
    <hyperlink r:id="rId3617" ref="T737"/>
    <hyperlink r:id="rId3618" ref="U737"/>
    <hyperlink r:id="rId3619" ref="Y737"/>
    <hyperlink r:id="rId3620" ref="AG737"/>
    <hyperlink r:id="rId3621" ref="AL737"/>
    <hyperlink r:id="rId3622" ref="T738"/>
    <hyperlink r:id="rId3623" ref="U738"/>
    <hyperlink r:id="rId3624" ref="Y738"/>
    <hyperlink r:id="rId3625" ref="AG738"/>
    <hyperlink r:id="rId3626" ref="AL738"/>
    <hyperlink r:id="rId3627" ref="T739"/>
    <hyperlink r:id="rId3628" ref="U739"/>
    <hyperlink r:id="rId3629" ref="Y739"/>
    <hyperlink r:id="rId3630" ref="AG739"/>
    <hyperlink r:id="rId3631" ref="AL739"/>
    <hyperlink r:id="rId3632" ref="T740"/>
    <hyperlink r:id="rId3633" ref="U740"/>
    <hyperlink r:id="rId3634" ref="Y740"/>
    <hyperlink r:id="rId3635" ref="AG740"/>
    <hyperlink r:id="rId3636" ref="AL740"/>
    <hyperlink r:id="rId3637" ref="T741"/>
    <hyperlink r:id="rId3638" ref="U741"/>
    <hyperlink r:id="rId3639" ref="Y741"/>
    <hyperlink r:id="rId3640" ref="AG741"/>
    <hyperlink r:id="rId3641" ref="AL741"/>
    <hyperlink r:id="rId3642" ref="T742"/>
    <hyperlink r:id="rId3643" ref="U742"/>
    <hyperlink r:id="rId3644" ref="Y742"/>
    <hyperlink r:id="rId3645" ref="AG742"/>
    <hyperlink r:id="rId3646" ref="AL742"/>
    <hyperlink r:id="rId3647" ref="T743"/>
    <hyperlink r:id="rId3648" ref="U743"/>
    <hyperlink r:id="rId3649" ref="Y743"/>
    <hyperlink r:id="rId3650" ref="AG743"/>
    <hyperlink r:id="rId3651" ref="AL743"/>
    <hyperlink r:id="rId3652" ref="T744"/>
    <hyperlink r:id="rId3653" ref="U744"/>
    <hyperlink r:id="rId3654" ref="X744"/>
    <hyperlink r:id="rId3655" ref="Y744"/>
    <hyperlink r:id="rId3656" ref="AG744"/>
    <hyperlink r:id="rId3657" ref="AL744"/>
    <hyperlink r:id="rId3658" ref="T745"/>
    <hyperlink r:id="rId3659" ref="U745"/>
    <hyperlink r:id="rId3660" ref="Y745"/>
    <hyperlink r:id="rId3661" ref="AG745"/>
    <hyperlink r:id="rId3662" ref="AL745"/>
    <hyperlink r:id="rId3663" ref="T746"/>
    <hyperlink r:id="rId3664" ref="U746"/>
    <hyperlink r:id="rId3665" ref="Y746"/>
    <hyperlink r:id="rId3666" ref="AG746"/>
    <hyperlink r:id="rId3667" ref="AL746"/>
    <hyperlink r:id="rId3668" ref="T747"/>
    <hyperlink r:id="rId3669" ref="U747"/>
    <hyperlink r:id="rId3670" ref="Y747"/>
    <hyperlink r:id="rId3671" ref="AG747"/>
    <hyperlink r:id="rId3672" ref="AL747"/>
    <hyperlink r:id="rId3673" ref="T748"/>
    <hyperlink r:id="rId3674" ref="U748"/>
    <hyperlink r:id="rId3675" ref="Y748"/>
    <hyperlink r:id="rId3676" ref="AG748"/>
    <hyperlink r:id="rId3677" ref="AL748"/>
    <hyperlink r:id="rId3678" ref="T749"/>
    <hyperlink r:id="rId3679" ref="U749"/>
    <hyperlink r:id="rId3680" location="GovernmentCloud" ref="Y749"/>
    <hyperlink r:id="rId3681" ref="AG749"/>
    <hyperlink r:id="rId3682" ref="AL749"/>
    <hyperlink r:id="rId3683" ref="T750"/>
    <hyperlink r:id="rId3684" ref="U750"/>
    <hyperlink r:id="rId3685" ref="Y750"/>
    <hyperlink r:id="rId3686" ref="AG750"/>
    <hyperlink r:id="rId3687" ref="AL750"/>
    <hyperlink r:id="rId3688" ref="T751"/>
    <hyperlink r:id="rId3689" ref="U751"/>
    <hyperlink r:id="rId3690" ref="Y751"/>
    <hyperlink r:id="rId3691" ref="AG751"/>
    <hyperlink r:id="rId3692" ref="AL751"/>
    <hyperlink r:id="rId3693" ref="T752"/>
    <hyperlink r:id="rId3694" ref="U752"/>
    <hyperlink r:id="rId3695" ref="Y752"/>
    <hyperlink r:id="rId3696" ref="AG752"/>
    <hyperlink r:id="rId3697" ref="AL752"/>
    <hyperlink r:id="rId3698" ref="T753"/>
    <hyperlink r:id="rId3699" ref="U753"/>
    <hyperlink r:id="rId3700" ref="Y753"/>
    <hyperlink r:id="rId3701" ref="AG753"/>
    <hyperlink r:id="rId3702" ref="AL753"/>
    <hyperlink r:id="rId3703" ref="T754"/>
    <hyperlink r:id="rId3704" ref="U754"/>
    <hyperlink r:id="rId3705" ref="Y754"/>
    <hyperlink r:id="rId3706" ref="AG754"/>
    <hyperlink r:id="rId3707" ref="AL754"/>
    <hyperlink r:id="rId3708" ref="T755"/>
    <hyperlink r:id="rId3709" ref="U755"/>
    <hyperlink r:id="rId3710" ref="Y755"/>
    <hyperlink r:id="rId3711" ref="AG755"/>
    <hyperlink r:id="rId3712" ref="AL755"/>
    <hyperlink r:id="rId3713" ref="T756"/>
    <hyperlink r:id="rId3714" ref="U756"/>
    <hyperlink r:id="rId3715" ref="Y756"/>
    <hyperlink r:id="rId3716" ref="AG756"/>
    <hyperlink r:id="rId3717" ref="AL756"/>
    <hyperlink r:id="rId3718" ref="T757"/>
    <hyperlink r:id="rId3719" ref="U757"/>
    <hyperlink r:id="rId3720" ref="X757"/>
    <hyperlink r:id="rId3721" ref="Y757"/>
    <hyperlink r:id="rId3722" ref="AG757"/>
    <hyperlink r:id="rId3723" ref="AL757"/>
    <hyperlink r:id="rId3724" ref="T758"/>
    <hyperlink r:id="rId3725" ref="U758"/>
    <hyperlink r:id="rId3726" ref="Y758"/>
    <hyperlink r:id="rId3727" ref="AG758"/>
    <hyperlink r:id="rId3728" ref="AL758"/>
    <hyperlink r:id="rId3729" ref="T759"/>
    <hyperlink r:id="rId3730" ref="U759"/>
    <hyperlink r:id="rId3731" ref="Y759"/>
    <hyperlink r:id="rId3732" ref="AG759"/>
    <hyperlink r:id="rId3733" ref="AL759"/>
    <hyperlink r:id="rId3734" ref="T760"/>
    <hyperlink r:id="rId3735" ref="U760"/>
    <hyperlink r:id="rId3736" ref="Y760"/>
    <hyperlink r:id="rId3737" ref="AG760"/>
    <hyperlink r:id="rId3738" ref="T761"/>
    <hyperlink r:id="rId3739" ref="U761"/>
    <hyperlink r:id="rId3740" ref="Y761"/>
    <hyperlink r:id="rId3741" ref="AG761"/>
    <hyperlink r:id="rId3742" ref="AL761"/>
    <hyperlink r:id="rId3743" ref="T762"/>
    <hyperlink r:id="rId3744" ref="U762"/>
    <hyperlink r:id="rId3745" ref="X762"/>
    <hyperlink r:id="rId3746" ref="Y762"/>
    <hyperlink r:id="rId3747" ref="AG762"/>
    <hyperlink r:id="rId3748" ref="AL762"/>
    <hyperlink r:id="rId3749" ref="T763"/>
    <hyperlink r:id="rId3750" ref="U763"/>
    <hyperlink r:id="rId3751" ref="Y763"/>
    <hyperlink r:id="rId3752" ref="AG763"/>
    <hyperlink r:id="rId3753" ref="AL763"/>
    <hyperlink r:id="rId3754" ref="T764"/>
    <hyperlink r:id="rId3755" ref="U764"/>
    <hyperlink r:id="rId3756" ref="Y764"/>
    <hyperlink r:id="rId3757" ref="AG764"/>
    <hyperlink r:id="rId3758" ref="AL764"/>
    <hyperlink r:id="rId3759" ref="T765"/>
    <hyperlink r:id="rId3760" ref="U765"/>
    <hyperlink r:id="rId3761" ref="Y765"/>
    <hyperlink r:id="rId3762" ref="AG765"/>
    <hyperlink r:id="rId3763" ref="AL765"/>
    <hyperlink r:id="rId3764" ref="T766"/>
    <hyperlink r:id="rId3765" ref="U766"/>
    <hyperlink r:id="rId3766" ref="Y766"/>
    <hyperlink r:id="rId3767" ref="AG766"/>
    <hyperlink r:id="rId3768" ref="AL766"/>
    <hyperlink r:id="rId3769" ref="T767"/>
    <hyperlink r:id="rId3770" ref="U767"/>
    <hyperlink r:id="rId3771" ref="Y767"/>
    <hyperlink r:id="rId3772" ref="AG767"/>
    <hyperlink r:id="rId3773" ref="AL767"/>
    <hyperlink r:id="rId3774" ref="T768"/>
    <hyperlink r:id="rId3775" ref="U768"/>
    <hyperlink r:id="rId3776" ref="Y768"/>
    <hyperlink r:id="rId3777" ref="AG768"/>
    <hyperlink r:id="rId3778" ref="AL768"/>
    <hyperlink r:id="rId3779" ref="T769"/>
    <hyperlink r:id="rId3780" ref="U769"/>
    <hyperlink r:id="rId3781" ref="Y769"/>
    <hyperlink r:id="rId3782" ref="AG769"/>
    <hyperlink r:id="rId3783" ref="AL769"/>
    <hyperlink r:id="rId3784" ref="T770"/>
    <hyperlink r:id="rId3785" ref="U770"/>
    <hyperlink r:id="rId3786" ref="Y770"/>
    <hyperlink r:id="rId3787" ref="AG770"/>
    <hyperlink r:id="rId3788" ref="AL770"/>
    <hyperlink r:id="rId3789" ref="T771"/>
    <hyperlink r:id="rId3790" ref="U771"/>
    <hyperlink r:id="rId3791" ref="Y771"/>
    <hyperlink r:id="rId3792" ref="AG771"/>
    <hyperlink r:id="rId3793" ref="AL771"/>
    <hyperlink r:id="rId3794" ref="T772"/>
    <hyperlink r:id="rId3795" ref="U772"/>
    <hyperlink r:id="rId3796" ref="Y772"/>
    <hyperlink r:id="rId3797" ref="AG772"/>
    <hyperlink r:id="rId3798" ref="AL772"/>
    <hyperlink r:id="rId3799" ref="T773"/>
    <hyperlink r:id="rId3800" ref="U773"/>
    <hyperlink r:id="rId3801" ref="Y773"/>
    <hyperlink r:id="rId3802" ref="AG773"/>
    <hyperlink r:id="rId3803" ref="AL773"/>
    <hyperlink r:id="rId3804" ref="T774"/>
    <hyperlink r:id="rId3805" ref="U774"/>
    <hyperlink r:id="rId3806" ref="Y774"/>
    <hyperlink r:id="rId3807" ref="AG774"/>
    <hyperlink r:id="rId3808" ref="AL774"/>
    <hyperlink r:id="rId3809" ref="T775"/>
    <hyperlink r:id="rId3810" ref="U775"/>
    <hyperlink r:id="rId3811" ref="Y775"/>
    <hyperlink r:id="rId3812" ref="AG775"/>
    <hyperlink r:id="rId3813" ref="AL775"/>
    <hyperlink r:id="rId3814" ref="T776"/>
    <hyperlink r:id="rId3815" ref="U776"/>
    <hyperlink r:id="rId3816" ref="Y776"/>
    <hyperlink r:id="rId3817" ref="AG776"/>
    <hyperlink r:id="rId3818" ref="AL776"/>
    <hyperlink r:id="rId3819" ref="T777"/>
    <hyperlink r:id="rId3820" ref="U777"/>
    <hyperlink r:id="rId3821" ref="Y777"/>
    <hyperlink r:id="rId3822" ref="AG777"/>
    <hyperlink r:id="rId3823" ref="AL777"/>
    <hyperlink r:id="rId3824" ref="T778"/>
    <hyperlink r:id="rId3825" ref="U778"/>
    <hyperlink r:id="rId3826" ref="Y778"/>
    <hyperlink r:id="rId3827" ref="AG778"/>
    <hyperlink r:id="rId3828" ref="AL778"/>
    <hyperlink r:id="rId3829" ref="T779"/>
    <hyperlink r:id="rId3830" ref="U779"/>
    <hyperlink r:id="rId3831" ref="Y779"/>
    <hyperlink r:id="rId3832" ref="AG779"/>
    <hyperlink r:id="rId3833" ref="AL779"/>
    <hyperlink r:id="rId3834" ref="T780"/>
    <hyperlink r:id="rId3835" ref="U780"/>
    <hyperlink r:id="rId3836" ref="Y780"/>
    <hyperlink r:id="rId3837" ref="AG780"/>
    <hyperlink r:id="rId3838" ref="AL780"/>
    <hyperlink r:id="rId3839" ref="T781"/>
    <hyperlink r:id="rId3840" ref="U781"/>
    <hyperlink r:id="rId3841" ref="Y781"/>
    <hyperlink r:id="rId3842" ref="AG781"/>
    <hyperlink r:id="rId3843" ref="AL781"/>
    <hyperlink r:id="rId3844" ref="T782"/>
    <hyperlink r:id="rId3845" ref="U782"/>
    <hyperlink r:id="rId3846" ref="Y782"/>
    <hyperlink r:id="rId3847" ref="AG782"/>
    <hyperlink r:id="rId3848" ref="AL782"/>
    <hyperlink r:id="rId3849" ref="T783"/>
    <hyperlink r:id="rId3850" ref="U783"/>
    <hyperlink r:id="rId3851" ref="Y783"/>
    <hyperlink r:id="rId3852" ref="AG783"/>
    <hyperlink r:id="rId3853" ref="AL783"/>
    <hyperlink r:id="rId3854" ref="T784"/>
    <hyperlink r:id="rId3855" ref="U784"/>
    <hyperlink r:id="rId3856" ref="Y784"/>
    <hyperlink r:id="rId3857" ref="AG784"/>
    <hyperlink r:id="rId3858" ref="AL784"/>
    <hyperlink r:id="rId3859" ref="T785"/>
    <hyperlink r:id="rId3860" ref="U785"/>
    <hyperlink r:id="rId3861" ref="Y785"/>
    <hyperlink r:id="rId3862" ref="AG785"/>
    <hyperlink r:id="rId3863" ref="AL785"/>
    <hyperlink r:id="rId3864" ref="T786"/>
    <hyperlink r:id="rId3865" ref="U786"/>
    <hyperlink r:id="rId3866" ref="Y786"/>
    <hyperlink r:id="rId3867" ref="AG786"/>
    <hyperlink r:id="rId3868" ref="AL786"/>
    <hyperlink r:id="rId3869" ref="Y787"/>
    <hyperlink r:id="rId3870" ref="AG787"/>
    <hyperlink r:id="rId3871" ref="AL787"/>
    <hyperlink r:id="rId3872" ref="Y788"/>
    <hyperlink r:id="rId3873" ref="AG788"/>
    <hyperlink r:id="rId3874" ref="AL788"/>
    <hyperlink r:id="rId3875" ref="T789"/>
    <hyperlink r:id="rId3876" ref="Y789"/>
    <hyperlink r:id="rId3877" ref="AG789"/>
    <hyperlink r:id="rId3878" ref="AL789"/>
    <hyperlink r:id="rId3879" ref="T790"/>
    <hyperlink r:id="rId3880" ref="Y790"/>
    <hyperlink r:id="rId3881" ref="AG790"/>
    <hyperlink r:id="rId3882" ref="AL790"/>
    <hyperlink r:id="rId3883" ref="T791"/>
    <hyperlink r:id="rId3884" ref="Y791"/>
    <hyperlink r:id="rId3885" ref="AG791"/>
    <hyperlink r:id="rId3886" ref="AL791"/>
    <hyperlink r:id="rId3887" ref="T792"/>
    <hyperlink r:id="rId3888" ref="Y792"/>
    <hyperlink r:id="rId3889" ref="AG792"/>
    <hyperlink r:id="rId3890" ref="T793"/>
    <hyperlink r:id="rId3891" ref="Y793"/>
    <hyperlink r:id="rId3892" ref="AG793"/>
    <hyperlink r:id="rId3893" ref="T794"/>
    <hyperlink r:id="rId3894" ref="Y794"/>
    <hyperlink r:id="rId3895" ref="AG794"/>
    <hyperlink r:id="rId3896" ref="AL794"/>
    <hyperlink r:id="rId3897" ref="T795"/>
    <hyperlink r:id="rId3898" ref="Y795"/>
    <hyperlink r:id="rId3899" ref="AG795"/>
    <hyperlink r:id="rId3900" ref="AL795"/>
    <hyperlink r:id="rId3901" ref="T796"/>
    <hyperlink r:id="rId3902" ref="Y796"/>
    <hyperlink r:id="rId3903" ref="AG796"/>
    <hyperlink r:id="rId3904" ref="AL796"/>
    <hyperlink r:id="rId3905" ref="T797"/>
    <hyperlink r:id="rId3906" ref="Y797"/>
    <hyperlink r:id="rId3907" ref="AG797"/>
    <hyperlink r:id="rId3908" ref="AL797"/>
    <hyperlink r:id="rId3909" ref="T798"/>
    <hyperlink r:id="rId3910" ref="Y798"/>
    <hyperlink r:id="rId3911" ref="AG798"/>
    <hyperlink r:id="rId3912" ref="AL798"/>
    <hyperlink r:id="rId3913" ref="T799"/>
    <hyperlink r:id="rId3914" ref="Y799"/>
    <hyperlink r:id="rId3915" ref="AG799"/>
    <hyperlink r:id="rId3916" ref="AL799"/>
    <hyperlink r:id="rId3917" ref="T800"/>
    <hyperlink r:id="rId3918" ref="Y800"/>
    <hyperlink r:id="rId3919" ref="AG800"/>
    <hyperlink r:id="rId3920" ref="AL800"/>
    <hyperlink r:id="rId3921" ref="T801"/>
    <hyperlink r:id="rId3922" ref="Y801"/>
    <hyperlink r:id="rId3923" ref="AG801"/>
    <hyperlink r:id="rId3924" ref="AL801"/>
    <hyperlink r:id="rId3925" ref="Y802"/>
    <hyperlink r:id="rId3926" ref="AG802"/>
    <hyperlink r:id="rId3927" ref="AL802"/>
    <hyperlink r:id="rId3928" ref="T803"/>
    <hyperlink r:id="rId3929" ref="Y803"/>
    <hyperlink r:id="rId3930" ref="AG803"/>
    <hyperlink r:id="rId3931" ref="T804"/>
    <hyperlink r:id="rId3932" ref="Y804"/>
    <hyperlink r:id="rId3933" ref="AG804"/>
    <hyperlink r:id="rId3934" ref="AL804"/>
    <hyperlink r:id="rId3935" ref="T805"/>
    <hyperlink r:id="rId3936" ref="Y805"/>
    <hyperlink r:id="rId3937" ref="AG805"/>
    <hyperlink r:id="rId3938" ref="T806"/>
    <hyperlink r:id="rId3939" ref="U806"/>
    <hyperlink r:id="rId3940" ref="Y806"/>
    <hyperlink r:id="rId3941" ref="AG806"/>
    <hyperlink r:id="rId3942" ref="AL806"/>
    <hyperlink r:id="rId3943" ref="T807"/>
    <hyperlink r:id="rId3944" ref="Y807"/>
    <hyperlink r:id="rId3945" ref="AG807"/>
    <hyperlink r:id="rId3946" ref="AL807"/>
    <hyperlink r:id="rId3947" ref="T808"/>
    <hyperlink r:id="rId3948" ref="U808"/>
    <hyperlink r:id="rId3949" ref="Y808"/>
    <hyperlink r:id="rId3950" ref="AG808"/>
    <hyperlink r:id="rId3951" ref="AL808"/>
    <hyperlink r:id="rId3952" ref="T809"/>
    <hyperlink r:id="rId3953" ref="Y809"/>
    <hyperlink r:id="rId3954" ref="AG809"/>
    <hyperlink r:id="rId3955" ref="Y810"/>
    <hyperlink r:id="rId3956" ref="AG810"/>
    <hyperlink r:id="rId3957" ref="AL810"/>
    <hyperlink r:id="rId3958" ref="T811"/>
    <hyperlink r:id="rId3959" ref="Y811"/>
    <hyperlink r:id="rId3960" ref="AG811"/>
    <hyperlink r:id="rId3961" ref="AL811"/>
    <hyperlink r:id="rId3962" ref="T812"/>
    <hyperlink r:id="rId3963" ref="Y812"/>
    <hyperlink r:id="rId3964" ref="AG812"/>
    <hyperlink r:id="rId3965" ref="AL812"/>
    <hyperlink r:id="rId3966" ref="AG813"/>
    <hyperlink r:id="rId3967" ref="AL813"/>
    <hyperlink r:id="rId3968" ref="Y814"/>
    <hyperlink r:id="rId3969" ref="AG814"/>
    <hyperlink r:id="rId3970" ref="AL814"/>
    <hyperlink r:id="rId3971" ref="Y815"/>
    <hyperlink r:id="rId3972" ref="AG815"/>
    <hyperlink r:id="rId3973" ref="AL815"/>
    <hyperlink r:id="rId3974" ref="T816"/>
    <hyperlink r:id="rId3975" ref="Y816"/>
    <hyperlink r:id="rId3976" ref="AG816"/>
    <hyperlink r:id="rId3977" ref="T817"/>
    <hyperlink r:id="rId3978" ref="Y817"/>
    <hyperlink r:id="rId3979" ref="AG817"/>
    <hyperlink r:id="rId3980" ref="AL817"/>
    <hyperlink r:id="rId3981" ref="Y818"/>
    <hyperlink r:id="rId3982" ref="AG818"/>
    <hyperlink r:id="rId3983" ref="AL818"/>
    <hyperlink r:id="rId3984" ref="T819"/>
    <hyperlink r:id="rId3985" ref="Y819"/>
    <hyperlink r:id="rId3986" ref="AG819"/>
    <hyperlink r:id="rId3987" ref="Y820"/>
    <hyperlink r:id="rId3988" ref="AG820"/>
    <hyperlink r:id="rId3989" ref="AL820"/>
    <hyperlink r:id="rId3990" ref="Y821"/>
    <hyperlink r:id="rId3991" ref="AG821"/>
    <hyperlink r:id="rId3992" ref="AL821"/>
    <hyperlink r:id="rId3993" ref="T822"/>
    <hyperlink r:id="rId3994" ref="Y822"/>
    <hyperlink r:id="rId3995" ref="AG822"/>
    <hyperlink r:id="rId3996" ref="AG823"/>
    <hyperlink r:id="rId3997" ref="AL823"/>
    <hyperlink r:id="rId3998" ref="T824"/>
    <hyperlink r:id="rId3999" ref="Y824"/>
    <hyperlink r:id="rId4000" ref="AG824"/>
    <hyperlink r:id="rId4001" ref="AL824"/>
    <hyperlink r:id="rId4002" ref="B825"/>
    <hyperlink r:id="rId4003" ref="T825"/>
    <hyperlink r:id="rId4004" ref="Y825"/>
    <hyperlink r:id="rId4005" ref="AG825"/>
    <hyperlink r:id="rId4006" ref="Y826"/>
    <hyperlink r:id="rId4007" ref="AG826"/>
    <hyperlink r:id="rId4008" ref="AL826"/>
    <hyperlink r:id="rId4009" ref="Y827"/>
    <hyperlink r:id="rId4010" ref="AG827"/>
    <hyperlink r:id="rId4011" ref="AL827"/>
    <hyperlink r:id="rId4012" ref="T828"/>
    <hyperlink r:id="rId4013" ref="Y828"/>
    <hyperlink r:id="rId4014" ref="AG828"/>
    <hyperlink r:id="rId4015" ref="AL828"/>
    <hyperlink r:id="rId4016" ref="T829"/>
    <hyperlink r:id="rId4017" ref="Y829"/>
    <hyperlink r:id="rId4018" ref="AG829"/>
    <hyperlink r:id="rId4019" ref="T830"/>
    <hyperlink r:id="rId4020" ref="Y830"/>
    <hyperlink r:id="rId4021" ref="AG830"/>
    <hyperlink r:id="rId4022" ref="AL830"/>
    <hyperlink r:id="rId4023" ref="T831"/>
    <hyperlink r:id="rId4024" ref="Y831"/>
    <hyperlink r:id="rId4025" ref="AG831"/>
    <hyperlink r:id="rId4026" ref="T832"/>
    <hyperlink r:id="rId4027" ref="Y832"/>
    <hyperlink r:id="rId4028" ref="AG832"/>
    <hyperlink r:id="rId4029" ref="AL832"/>
    <hyperlink r:id="rId4030" ref="T833"/>
    <hyperlink r:id="rId4031" ref="Y833"/>
    <hyperlink r:id="rId4032" ref="AG833"/>
    <hyperlink r:id="rId4033" ref="AL833"/>
    <hyperlink r:id="rId4034" ref="T834"/>
    <hyperlink r:id="rId4035" ref="Y834"/>
    <hyperlink r:id="rId4036" ref="AG834"/>
    <hyperlink r:id="rId4037" ref="Y835"/>
    <hyperlink r:id="rId4038" ref="AG835"/>
    <hyperlink r:id="rId4039" ref="AL835"/>
    <hyperlink r:id="rId4040" ref="T836"/>
    <hyperlink r:id="rId4041" ref="Y836"/>
    <hyperlink r:id="rId4042" ref="AG836"/>
    <hyperlink r:id="rId4043" ref="T837"/>
    <hyperlink r:id="rId4044" ref="Y837"/>
    <hyperlink r:id="rId4045" ref="AG837"/>
    <hyperlink r:id="rId4046" ref="AL837"/>
    <hyperlink r:id="rId4047" ref="T838"/>
    <hyperlink r:id="rId4048" ref="Y838"/>
    <hyperlink r:id="rId4049" ref="AG838"/>
    <hyperlink r:id="rId4050" ref="T839"/>
    <hyperlink r:id="rId4051" ref="Y839"/>
    <hyperlink r:id="rId4052" ref="AG839"/>
    <hyperlink r:id="rId4053" ref="AL839"/>
    <hyperlink r:id="rId4054" ref="Y840"/>
    <hyperlink r:id="rId4055" ref="AG840"/>
    <hyperlink r:id="rId4056" ref="AL840"/>
    <hyperlink r:id="rId4057" ref="Y841"/>
    <hyperlink r:id="rId4058" ref="AG841"/>
    <hyperlink r:id="rId4059" ref="AL841"/>
    <hyperlink r:id="rId4060" ref="T842"/>
    <hyperlink r:id="rId4061" ref="U842"/>
    <hyperlink r:id="rId4062" ref="Y842"/>
    <hyperlink r:id="rId4063" ref="AG842"/>
    <hyperlink r:id="rId4064" ref="AL842"/>
    <hyperlink r:id="rId4065" ref="AG843"/>
    <hyperlink r:id="rId4066" ref="AL843"/>
    <hyperlink r:id="rId4067" ref="T844"/>
    <hyperlink r:id="rId4068" ref="Y844"/>
    <hyperlink r:id="rId4069" ref="AG844"/>
    <hyperlink r:id="rId4070" ref="AL844"/>
    <hyperlink r:id="rId4071" ref="T845"/>
    <hyperlink r:id="rId4072" ref="AG845"/>
    <hyperlink r:id="rId4073" ref="AL845"/>
    <hyperlink r:id="rId4074" ref="Y846"/>
    <hyperlink r:id="rId4075" ref="AG846"/>
    <hyperlink r:id="rId4076" ref="AL846"/>
    <hyperlink r:id="rId4077" ref="Y847"/>
    <hyperlink r:id="rId4078" ref="AG847"/>
    <hyperlink r:id="rId4079" ref="AL847"/>
    <hyperlink r:id="rId4080" ref="T848"/>
    <hyperlink r:id="rId4081" ref="Y848"/>
    <hyperlink r:id="rId4082" ref="AG848"/>
    <hyperlink r:id="rId4083" ref="AL848"/>
    <hyperlink r:id="rId4084" ref="T849"/>
    <hyperlink r:id="rId4085" ref="Y849"/>
    <hyperlink r:id="rId4086" ref="AG849"/>
    <hyperlink r:id="rId4087" ref="Y850"/>
    <hyperlink r:id="rId4088" ref="AG850"/>
    <hyperlink r:id="rId4089" ref="AL850"/>
    <hyperlink r:id="rId4090" ref="T851"/>
    <hyperlink r:id="rId4091" ref="U851"/>
    <hyperlink r:id="rId4092" ref="Y851"/>
    <hyperlink r:id="rId4093" ref="AG851"/>
    <hyperlink r:id="rId4094" ref="AL851"/>
    <hyperlink r:id="rId4095" ref="T852"/>
    <hyperlink r:id="rId4096" ref="Y852"/>
    <hyperlink r:id="rId4097" ref="AG852"/>
    <hyperlink r:id="rId4098" ref="T853"/>
    <hyperlink r:id="rId4099" ref="Y853"/>
    <hyperlink r:id="rId4100" ref="AG853"/>
    <hyperlink r:id="rId4101" ref="AL853"/>
    <hyperlink r:id="rId4102" ref="T854"/>
    <hyperlink r:id="rId4103" ref="Y854"/>
    <hyperlink r:id="rId4104" ref="AG854"/>
    <hyperlink r:id="rId4105" ref="T855"/>
    <hyperlink r:id="rId4106" ref="Y855"/>
    <hyperlink r:id="rId4107" ref="AG855"/>
    <hyperlink r:id="rId4108" ref="AL855"/>
    <hyperlink r:id="rId4109" ref="T856"/>
    <hyperlink r:id="rId4110" ref="Y856"/>
    <hyperlink r:id="rId4111" ref="AG856"/>
    <hyperlink r:id="rId4112" ref="AL856"/>
    <hyperlink r:id="rId4113" ref="Y857"/>
    <hyperlink r:id="rId4114" ref="AG857"/>
    <hyperlink r:id="rId4115" ref="AL857"/>
    <hyperlink r:id="rId4116" ref="T858"/>
    <hyperlink r:id="rId4117" ref="Y858"/>
    <hyperlink r:id="rId4118" ref="AG858"/>
    <hyperlink r:id="rId4119" ref="T859"/>
    <hyperlink r:id="rId4120" ref="Y859"/>
    <hyperlink r:id="rId4121" ref="AG859"/>
    <hyperlink r:id="rId4122" ref="T860"/>
    <hyperlink r:id="rId4123" ref="Y860"/>
    <hyperlink r:id="rId4124" ref="AG860"/>
    <hyperlink r:id="rId4125" ref="AL860"/>
    <hyperlink r:id="rId4126" ref="T861"/>
    <hyperlink r:id="rId4127" ref="Y861"/>
    <hyperlink r:id="rId4128" ref="AG861"/>
    <hyperlink r:id="rId4129" ref="Y862"/>
    <hyperlink r:id="rId4130" ref="AG862"/>
    <hyperlink r:id="rId4131" ref="T863"/>
    <hyperlink r:id="rId4132" ref="U863"/>
    <hyperlink r:id="rId4133" ref="Y863"/>
    <hyperlink r:id="rId4134" ref="AG863"/>
    <hyperlink r:id="rId4135" ref="AL863"/>
    <hyperlink r:id="rId4136" ref="T864"/>
    <hyperlink r:id="rId4137" ref="Y864"/>
    <hyperlink r:id="rId4138" ref="AG864"/>
    <hyperlink r:id="rId4139" ref="AL864"/>
    <hyperlink r:id="rId4140" ref="T865"/>
    <hyperlink r:id="rId4141" ref="Y865"/>
    <hyperlink r:id="rId4142" ref="AG865"/>
    <hyperlink r:id="rId4143" ref="AL865"/>
    <hyperlink r:id="rId4144" ref="T866"/>
    <hyperlink r:id="rId4145" ref="Y866"/>
    <hyperlink r:id="rId4146" ref="AG866"/>
    <hyperlink r:id="rId4147" ref="AL866"/>
    <hyperlink r:id="rId4148" ref="Y867"/>
    <hyperlink r:id="rId4149" ref="AG867"/>
    <hyperlink r:id="rId4150" ref="AL867"/>
    <hyperlink r:id="rId4151" ref="T868"/>
    <hyperlink r:id="rId4152" ref="Y868"/>
    <hyperlink r:id="rId4153" ref="AG868"/>
    <hyperlink r:id="rId4154" ref="T869"/>
    <hyperlink r:id="rId4155" ref="Y869"/>
    <hyperlink r:id="rId4156" ref="AG869"/>
    <hyperlink r:id="rId4157" ref="Y870"/>
    <hyperlink r:id="rId4158" ref="AG870"/>
    <hyperlink r:id="rId4159" ref="AL870"/>
    <hyperlink r:id="rId4160" ref="T871"/>
    <hyperlink r:id="rId4161" ref="Y871"/>
    <hyperlink r:id="rId4162" ref="AG871"/>
    <hyperlink r:id="rId4163" ref="AL871"/>
    <hyperlink r:id="rId4164" ref="T872"/>
    <hyperlink r:id="rId4165" ref="Y872"/>
    <hyperlink r:id="rId4166" ref="AG872"/>
    <hyperlink r:id="rId4167" ref="AL872"/>
    <hyperlink r:id="rId4168" ref="T873"/>
    <hyperlink r:id="rId4169" ref="Y873"/>
    <hyperlink r:id="rId4170" ref="AG873"/>
    <hyperlink r:id="rId4171" ref="AL873"/>
    <hyperlink r:id="rId4172" ref="Y874"/>
    <hyperlink r:id="rId4173" ref="AG874"/>
    <hyperlink r:id="rId4174" ref="AL874"/>
  </hyperlinks>
  <drawing r:id="rId4175"/>
  <legacyDrawing r:id="rId41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3" max="3" width="20.67"/>
    <col customWidth="1" min="4" max="4" width="15.67"/>
    <col customWidth="1" min="5" max="5" width="30.11"/>
    <col customWidth="1" min="15" max="15" width="22.22"/>
    <col customWidth="1" min="16" max="16" width="17.89"/>
    <col customWidth="1" min="17" max="17" width="16.44"/>
    <col customWidth="1" min="18" max="18" width="21.0"/>
    <col customWidth="1" min="19" max="19" width="18.56"/>
    <col customWidth="1" min="21" max="22" width="17.89"/>
    <col customWidth="1" min="26" max="26" width="20.67"/>
  </cols>
  <sheetData>
    <row r="1">
      <c r="A1" s="3" t="s">
        <v>1</v>
      </c>
      <c r="B1" s="5" t="s">
        <v>9</v>
      </c>
      <c r="C1" s="6" t="s">
        <v>15</v>
      </c>
      <c r="D1" s="5" t="s">
        <v>16</v>
      </c>
      <c r="E1" s="5" t="s">
        <v>17</v>
      </c>
      <c r="F1" s="7" t="s">
        <v>18</v>
      </c>
      <c r="G1" s="9" t="s">
        <v>19</v>
      </c>
      <c r="H1" s="7" t="s">
        <v>25</v>
      </c>
      <c r="I1" s="11" t="s">
        <v>26</v>
      </c>
      <c r="J1" s="6" t="s">
        <v>29</v>
      </c>
      <c r="K1" s="12" t="s">
        <v>30</v>
      </c>
      <c r="L1" s="12" t="s">
        <v>31</v>
      </c>
      <c r="M1" s="12" t="s">
        <v>32</v>
      </c>
      <c r="N1" s="12" t="s">
        <v>33</v>
      </c>
      <c r="O1" s="12" t="s">
        <v>34</v>
      </c>
      <c r="P1" s="12" t="s">
        <v>35</v>
      </c>
      <c r="Q1" s="14" t="s">
        <v>36</v>
      </c>
      <c r="R1" s="12" t="s">
        <v>44</v>
      </c>
      <c r="S1" s="12" t="s">
        <v>46</v>
      </c>
      <c r="T1" s="12" t="s">
        <v>48</v>
      </c>
      <c r="U1" s="12" t="s">
        <v>49</v>
      </c>
      <c r="V1" s="15" t="s">
        <v>50</v>
      </c>
      <c r="W1" s="16" t="s">
        <v>52</v>
      </c>
      <c r="X1" s="16" t="s">
        <v>53</v>
      </c>
      <c r="Y1" s="16" t="s">
        <v>54</v>
      </c>
      <c r="Z1" s="16" t="s">
        <v>55</v>
      </c>
    </row>
    <row r="2">
      <c r="A2" s="18">
        <v>138665.0</v>
      </c>
      <c r="B2" s="20">
        <v>3837.01</v>
      </c>
      <c r="C2" s="22" t="s">
        <v>66</v>
      </c>
      <c r="D2" s="23" t="s">
        <v>67</v>
      </c>
      <c r="E2" s="24" t="s">
        <v>68</v>
      </c>
      <c r="F2" s="25">
        <v>42073.0</v>
      </c>
      <c r="G2" s="26">
        <v>42201.0</v>
      </c>
      <c r="H2" s="25">
        <v>43008.0</v>
      </c>
      <c r="I2" s="28">
        <v>41568.0</v>
      </c>
      <c r="J2" s="29" t="s">
        <v>70</v>
      </c>
      <c r="K2" s="31" t="s">
        <v>71</v>
      </c>
      <c r="L2" s="33" t="s">
        <v>74</v>
      </c>
      <c r="M2" s="33">
        <v>2009.0</v>
      </c>
      <c r="N2" s="31" t="s">
        <v>76</v>
      </c>
      <c r="O2" s="24" t="s">
        <v>77</v>
      </c>
      <c r="P2" s="24" t="s">
        <v>78</v>
      </c>
      <c r="Q2" s="33" t="s">
        <v>79</v>
      </c>
      <c r="R2" s="33" t="s">
        <v>80</v>
      </c>
      <c r="S2" s="24" t="s">
        <v>81</v>
      </c>
      <c r="T2" s="24" t="s">
        <v>82</v>
      </c>
      <c r="U2" s="35" t="s">
        <v>83</v>
      </c>
      <c r="V2" s="33" t="s">
        <v>80</v>
      </c>
      <c r="W2" s="40" t="s">
        <v>80</v>
      </c>
      <c r="X2" s="40" t="s">
        <v>74</v>
      </c>
      <c r="Y2" s="40" t="s">
        <v>80</v>
      </c>
      <c r="Z2" s="40" t="s">
        <v>94</v>
      </c>
    </row>
    <row r="3">
      <c r="A3" s="18">
        <v>137932.0</v>
      </c>
      <c r="B3" s="23">
        <v>3728.01</v>
      </c>
      <c r="C3" s="22" t="s">
        <v>95</v>
      </c>
      <c r="D3" s="23" t="s">
        <v>96</v>
      </c>
      <c r="E3" s="24" t="s">
        <v>97</v>
      </c>
      <c r="F3" s="25">
        <v>41876.0</v>
      </c>
      <c r="G3" s="26">
        <v>42277.0</v>
      </c>
      <c r="H3" s="25">
        <v>43039.0</v>
      </c>
      <c r="I3" s="28">
        <v>42277.0</v>
      </c>
      <c r="J3" s="29" t="s">
        <v>70</v>
      </c>
      <c r="K3" s="31" t="s">
        <v>98</v>
      </c>
      <c r="L3" s="33" t="s">
        <v>74</v>
      </c>
      <c r="M3" s="33">
        <v>2011.0</v>
      </c>
      <c r="N3" s="31" t="s">
        <v>99</v>
      </c>
      <c r="O3" s="24" t="s">
        <v>100</v>
      </c>
      <c r="P3" s="24" t="s">
        <v>101</v>
      </c>
      <c r="Q3" s="33" t="s">
        <v>102</v>
      </c>
      <c r="R3" s="33" t="s">
        <v>80</v>
      </c>
      <c r="S3" s="24" t="s">
        <v>103</v>
      </c>
      <c r="T3" s="24" t="s">
        <v>102</v>
      </c>
      <c r="U3" s="35" t="s">
        <v>104</v>
      </c>
      <c r="V3" s="33" t="s">
        <v>80</v>
      </c>
      <c r="W3" s="43" t="s">
        <v>80</v>
      </c>
      <c r="X3" s="43" t="s">
        <v>74</v>
      </c>
      <c r="Y3" s="43" t="s">
        <v>80</v>
      </c>
      <c r="Z3" s="40" t="s">
        <v>108</v>
      </c>
    </row>
    <row r="4">
      <c r="A4" s="18">
        <v>138508.0</v>
      </c>
      <c r="B4" s="23">
        <v>3848.01</v>
      </c>
      <c r="C4" s="44" t="s">
        <v>109</v>
      </c>
      <c r="D4" s="24" t="s">
        <v>110</v>
      </c>
      <c r="E4" s="24" t="s">
        <v>111</v>
      </c>
      <c r="F4" s="46">
        <v>42089.0</v>
      </c>
      <c r="G4" s="26">
        <v>42361.0</v>
      </c>
      <c r="H4" s="25">
        <v>43131.0</v>
      </c>
      <c r="I4" s="52">
        <v>42361.0</v>
      </c>
      <c r="J4" s="29" t="s">
        <v>70</v>
      </c>
      <c r="K4" s="59" t="s">
        <v>120</v>
      </c>
      <c r="L4" s="33" t="s">
        <v>74</v>
      </c>
      <c r="M4" s="33">
        <v>2001.0</v>
      </c>
      <c r="N4" s="31" t="s">
        <v>123</v>
      </c>
      <c r="O4" s="24" t="s">
        <v>124</v>
      </c>
      <c r="P4" s="24" t="s">
        <v>125</v>
      </c>
      <c r="Q4" s="33" t="s">
        <v>126</v>
      </c>
      <c r="R4" s="33" t="s">
        <v>80</v>
      </c>
      <c r="S4" s="24" t="s">
        <v>127</v>
      </c>
      <c r="T4" s="24" t="s">
        <v>128</v>
      </c>
      <c r="U4" s="62" t="s">
        <v>129</v>
      </c>
      <c r="V4" s="33" t="s">
        <v>80</v>
      </c>
      <c r="W4" s="43" t="s">
        <v>80</v>
      </c>
      <c r="X4" s="43" t="s">
        <v>74</v>
      </c>
      <c r="Y4" s="43" t="s">
        <v>80</v>
      </c>
      <c r="Z4" s="40" t="s">
        <v>133</v>
      </c>
    </row>
    <row r="5">
      <c r="A5" s="18">
        <v>136849.0</v>
      </c>
      <c r="B5" s="23">
        <v>3613.01</v>
      </c>
      <c r="C5" s="44" t="s">
        <v>134</v>
      </c>
      <c r="D5" s="23" t="s">
        <v>135</v>
      </c>
      <c r="E5" s="24" t="s">
        <v>136</v>
      </c>
      <c r="F5" s="64">
        <v>41669.0</v>
      </c>
      <c r="G5" s="26">
        <v>41841.0</v>
      </c>
      <c r="H5" s="25">
        <v>42643.0</v>
      </c>
      <c r="I5" s="52">
        <v>41841.0</v>
      </c>
      <c r="J5" s="29" t="s">
        <v>70</v>
      </c>
      <c r="K5" s="31" t="s">
        <v>144</v>
      </c>
      <c r="L5" s="33" t="s">
        <v>74</v>
      </c>
      <c r="M5" s="33">
        <v>1914.0</v>
      </c>
      <c r="N5" s="31" t="s">
        <v>145</v>
      </c>
      <c r="O5" s="24" t="s">
        <v>148</v>
      </c>
      <c r="P5" s="24" t="s">
        <v>150</v>
      </c>
      <c r="Q5" s="33" t="s">
        <v>151</v>
      </c>
      <c r="R5" s="33" t="s">
        <v>80</v>
      </c>
      <c r="S5" s="24" t="s">
        <v>152</v>
      </c>
      <c r="T5" s="24" t="s">
        <v>153</v>
      </c>
      <c r="U5" s="35" t="s">
        <v>154</v>
      </c>
      <c r="V5" s="33" t="s">
        <v>80</v>
      </c>
      <c r="W5" s="43" t="s">
        <v>80</v>
      </c>
      <c r="X5" s="43" t="s">
        <v>74</v>
      </c>
      <c r="Y5" s="43" t="s">
        <v>74</v>
      </c>
      <c r="Z5" s="40" t="s">
        <v>155</v>
      </c>
    </row>
    <row r="6">
      <c r="A6" s="18">
        <v>137407.0</v>
      </c>
      <c r="B6" s="20">
        <v>3771.01</v>
      </c>
      <c r="C6" s="44" t="s">
        <v>156</v>
      </c>
      <c r="D6" s="23" t="s">
        <v>157</v>
      </c>
      <c r="E6" s="23" t="s">
        <v>160</v>
      </c>
      <c r="F6" s="25">
        <v>41960.0</v>
      </c>
      <c r="G6" s="26">
        <v>42102.0</v>
      </c>
      <c r="H6" s="25">
        <v>42886.0</v>
      </c>
      <c r="I6" s="28">
        <v>42503.0</v>
      </c>
      <c r="J6" s="29" t="s">
        <v>70</v>
      </c>
      <c r="K6" s="31" t="s">
        <v>161</v>
      </c>
      <c r="L6" s="33" t="s">
        <v>74</v>
      </c>
      <c r="M6" s="33">
        <v>1982.0</v>
      </c>
      <c r="N6" s="31" t="s">
        <v>162</v>
      </c>
      <c r="O6" s="24" t="s">
        <v>163</v>
      </c>
      <c r="P6" s="24" t="s">
        <v>165</v>
      </c>
      <c r="Q6" s="33" t="s">
        <v>102</v>
      </c>
      <c r="R6" s="33" t="s">
        <v>80</v>
      </c>
      <c r="S6" s="24" t="s">
        <v>167</v>
      </c>
      <c r="T6" s="24" t="s">
        <v>169</v>
      </c>
      <c r="U6" s="35" t="s">
        <v>170</v>
      </c>
      <c r="V6" s="33" t="s">
        <v>80</v>
      </c>
      <c r="W6" s="43" t="s">
        <v>74</v>
      </c>
      <c r="X6" s="43" t="s">
        <v>74</v>
      </c>
      <c r="Y6" s="43" t="s">
        <v>74</v>
      </c>
      <c r="Z6" s="40" t="s">
        <v>171</v>
      </c>
    </row>
    <row r="7">
      <c r="A7" s="18">
        <v>136853.0</v>
      </c>
      <c r="B7" s="20">
        <v>3853.01</v>
      </c>
      <c r="C7" s="44" t="s">
        <v>172</v>
      </c>
      <c r="D7" s="23" t="s">
        <v>173</v>
      </c>
      <c r="E7" s="69" t="s">
        <v>174</v>
      </c>
      <c r="F7" s="25">
        <v>42094.0</v>
      </c>
      <c r="G7" s="70">
        <v>42308.0</v>
      </c>
      <c r="H7" s="25">
        <v>43039.0</v>
      </c>
      <c r="I7" s="28">
        <v>42308.0</v>
      </c>
      <c r="J7" s="29" t="s">
        <v>70</v>
      </c>
      <c r="K7" s="31" t="s">
        <v>178</v>
      </c>
      <c r="L7" s="33" t="s">
        <v>74</v>
      </c>
      <c r="M7" s="33">
        <v>1986.0</v>
      </c>
      <c r="N7" s="59" t="s">
        <v>179</v>
      </c>
      <c r="O7" s="35" t="s">
        <v>180</v>
      </c>
      <c r="P7" s="35" t="s">
        <v>181</v>
      </c>
      <c r="Q7" s="33" t="s">
        <v>102</v>
      </c>
      <c r="R7" s="33" t="s">
        <v>80</v>
      </c>
      <c r="S7" s="35" t="s">
        <v>182</v>
      </c>
      <c r="T7" s="24" t="s">
        <v>183</v>
      </c>
      <c r="U7" s="35" t="s">
        <v>184</v>
      </c>
      <c r="V7" s="72" t="s">
        <v>80</v>
      </c>
      <c r="W7" s="43" t="s">
        <v>80</v>
      </c>
      <c r="X7" s="43" t="s">
        <v>74</v>
      </c>
      <c r="Y7" s="43" t="s">
        <v>80</v>
      </c>
      <c r="Z7" s="40" t="s">
        <v>185</v>
      </c>
    </row>
    <row r="8">
      <c r="A8" s="75">
        <v>136682.0</v>
      </c>
      <c r="B8" s="76">
        <v>3670.01</v>
      </c>
      <c r="C8" s="22" t="s">
        <v>194</v>
      </c>
      <c r="D8" s="78" t="s">
        <v>195</v>
      </c>
      <c r="E8" s="79" t="s">
        <v>199</v>
      </c>
      <c r="F8" s="80">
        <v>41765.0</v>
      </c>
      <c r="G8" s="70">
        <v>42605.0</v>
      </c>
      <c r="H8" s="81">
        <v>43373.0</v>
      </c>
      <c r="I8" s="28">
        <v>42622.0</v>
      </c>
      <c r="J8" s="82" t="s">
        <v>70</v>
      </c>
      <c r="K8" s="31" t="s">
        <v>207</v>
      </c>
      <c r="L8" s="33" t="s">
        <v>74</v>
      </c>
      <c r="M8" s="33">
        <v>1990.0</v>
      </c>
      <c r="N8" s="59" t="s">
        <v>209</v>
      </c>
      <c r="O8" s="35" t="s">
        <v>212</v>
      </c>
      <c r="P8" s="35" t="s">
        <v>215</v>
      </c>
      <c r="Q8" s="33" t="s">
        <v>102</v>
      </c>
      <c r="R8" s="33" t="s">
        <v>80</v>
      </c>
      <c r="S8" s="35" t="s">
        <v>216</v>
      </c>
      <c r="T8" s="35" t="s">
        <v>217</v>
      </c>
      <c r="U8" s="35" t="s">
        <v>219</v>
      </c>
      <c r="V8" s="72" t="s">
        <v>80</v>
      </c>
      <c r="W8" s="43"/>
      <c r="X8" s="43"/>
      <c r="Y8" s="43"/>
      <c r="Z8" s="40"/>
    </row>
    <row r="9">
      <c r="A9" s="18">
        <v>138514.0</v>
      </c>
      <c r="B9" s="86" t="s">
        <v>222</v>
      </c>
      <c r="C9" s="44" t="s">
        <v>113</v>
      </c>
      <c r="D9" s="24" t="s">
        <v>224</v>
      </c>
      <c r="E9" s="88" t="s">
        <v>225</v>
      </c>
      <c r="F9" s="89">
        <v>42033.0</v>
      </c>
      <c r="G9" s="26">
        <v>41933.0</v>
      </c>
      <c r="H9" s="25">
        <v>42978.0</v>
      </c>
      <c r="I9" s="52">
        <v>42202.0</v>
      </c>
      <c r="J9" s="29" t="s">
        <v>70</v>
      </c>
      <c r="K9" s="31" t="s">
        <v>227</v>
      </c>
      <c r="L9" s="33" t="s">
        <v>74</v>
      </c>
      <c r="M9" s="33">
        <v>2001.0</v>
      </c>
      <c r="N9" s="31" t="s">
        <v>229</v>
      </c>
      <c r="O9" s="24" t="s">
        <v>231</v>
      </c>
      <c r="P9" s="24" t="s">
        <v>233</v>
      </c>
      <c r="Q9" s="33" t="s">
        <v>234</v>
      </c>
      <c r="R9" s="33" t="s">
        <v>80</v>
      </c>
      <c r="S9" s="24" t="s">
        <v>236</v>
      </c>
      <c r="T9" s="24" t="s">
        <v>237</v>
      </c>
      <c r="U9" s="35" t="s">
        <v>238</v>
      </c>
      <c r="V9" s="33" t="s">
        <v>80</v>
      </c>
      <c r="W9" s="43" t="s">
        <v>80</v>
      </c>
      <c r="X9" s="43" t="s">
        <v>74</v>
      </c>
      <c r="Y9" s="43" t="s">
        <v>80</v>
      </c>
      <c r="Z9" s="40" t="s">
        <v>239</v>
      </c>
    </row>
    <row r="10">
      <c r="A10" s="18">
        <v>137385.0</v>
      </c>
      <c r="B10" s="20">
        <v>3777.01</v>
      </c>
      <c r="C10" s="44" t="s">
        <v>240</v>
      </c>
      <c r="D10" s="24" t="s">
        <v>241</v>
      </c>
      <c r="E10" s="24" t="s">
        <v>242</v>
      </c>
      <c r="F10" s="89">
        <v>41967.0</v>
      </c>
      <c r="G10" s="26">
        <v>42209.0</v>
      </c>
      <c r="H10" s="25">
        <v>42978.0</v>
      </c>
      <c r="I10" s="28">
        <v>41375.0</v>
      </c>
      <c r="J10" s="29" t="s">
        <v>70</v>
      </c>
      <c r="K10" s="31" t="s">
        <v>244</v>
      </c>
      <c r="L10" s="33" t="s">
        <v>74</v>
      </c>
      <c r="M10" s="33">
        <v>2004.0</v>
      </c>
      <c r="N10" s="31" t="s">
        <v>245</v>
      </c>
      <c r="O10" s="24" t="s">
        <v>247</v>
      </c>
      <c r="P10" s="24" t="s">
        <v>249</v>
      </c>
      <c r="Q10" s="33" t="s">
        <v>250</v>
      </c>
      <c r="R10" s="33" t="s">
        <v>80</v>
      </c>
      <c r="S10" s="24" t="s">
        <v>252</v>
      </c>
      <c r="T10" s="24" t="s">
        <v>253</v>
      </c>
      <c r="U10" s="35" t="s">
        <v>254</v>
      </c>
      <c r="V10" s="33" t="s">
        <v>80</v>
      </c>
      <c r="W10" s="43" t="s">
        <v>80</v>
      </c>
      <c r="X10" s="43" t="s">
        <v>74</v>
      </c>
      <c r="Y10" s="43" t="s">
        <v>80</v>
      </c>
      <c r="Z10" s="40" t="s">
        <v>256</v>
      </c>
    </row>
    <row r="11">
      <c r="A11" s="75">
        <v>138883.0</v>
      </c>
      <c r="B11" s="95">
        <v>4113.01</v>
      </c>
      <c r="C11" s="22" t="s">
        <v>257</v>
      </c>
      <c r="D11" s="24" t="s">
        <v>258</v>
      </c>
      <c r="E11" s="24" t="s">
        <v>259</v>
      </c>
      <c r="F11" s="96">
        <v>42516.0</v>
      </c>
      <c r="G11" s="70">
        <v>42815.0</v>
      </c>
      <c r="H11" s="81">
        <v>43555.0</v>
      </c>
      <c r="I11" s="28">
        <v>42852.0</v>
      </c>
      <c r="J11" s="82" t="s">
        <v>70</v>
      </c>
      <c r="K11" s="59" t="s">
        <v>261</v>
      </c>
      <c r="L11" s="33" t="s">
        <v>74</v>
      </c>
      <c r="M11" s="33">
        <v>1845.0</v>
      </c>
      <c r="N11" s="31" t="s">
        <v>263</v>
      </c>
      <c r="O11" s="24" t="s">
        <v>265</v>
      </c>
      <c r="P11" s="24" t="s">
        <v>266</v>
      </c>
      <c r="Q11" s="33" t="s">
        <v>102</v>
      </c>
      <c r="R11" s="33" t="s">
        <v>80</v>
      </c>
      <c r="S11" s="24" t="s">
        <v>267</v>
      </c>
      <c r="T11" s="24" t="s">
        <v>268</v>
      </c>
      <c r="U11" s="35" t="s">
        <v>269</v>
      </c>
      <c r="V11" s="33" t="s">
        <v>80</v>
      </c>
      <c r="W11" s="43"/>
      <c r="X11" s="43"/>
      <c r="Y11" s="43"/>
      <c r="Z11" s="40"/>
    </row>
    <row r="12">
      <c r="A12" s="18">
        <v>137102.0</v>
      </c>
      <c r="B12" s="23">
        <v>3632.01</v>
      </c>
      <c r="C12" s="44" t="s">
        <v>270</v>
      </c>
      <c r="D12" s="24" t="s">
        <v>271</v>
      </c>
      <c r="E12" s="24" t="s">
        <v>272</v>
      </c>
      <c r="F12" s="25">
        <v>41717.0</v>
      </c>
      <c r="G12" s="26">
        <v>41995.0</v>
      </c>
      <c r="H12" s="25">
        <v>42704.0</v>
      </c>
      <c r="I12" s="28">
        <v>41973.0</v>
      </c>
      <c r="J12" s="29" t="s">
        <v>70</v>
      </c>
      <c r="K12" s="99" t="s">
        <v>273</v>
      </c>
      <c r="L12" s="33" t="s">
        <v>74</v>
      </c>
      <c r="M12" s="33">
        <v>2006.0</v>
      </c>
      <c r="N12" s="31" t="s">
        <v>278</v>
      </c>
      <c r="O12" s="35" t="s">
        <v>279</v>
      </c>
      <c r="P12" s="101" t="s">
        <v>281</v>
      </c>
      <c r="Q12" s="33" t="s">
        <v>287</v>
      </c>
      <c r="R12" s="33" t="s">
        <v>74</v>
      </c>
      <c r="S12" s="33" t="s">
        <v>102</v>
      </c>
      <c r="T12" s="33" t="s">
        <v>102</v>
      </c>
      <c r="U12" s="35" t="s">
        <v>288</v>
      </c>
      <c r="V12" s="33" t="s">
        <v>80</v>
      </c>
      <c r="W12" s="43" t="s">
        <v>80</v>
      </c>
      <c r="X12" s="43" t="s">
        <v>74</v>
      </c>
      <c r="Y12" s="43" t="s">
        <v>80</v>
      </c>
      <c r="Z12" s="40" t="s">
        <v>289</v>
      </c>
    </row>
    <row r="13">
      <c r="A13" s="18">
        <v>137339.0</v>
      </c>
      <c r="B13" s="20">
        <v>3698.01</v>
      </c>
      <c r="C13" s="22" t="s">
        <v>290</v>
      </c>
      <c r="D13" s="23" t="s">
        <v>291</v>
      </c>
      <c r="E13" s="24" t="s">
        <v>292</v>
      </c>
      <c r="F13" s="25">
        <v>41830.0</v>
      </c>
      <c r="G13" s="26">
        <v>42108.0</v>
      </c>
      <c r="H13" s="25">
        <v>42825.0</v>
      </c>
      <c r="I13" s="28">
        <v>41141.0</v>
      </c>
      <c r="J13" s="29" t="s">
        <v>70</v>
      </c>
      <c r="K13" s="31" t="s">
        <v>293</v>
      </c>
      <c r="L13" s="33" t="s">
        <v>74</v>
      </c>
      <c r="M13" s="33">
        <v>2011.0</v>
      </c>
      <c r="N13" s="31" t="s">
        <v>295</v>
      </c>
      <c r="O13" s="24" t="s">
        <v>296</v>
      </c>
      <c r="P13" s="35" t="s">
        <v>297</v>
      </c>
      <c r="Q13" s="33" t="s">
        <v>298</v>
      </c>
      <c r="R13" s="33" t="s">
        <v>80</v>
      </c>
      <c r="S13" s="35" t="s">
        <v>299</v>
      </c>
      <c r="T13" s="24" t="s">
        <v>300</v>
      </c>
      <c r="U13" s="72" t="s">
        <v>102</v>
      </c>
      <c r="V13" s="33" t="s">
        <v>80</v>
      </c>
      <c r="W13" s="43" t="s">
        <v>80</v>
      </c>
      <c r="X13" s="43" t="s">
        <v>74</v>
      </c>
      <c r="Y13" s="43" t="s">
        <v>80</v>
      </c>
      <c r="Z13" s="40" t="s">
        <v>301</v>
      </c>
    </row>
    <row r="14">
      <c r="A14" s="18">
        <v>137046.0</v>
      </c>
      <c r="B14" s="20">
        <v>3706.01</v>
      </c>
      <c r="C14" s="22" t="s">
        <v>302</v>
      </c>
      <c r="D14" s="24" t="s">
        <v>303</v>
      </c>
      <c r="E14" s="24" t="s">
        <v>304</v>
      </c>
      <c r="F14" s="25">
        <v>41841.0</v>
      </c>
      <c r="G14" s="26">
        <v>42150.0</v>
      </c>
      <c r="H14" s="25">
        <v>42978.0</v>
      </c>
      <c r="I14" s="28">
        <v>42150.0</v>
      </c>
      <c r="J14" s="29" t="s">
        <v>70</v>
      </c>
      <c r="K14" s="104" t="s">
        <v>305</v>
      </c>
      <c r="L14" s="33" t="s">
        <v>74</v>
      </c>
      <c r="M14" s="33">
        <v>2002.0</v>
      </c>
      <c r="N14" s="31" t="s">
        <v>306</v>
      </c>
      <c r="O14" s="24" t="s">
        <v>307</v>
      </c>
      <c r="P14" s="24" t="s">
        <v>308</v>
      </c>
      <c r="Q14" s="33" t="s">
        <v>102</v>
      </c>
      <c r="R14" s="33" t="s">
        <v>80</v>
      </c>
      <c r="S14" s="24" t="s">
        <v>310</v>
      </c>
      <c r="T14" s="24" t="s">
        <v>311</v>
      </c>
      <c r="U14" s="35" t="s">
        <v>312</v>
      </c>
      <c r="V14" s="33" t="s">
        <v>80</v>
      </c>
      <c r="W14" s="43" t="s">
        <v>80</v>
      </c>
      <c r="X14" s="43" t="s">
        <v>74</v>
      </c>
      <c r="Y14" s="43" t="s">
        <v>80</v>
      </c>
      <c r="Z14" s="40" t="s">
        <v>314</v>
      </c>
    </row>
    <row r="15">
      <c r="A15" s="18">
        <v>137275.0</v>
      </c>
      <c r="B15" s="20">
        <v>3722.01</v>
      </c>
      <c r="C15" s="44" t="s">
        <v>315</v>
      </c>
      <c r="D15" s="23" t="s">
        <v>316</v>
      </c>
      <c r="E15" s="24" t="s">
        <v>317</v>
      </c>
      <c r="F15" s="25">
        <v>41866.0</v>
      </c>
      <c r="G15" s="26">
        <v>42038.0</v>
      </c>
      <c r="H15" s="25">
        <v>42825.0</v>
      </c>
      <c r="I15" s="28">
        <v>41229.0</v>
      </c>
      <c r="J15" s="29" t="s">
        <v>70</v>
      </c>
      <c r="K15" s="31" t="s">
        <v>318</v>
      </c>
      <c r="L15" s="33" t="s">
        <v>74</v>
      </c>
      <c r="M15" s="33">
        <v>2003.0</v>
      </c>
      <c r="N15" s="31" t="s">
        <v>319</v>
      </c>
      <c r="O15" s="24" t="s">
        <v>320</v>
      </c>
      <c r="P15" s="24" t="s">
        <v>321</v>
      </c>
      <c r="Q15" s="33" t="s">
        <v>322</v>
      </c>
      <c r="R15" s="33" t="s">
        <v>80</v>
      </c>
      <c r="S15" s="24" t="s">
        <v>324</v>
      </c>
      <c r="T15" s="24" t="s">
        <v>325</v>
      </c>
      <c r="U15" s="35" t="s">
        <v>326</v>
      </c>
      <c r="V15" s="33" t="s">
        <v>80</v>
      </c>
      <c r="W15" s="43" t="s">
        <v>80</v>
      </c>
      <c r="X15" s="43" t="s">
        <v>74</v>
      </c>
      <c r="Y15" s="43" t="s">
        <v>80</v>
      </c>
      <c r="Z15" s="40" t="s">
        <v>329</v>
      </c>
    </row>
    <row r="16">
      <c r="A16" s="18">
        <v>138266.0</v>
      </c>
      <c r="B16" s="20">
        <v>3772.01</v>
      </c>
      <c r="C16" s="44" t="s">
        <v>331</v>
      </c>
      <c r="D16" s="23" t="s">
        <v>332</v>
      </c>
      <c r="E16" s="24" t="s">
        <v>333</v>
      </c>
      <c r="F16" s="25">
        <v>41960.0</v>
      </c>
      <c r="G16" s="26">
        <v>42170.0</v>
      </c>
      <c r="H16" s="25">
        <v>42947.0</v>
      </c>
      <c r="I16" s="28">
        <v>42170.0</v>
      </c>
      <c r="J16" s="29" t="s">
        <v>70</v>
      </c>
      <c r="K16" s="31" t="s">
        <v>334</v>
      </c>
      <c r="L16" s="33" t="s">
        <v>74</v>
      </c>
      <c r="M16" s="33">
        <v>2006.0</v>
      </c>
      <c r="N16" s="31" t="s">
        <v>338</v>
      </c>
      <c r="O16" s="24" t="s">
        <v>339</v>
      </c>
      <c r="P16" s="24" t="s">
        <v>340</v>
      </c>
      <c r="Q16" s="33" t="s">
        <v>102</v>
      </c>
      <c r="R16" s="33" t="s">
        <v>80</v>
      </c>
      <c r="S16" s="24" t="s">
        <v>341</v>
      </c>
      <c r="T16" s="24" t="s">
        <v>342</v>
      </c>
      <c r="U16" s="35" t="s">
        <v>343</v>
      </c>
      <c r="V16" s="33" t="s">
        <v>80</v>
      </c>
      <c r="W16" s="43" t="s">
        <v>80</v>
      </c>
      <c r="X16" s="43" t="s">
        <v>74</v>
      </c>
      <c r="Y16" s="43" t="s">
        <v>80</v>
      </c>
      <c r="Z16" s="40" t="s">
        <v>346</v>
      </c>
    </row>
    <row r="17">
      <c r="A17" s="18">
        <v>136851.0</v>
      </c>
      <c r="B17" s="20">
        <v>3635.01</v>
      </c>
      <c r="C17" s="22" t="s">
        <v>347</v>
      </c>
      <c r="D17" s="23" t="s">
        <v>348</v>
      </c>
      <c r="E17" s="24" t="s">
        <v>349</v>
      </c>
      <c r="F17" s="89">
        <v>41724.0</v>
      </c>
      <c r="G17" s="26">
        <v>41887.0</v>
      </c>
      <c r="H17" s="25">
        <v>42674.0</v>
      </c>
      <c r="I17" s="52">
        <v>41912.0</v>
      </c>
      <c r="J17" s="29" t="s">
        <v>70</v>
      </c>
      <c r="K17" s="59" t="s">
        <v>350</v>
      </c>
      <c r="L17" s="33" t="s">
        <v>74</v>
      </c>
      <c r="M17" s="33">
        <v>1989.0</v>
      </c>
      <c r="N17" s="31" t="s">
        <v>352</v>
      </c>
      <c r="O17" s="24" t="s">
        <v>353</v>
      </c>
      <c r="P17" s="24" t="s">
        <v>354</v>
      </c>
      <c r="Q17" s="33" t="s">
        <v>355</v>
      </c>
      <c r="R17" s="33" t="s">
        <v>80</v>
      </c>
      <c r="S17" s="24" t="s">
        <v>356</v>
      </c>
      <c r="T17" s="24" t="s">
        <v>357</v>
      </c>
      <c r="U17" s="35" t="s">
        <v>359</v>
      </c>
      <c r="V17" s="33" t="s">
        <v>80</v>
      </c>
      <c r="W17" s="43" t="s">
        <v>80</v>
      </c>
      <c r="X17" s="43" t="s">
        <v>74</v>
      </c>
      <c r="Y17" s="43" t="s">
        <v>74</v>
      </c>
      <c r="Z17" s="40" t="s">
        <v>360</v>
      </c>
    </row>
    <row r="18">
      <c r="A18" s="18">
        <v>137801.0</v>
      </c>
      <c r="B18" s="20">
        <v>3717.01</v>
      </c>
      <c r="C18" s="44" t="s">
        <v>361</v>
      </c>
      <c r="D18" s="23" t="s">
        <v>362</v>
      </c>
      <c r="E18" s="24" t="s">
        <v>363</v>
      </c>
      <c r="F18" s="89">
        <v>41852.0</v>
      </c>
      <c r="G18" s="26">
        <v>42041.0</v>
      </c>
      <c r="H18" s="25">
        <v>42794.0</v>
      </c>
      <c r="I18" s="52">
        <v>42583.0</v>
      </c>
      <c r="J18" s="29" t="s">
        <v>70</v>
      </c>
      <c r="K18" s="31" t="s">
        <v>364</v>
      </c>
      <c r="L18" s="33" t="s">
        <v>74</v>
      </c>
      <c r="M18" s="33">
        <v>2000.0</v>
      </c>
      <c r="N18" s="31" t="s">
        <v>367</v>
      </c>
      <c r="O18" s="24" t="s">
        <v>368</v>
      </c>
      <c r="P18" s="24" t="s">
        <v>372</v>
      </c>
      <c r="Q18" s="33" t="s">
        <v>102</v>
      </c>
      <c r="R18" s="33" t="s">
        <v>80</v>
      </c>
      <c r="S18" s="24" t="s">
        <v>373</v>
      </c>
      <c r="T18" s="24" t="s">
        <v>374</v>
      </c>
      <c r="U18" s="35" t="s">
        <v>102</v>
      </c>
      <c r="V18" s="33" t="s">
        <v>80</v>
      </c>
      <c r="W18" s="43" t="s">
        <v>80</v>
      </c>
      <c r="X18" s="43" t="s">
        <v>74</v>
      </c>
      <c r="Y18" s="43" t="s">
        <v>80</v>
      </c>
      <c r="Z18" s="40" t="s">
        <v>376</v>
      </c>
    </row>
    <row r="19">
      <c r="A19" s="18">
        <v>137986.0</v>
      </c>
      <c r="B19" s="20">
        <v>3839.01</v>
      </c>
      <c r="C19" s="44" t="s">
        <v>379</v>
      </c>
      <c r="D19" s="23" t="s">
        <v>380</v>
      </c>
      <c r="E19" s="23" t="s">
        <v>382</v>
      </c>
      <c r="F19" s="89">
        <v>42074.0</v>
      </c>
      <c r="G19" s="26">
        <v>42445.0</v>
      </c>
      <c r="H19" s="25">
        <v>43220.0</v>
      </c>
      <c r="I19" s="52">
        <v>42445.0</v>
      </c>
      <c r="J19" s="29" t="s">
        <v>70</v>
      </c>
      <c r="K19" s="31" t="s">
        <v>384</v>
      </c>
      <c r="L19" s="33" t="s">
        <v>74</v>
      </c>
      <c r="M19" s="33">
        <v>2009.0</v>
      </c>
      <c r="N19" s="31" t="s">
        <v>390</v>
      </c>
      <c r="O19" s="24" t="s">
        <v>392</v>
      </c>
      <c r="P19" s="24" t="s">
        <v>394</v>
      </c>
      <c r="Q19" s="33" t="s">
        <v>102</v>
      </c>
      <c r="R19" s="33" t="s">
        <v>74</v>
      </c>
      <c r="S19" s="24" t="s">
        <v>102</v>
      </c>
      <c r="T19" s="24" t="s">
        <v>102</v>
      </c>
      <c r="U19" s="35" t="s">
        <v>102</v>
      </c>
      <c r="V19" s="33" t="s">
        <v>80</v>
      </c>
      <c r="W19" s="40" t="s">
        <v>80</v>
      </c>
      <c r="X19" s="40" t="s">
        <v>74</v>
      </c>
      <c r="Y19" s="40" t="s">
        <v>74</v>
      </c>
      <c r="Z19" s="40" t="s">
        <v>155</v>
      </c>
    </row>
    <row r="20">
      <c r="A20" s="18">
        <v>137012.0</v>
      </c>
      <c r="B20" s="20">
        <v>3641.01</v>
      </c>
      <c r="C20" s="22" t="s">
        <v>397</v>
      </c>
      <c r="D20" s="23" t="s">
        <v>398</v>
      </c>
      <c r="E20" s="24" t="s">
        <v>400</v>
      </c>
      <c r="F20" s="25">
        <v>41740.0</v>
      </c>
      <c r="G20" s="26">
        <v>42065.0</v>
      </c>
      <c r="H20" s="25">
        <v>42766.0</v>
      </c>
      <c r="I20" s="28">
        <v>42065.0</v>
      </c>
      <c r="J20" s="29" t="s">
        <v>70</v>
      </c>
      <c r="K20" s="31" t="s">
        <v>401</v>
      </c>
      <c r="L20" s="33" t="s">
        <v>74</v>
      </c>
      <c r="M20" s="33">
        <v>2010.0</v>
      </c>
      <c r="N20" s="31" t="s">
        <v>403</v>
      </c>
      <c r="O20" s="24" t="s">
        <v>407</v>
      </c>
      <c r="P20" s="24" t="s">
        <v>408</v>
      </c>
      <c r="Q20" s="33" t="s">
        <v>102</v>
      </c>
      <c r="R20" s="33" t="s">
        <v>74</v>
      </c>
      <c r="S20" s="24" t="s">
        <v>102</v>
      </c>
      <c r="T20" s="24" t="s">
        <v>102</v>
      </c>
      <c r="U20" s="35" t="s">
        <v>410</v>
      </c>
      <c r="V20" s="33" t="s">
        <v>80</v>
      </c>
      <c r="W20" s="40" t="s">
        <v>80</v>
      </c>
      <c r="X20" s="40" t="s">
        <v>74</v>
      </c>
      <c r="Y20" s="40" t="s">
        <v>80</v>
      </c>
      <c r="Z20" s="40" t="s">
        <v>415</v>
      </c>
    </row>
    <row r="21">
      <c r="A21" s="18">
        <v>137163.0</v>
      </c>
      <c r="B21" s="20">
        <v>3858.01</v>
      </c>
      <c r="C21" s="44" t="s">
        <v>417</v>
      </c>
      <c r="D21" s="24" t="s">
        <v>419</v>
      </c>
      <c r="E21" s="24" t="s">
        <v>420</v>
      </c>
      <c r="F21" s="89">
        <v>42108.0</v>
      </c>
      <c r="G21" s="26">
        <v>42290.0</v>
      </c>
      <c r="H21" s="25">
        <v>43100.0</v>
      </c>
      <c r="I21" s="52">
        <v>42290.0</v>
      </c>
      <c r="J21" s="29" t="s">
        <v>70</v>
      </c>
      <c r="K21" s="31" t="s">
        <v>421</v>
      </c>
      <c r="L21" s="33" t="s">
        <v>74</v>
      </c>
      <c r="M21" s="33">
        <v>1924.0</v>
      </c>
      <c r="N21" s="31" t="s">
        <v>422</v>
      </c>
      <c r="O21" s="24" t="s">
        <v>423</v>
      </c>
      <c r="P21" s="24" t="s">
        <v>424</v>
      </c>
      <c r="Q21" s="33" t="s">
        <v>102</v>
      </c>
      <c r="R21" s="33" t="s">
        <v>80</v>
      </c>
      <c r="S21" s="24" t="s">
        <v>425</v>
      </c>
      <c r="T21" s="24" t="s">
        <v>426</v>
      </c>
      <c r="U21" s="35" t="s">
        <v>427</v>
      </c>
      <c r="V21" s="33" t="s">
        <v>80</v>
      </c>
      <c r="W21" s="40" t="s">
        <v>80</v>
      </c>
      <c r="X21" s="40" t="s">
        <v>74</v>
      </c>
      <c r="Y21" s="40" t="s">
        <v>80</v>
      </c>
      <c r="Z21" s="40" t="s">
        <v>428</v>
      </c>
    </row>
    <row r="22">
      <c r="A22" s="18">
        <v>137644.0</v>
      </c>
      <c r="B22" s="20">
        <v>3700.01</v>
      </c>
      <c r="C22" s="44" t="s">
        <v>429</v>
      </c>
      <c r="D22" s="23" t="s">
        <v>430</v>
      </c>
      <c r="E22" s="24" t="s">
        <v>431</v>
      </c>
      <c r="F22" s="25">
        <v>41835.0</v>
      </c>
      <c r="G22" s="26">
        <v>42150.0</v>
      </c>
      <c r="H22" s="25">
        <v>42886.0</v>
      </c>
      <c r="I22" s="28">
        <v>42200.0</v>
      </c>
      <c r="J22" s="29" t="s">
        <v>70</v>
      </c>
      <c r="K22" s="31" t="s">
        <v>432</v>
      </c>
      <c r="L22" s="33" t="s">
        <v>74</v>
      </c>
      <c r="M22" s="33">
        <v>1993.0</v>
      </c>
      <c r="N22" s="31" t="s">
        <v>433</v>
      </c>
      <c r="O22" s="24" t="s">
        <v>435</v>
      </c>
      <c r="P22" s="24" t="s">
        <v>438</v>
      </c>
      <c r="Q22" s="33" t="s">
        <v>102</v>
      </c>
      <c r="R22" s="33" t="s">
        <v>80</v>
      </c>
      <c r="S22" s="118" t="s">
        <v>439</v>
      </c>
      <c r="T22" s="24" t="s">
        <v>102</v>
      </c>
      <c r="U22" s="35" t="s">
        <v>447</v>
      </c>
      <c r="V22" s="33" t="s">
        <v>80</v>
      </c>
      <c r="W22" s="40" t="s">
        <v>80</v>
      </c>
      <c r="X22" s="40" t="s">
        <v>74</v>
      </c>
      <c r="Y22" s="40" t="s">
        <v>80</v>
      </c>
      <c r="Z22" s="40" t="s">
        <v>448</v>
      </c>
    </row>
    <row r="23">
      <c r="A23" s="18">
        <v>136855.0</v>
      </c>
      <c r="B23" s="23">
        <v>3656.01</v>
      </c>
      <c r="C23" s="22" t="s">
        <v>449</v>
      </c>
      <c r="D23" s="23" t="s">
        <v>450</v>
      </c>
      <c r="E23" s="24" t="s">
        <v>451</v>
      </c>
      <c r="F23" s="46">
        <v>41757.0</v>
      </c>
      <c r="G23" s="26">
        <v>41947.0</v>
      </c>
      <c r="H23" s="25">
        <v>42735.0</v>
      </c>
      <c r="I23" s="28">
        <v>41043.0</v>
      </c>
      <c r="J23" s="29" t="s">
        <v>70</v>
      </c>
      <c r="K23" s="31" t="s">
        <v>453</v>
      </c>
      <c r="L23" s="33" t="s">
        <v>74</v>
      </c>
      <c r="M23" s="33">
        <v>2004.0</v>
      </c>
      <c r="N23" s="31" t="s">
        <v>455</v>
      </c>
      <c r="O23" s="24" t="s">
        <v>456</v>
      </c>
      <c r="P23" s="24" t="s">
        <v>458</v>
      </c>
      <c r="Q23" s="33" t="s">
        <v>459</v>
      </c>
      <c r="R23" s="33" t="s">
        <v>80</v>
      </c>
      <c r="S23" s="24" t="s">
        <v>460</v>
      </c>
      <c r="T23" s="24" t="s">
        <v>461</v>
      </c>
      <c r="U23" s="35" t="s">
        <v>462</v>
      </c>
      <c r="V23" s="33" t="s">
        <v>80</v>
      </c>
      <c r="W23" s="40" t="s">
        <v>80</v>
      </c>
      <c r="X23" s="40" t="s">
        <v>74</v>
      </c>
      <c r="Y23" s="40" t="s">
        <v>80</v>
      </c>
      <c r="Z23" s="40" t="s">
        <v>463</v>
      </c>
    </row>
    <row r="24">
      <c r="A24" s="18">
        <v>138412.0</v>
      </c>
      <c r="B24" s="20">
        <v>3845.01</v>
      </c>
      <c r="C24" s="22" t="s">
        <v>464</v>
      </c>
      <c r="D24" s="23" t="s">
        <v>466</v>
      </c>
      <c r="E24" s="24" t="s">
        <v>468</v>
      </c>
      <c r="F24" s="25">
        <v>42087.0</v>
      </c>
      <c r="G24" s="26">
        <v>42541.0</v>
      </c>
      <c r="H24" s="25">
        <v>43159.0</v>
      </c>
      <c r="I24" s="28">
        <v>42541.0</v>
      </c>
      <c r="J24" s="29" t="s">
        <v>70</v>
      </c>
      <c r="K24" s="31" t="s">
        <v>471</v>
      </c>
      <c r="L24" s="33" t="s">
        <v>74</v>
      </c>
      <c r="M24" s="33">
        <v>1897.0</v>
      </c>
      <c r="N24" s="31" t="s">
        <v>472</v>
      </c>
      <c r="O24" s="24" t="s">
        <v>474</v>
      </c>
      <c r="P24" s="24" t="s">
        <v>475</v>
      </c>
      <c r="Q24" s="33" t="s">
        <v>102</v>
      </c>
      <c r="R24" s="33" t="s">
        <v>80</v>
      </c>
      <c r="S24" s="24" t="s">
        <v>477</v>
      </c>
      <c r="T24" s="24" t="s">
        <v>478</v>
      </c>
      <c r="U24" s="35" t="s">
        <v>479</v>
      </c>
      <c r="V24" s="33" t="s">
        <v>80</v>
      </c>
      <c r="W24" s="40" t="s">
        <v>80</v>
      </c>
      <c r="X24" s="40" t="s">
        <v>74</v>
      </c>
      <c r="Y24" s="40" t="s">
        <v>74</v>
      </c>
      <c r="Z24" s="40" t="s">
        <v>480</v>
      </c>
    </row>
    <row r="25">
      <c r="A25" s="18">
        <v>137255.0</v>
      </c>
      <c r="B25" s="20">
        <v>3715.01</v>
      </c>
      <c r="C25" s="44" t="s">
        <v>481</v>
      </c>
      <c r="D25" s="24" t="s">
        <v>483</v>
      </c>
      <c r="E25" s="24" t="s">
        <v>484</v>
      </c>
      <c r="F25" s="89">
        <v>41850.0</v>
      </c>
      <c r="G25" s="26">
        <v>42128.0</v>
      </c>
      <c r="H25" s="25">
        <v>42825.0</v>
      </c>
      <c r="I25" s="52">
        <v>41148.0</v>
      </c>
      <c r="J25" s="29" t="s">
        <v>70</v>
      </c>
      <c r="K25" s="31" t="s">
        <v>488</v>
      </c>
      <c r="L25" s="33" t="s">
        <v>74</v>
      </c>
      <c r="M25" s="33">
        <v>1994.0</v>
      </c>
      <c r="N25" s="31" t="s">
        <v>492</v>
      </c>
      <c r="O25" s="24" t="s">
        <v>497</v>
      </c>
      <c r="P25" s="24" t="s">
        <v>500</v>
      </c>
      <c r="Q25" s="24" t="s">
        <v>501</v>
      </c>
      <c r="R25" s="33" t="s">
        <v>80</v>
      </c>
      <c r="S25" s="24" t="s">
        <v>502</v>
      </c>
      <c r="T25" s="24" t="s">
        <v>503</v>
      </c>
      <c r="U25" s="35" t="s">
        <v>102</v>
      </c>
      <c r="V25" s="33" t="s">
        <v>80</v>
      </c>
      <c r="W25" s="40" t="s">
        <v>80</v>
      </c>
      <c r="X25" s="40" t="s">
        <v>74</v>
      </c>
      <c r="Y25" s="40" t="s">
        <v>80</v>
      </c>
      <c r="Z25" s="40" t="s">
        <v>504</v>
      </c>
    </row>
    <row r="26">
      <c r="A26" s="125">
        <v>137047.0</v>
      </c>
      <c r="B26" s="126">
        <v>3822.01</v>
      </c>
      <c r="C26" s="35" t="s">
        <v>507</v>
      </c>
      <c r="D26" s="35" t="s">
        <v>509</v>
      </c>
      <c r="E26" s="35" t="s">
        <v>510</v>
      </c>
      <c r="F26" s="128">
        <v>42055.0</v>
      </c>
      <c r="G26" s="129">
        <v>42199.0</v>
      </c>
      <c r="H26" s="129">
        <v>43100.0</v>
      </c>
      <c r="I26" s="130">
        <v>42614.0</v>
      </c>
      <c r="J26" s="131" t="s">
        <v>70</v>
      </c>
      <c r="K26" s="59" t="s">
        <v>516</v>
      </c>
      <c r="L26" s="72" t="s">
        <v>74</v>
      </c>
      <c r="M26" s="72">
        <v>2000.0</v>
      </c>
      <c r="N26" s="59" t="s">
        <v>517</v>
      </c>
      <c r="O26" s="35" t="s">
        <v>518</v>
      </c>
      <c r="P26" s="35" t="s">
        <v>519</v>
      </c>
      <c r="Q26" s="72" t="s">
        <v>102</v>
      </c>
      <c r="R26" s="72" t="s">
        <v>80</v>
      </c>
      <c r="S26" s="35" t="s">
        <v>520</v>
      </c>
      <c r="T26" s="72" t="s">
        <v>102</v>
      </c>
      <c r="U26" s="35" t="s">
        <v>521</v>
      </c>
      <c r="V26" s="72" t="s">
        <v>80</v>
      </c>
      <c r="W26" s="134"/>
      <c r="X26" s="134"/>
      <c r="Y26" s="134"/>
      <c r="Z26" s="134"/>
      <c r="AA26" s="135"/>
      <c r="AB26" s="135"/>
      <c r="AC26" s="135"/>
      <c r="AD26" s="135"/>
      <c r="AE26" s="135"/>
      <c r="AF26" s="135"/>
      <c r="AG26" s="135"/>
      <c r="AH26" s="135"/>
      <c r="AI26" s="135"/>
      <c r="AJ26" s="135"/>
      <c r="AK26" s="135"/>
    </row>
    <row r="27">
      <c r="A27" s="18">
        <v>137172.0</v>
      </c>
      <c r="B27" s="20">
        <v>3736.01</v>
      </c>
      <c r="C27" s="22" t="s">
        <v>412</v>
      </c>
      <c r="D27" s="23" t="s">
        <v>529</v>
      </c>
      <c r="E27" s="24" t="s">
        <v>530</v>
      </c>
      <c r="F27" s="89">
        <v>41884.0</v>
      </c>
      <c r="G27" s="26">
        <v>42097.0</v>
      </c>
      <c r="H27" s="25">
        <v>42825.0</v>
      </c>
      <c r="I27" s="52">
        <v>42097.0</v>
      </c>
      <c r="J27" s="29" t="s">
        <v>70</v>
      </c>
      <c r="K27" s="31" t="s">
        <v>533</v>
      </c>
      <c r="L27" s="33" t="s">
        <v>74</v>
      </c>
      <c r="M27" s="33">
        <v>1984.0</v>
      </c>
      <c r="N27" s="31" t="s">
        <v>535</v>
      </c>
      <c r="O27" s="24" t="s">
        <v>536</v>
      </c>
      <c r="P27" s="24" t="s">
        <v>537</v>
      </c>
      <c r="Q27" s="33" t="s">
        <v>102</v>
      </c>
      <c r="R27" s="33" t="s">
        <v>80</v>
      </c>
      <c r="S27" s="24" t="s">
        <v>538</v>
      </c>
      <c r="T27" s="24" t="s">
        <v>539</v>
      </c>
      <c r="U27" s="35" t="s">
        <v>540</v>
      </c>
      <c r="V27" s="33" t="s">
        <v>80</v>
      </c>
      <c r="W27" s="40" t="s">
        <v>80</v>
      </c>
      <c r="X27" s="40" t="s">
        <v>74</v>
      </c>
      <c r="Y27" s="40" t="s">
        <v>80</v>
      </c>
      <c r="Z27" s="40" t="s">
        <v>542</v>
      </c>
    </row>
    <row r="28">
      <c r="A28" s="75">
        <v>140531.0</v>
      </c>
      <c r="B28" s="138">
        <v>4224.01</v>
      </c>
      <c r="C28" s="22" t="s">
        <v>545</v>
      </c>
      <c r="D28" s="24" t="s">
        <v>546</v>
      </c>
      <c r="E28" s="24" t="s">
        <v>547</v>
      </c>
      <c r="F28" s="96">
        <v>42677.0</v>
      </c>
      <c r="G28" s="70">
        <v>42807.0</v>
      </c>
      <c r="H28" s="81">
        <v>43616.0</v>
      </c>
      <c r="I28" s="52">
        <v>42825.0</v>
      </c>
      <c r="J28" s="82" t="s">
        <v>70</v>
      </c>
      <c r="K28" s="31" t="s">
        <v>549</v>
      </c>
      <c r="L28" s="33" t="s">
        <v>74</v>
      </c>
      <c r="M28" s="33">
        <v>2008.0</v>
      </c>
      <c r="N28" s="31" t="s">
        <v>553</v>
      </c>
      <c r="O28" s="24" t="s">
        <v>554</v>
      </c>
      <c r="P28" s="24" t="s">
        <v>555</v>
      </c>
      <c r="Q28" s="33" t="s">
        <v>102</v>
      </c>
      <c r="R28" s="33" t="s">
        <v>80</v>
      </c>
      <c r="S28" s="24" t="s">
        <v>557</v>
      </c>
      <c r="T28" s="24" t="s">
        <v>561</v>
      </c>
      <c r="U28" s="35" t="s">
        <v>562</v>
      </c>
      <c r="V28" s="33" t="s">
        <v>80</v>
      </c>
      <c r="W28" s="40"/>
      <c r="X28" s="40"/>
      <c r="Y28" s="40"/>
      <c r="Z28" s="40"/>
    </row>
    <row r="29">
      <c r="A29" s="18">
        <v>137384.0</v>
      </c>
      <c r="B29" s="23">
        <v>3648.01</v>
      </c>
      <c r="C29" s="22" t="s">
        <v>564</v>
      </c>
      <c r="D29" s="23" t="s">
        <v>565</v>
      </c>
      <c r="E29" s="24" t="s">
        <v>566</v>
      </c>
      <c r="F29" s="64">
        <v>41752.0</v>
      </c>
      <c r="G29" s="26">
        <v>41878.0</v>
      </c>
      <c r="H29" s="25">
        <v>42674.0</v>
      </c>
      <c r="I29" s="52">
        <v>41053.0</v>
      </c>
      <c r="J29" s="29" t="s">
        <v>70</v>
      </c>
      <c r="K29" s="31" t="s">
        <v>567</v>
      </c>
      <c r="L29" s="33" t="s">
        <v>74</v>
      </c>
      <c r="M29" s="33">
        <v>2005.0</v>
      </c>
      <c r="N29" s="31" t="s">
        <v>569</v>
      </c>
      <c r="O29" s="24" t="s">
        <v>571</v>
      </c>
      <c r="P29" s="24" t="s">
        <v>572</v>
      </c>
      <c r="Q29" s="33" t="s">
        <v>102</v>
      </c>
      <c r="R29" s="33" t="s">
        <v>80</v>
      </c>
      <c r="S29" s="24" t="s">
        <v>573</v>
      </c>
      <c r="T29" s="24" t="s">
        <v>102</v>
      </c>
      <c r="U29" s="35" t="s">
        <v>102</v>
      </c>
      <c r="V29" s="33" t="s">
        <v>80</v>
      </c>
      <c r="W29" s="40" t="s">
        <v>80</v>
      </c>
      <c r="X29" s="40" t="s">
        <v>74</v>
      </c>
      <c r="Y29" s="40" t="s">
        <v>80</v>
      </c>
      <c r="Z29" s="40" t="s">
        <v>574</v>
      </c>
    </row>
    <row r="30">
      <c r="A30" s="18">
        <v>137004.0</v>
      </c>
      <c r="B30" s="20">
        <v>3638.01</v>
      </c>
      <c r="C30" s="44" t="s">
        <v>575</v>
      </c>
      <c r="D30" s="24" t="s">
        <v>577</v>
      </c>
      <c r="E30" s="24" t="s">
        <v>578</v>
      </c>
      <c r="F30" s="89">
        <v>41736.0</v>
      </c>
      <c r="G30" s="26">
        <v>42080.0</v>
      </c>
      <c r="H30" s="25">
        <v>42735.0</v>
      </c>
      <c r="I30" s="52">
        <v>41044.0</v>
      </c>
      <c r="J30" s="29" t="s">
        <v>70</v>
      </c>
      <c r="K30" s="31" t="s">
        <v>580</v>
      </c>
      <c r="L30" s="33" t="s">
        <v>74</v>
      </c>
      <c r="M30" s="33">
        <v>2004.0</v>
      </c>
      <c r="N30" s="31" t="s">
        <v>581</v>
      </c>
      <c r="O30" s="24" t="s">
        <v>583</v>
      </c>
      <c r="P30" s="24" t="s">
        <v>586</v>
      </c>
      <c r="Q30" s="24" t="s">
        <v>587</v>
      </c>
      <c r="R30" s="33" t="s">
        <v>80</v>
      </c>
      <c r="S30" s="24" t="s">
        <v>588</v>
      </c>
      <c r="T30" s="24" t="s">
        <v>589</v>
      </c>
      <c r="U30" s="35" t="s">
        <v>590</v>
      </c>
      <c r="V30" s="33" t="s">
        <v>80</v>
      </c>
      <c r="W30" s="40" t="s">
        <v>591</v>
      </c>
      <c r="X30" s="40" t="s">
        <v>74</v>
      </c>
      <c r="Y30" s="40" t="s">
        <v>80</v>
      </c>
      <c r="Z30" s="40" t="s">
        <v>592</v>
      </c>
    </row>
    <row r="31">
      <c r="A31" s="18">
        <v>137101.0</v>
      </c>
      <c r="B31" s="20">
        <v>3769.01</v>
      </c>
      <c r="C31" s="22" t="s">
        <v>593</v>
      </c>
      <c r="D31" s="23" t="s">
        <v>594</v>
      </c>
      <c r="E31" s="24" t="s">
        <v>595</v>
      </c>
      <c r="F31" s="140">
        <v>41953.0</v>
      </c>
      <c r="G31" s="26">
        <v>42360.0</v>
      </c>
      <c r="H31" s="25">
        <v>43069.0</v>
      </c>
      <c r="I31" s="141">
        <v>42309.0</v>
      </c>
      <c r="J31" s="29" t="s">
        <v>70</v>
      </c>
      <c r="K31" s="31" t="s">
        <v>601</v>
      </c>
      <c r="L31" s="33" t="s">
        <v>74</v>
      </c>
      <c r="M31" s="33">
        <v>2007.0</v>
      </c>
      <c r="N31" s="31" t="s">
        <v>603</v>
      </c>
      <c r="O31" s="24" t="s">
        <v>604</v>
      </c>
      <c r="P31" s="24" t="s">
        <v>606</v>
      </c>
      <c r="Q31" s="33" t="s">
        <v>608</v>
      </c>
      <c r="R31" s="33" t="s">
        <v>80</v>
      </c>
      <c r="S31" s="24" t="s">
        <v>609</v>
      </c>
      <c r="T31" s="24" t="s">
        <v>610</v>
      </c>
      <c r="U31" s="35" t="s">
        <v>102</v>
      </c>
      <c r="V31" s="33" t="s">
        <v>80</v>
      </c>
      <c r="W31" s="40" t="s">
        <v>80</v>
      </c>
      <c r="X31" s="40" t="s">
        <v>74</v>
      </c>
      <c r="Y31" s="40" t="s">
        <v>80</v>
      </c>
      <c r="Z31" s="40" t="s">
        <v>612</v>
      </c>
    </row>
    <row r="32">
      <c r="A32" s="18">
        <v>137724.0</v>
      </c>
      <c r="B32" s="20">
        <v>3783.01</v>
      </c>
      <c r="C32" s="44" t="s">
        <v>613</v>
      </c>
      <c r="D32" s="23" t="s">
        <v>615</v>
      </c>
      <c r="E32" s="24" t="s">
        <v>616</v>
      </c>
      <c r="F32" s="25">
        <v>41978.0</v>
      </c>
      <c r="G32" s="26">
        <v>42060.0</v>
      </c>
      <c r="H32" s="25">
        <v>42886.0</v>
      </c>
      <c r="I32" s="28">
        <v>42060.0</v>
      </c>
      <c r="J32" s="29" t="s">
        <v>70</v>
      </c>
      <c r="K32" s="31" t="s">
        <v>617</v>
      </c>
      <c r="L32" s="33" t="s">
        <v>74</v>
      </c>
      <c r="M32" s="33">
        <v>2009.0</v>
      </c>
      <c r="N32" s="31" t="s">
        <v>618</v>
      </c>
      <c r="O32" s="24" t="s">
        <v>619</v>
      </c>
      <c r="P32" s="24" t="s">
        <v>621</v>
      </c>
      <c r="Q32" s="33" t="s">
        <v>622</v>
      </c>
      <c r="R32" s="33" t="s">
        <v>80</v>
      </c>
      <c r="S32" s="24" t="s">
        <v>623</v>
      </c>
      <c r="T32" s="24" t="s">
        <v>625</v>
      </c>
      <c r="U32" s="35" t="s">
        <v>627</v>
      </c>
      <c r="V32" s="33" t="s">
        <v>80</v>
      </c>
      <c r="W32" s="40" t="s">
        <v>80</v>
      </c>
      <c r="X32" s="40" t="s">
        <v>74</v>
      </c>
      <c r="Y32" s="40" t="s">
        <v>80</v>
      </c>
      <c r="Z32" s="40" t="s">
        <v>629</v>
      </c>
    </row>
    <row r="33">
      <c r="A33" s="18">
        <v>137958.0</v>
      </c>
      <c r="B33" s="20">
        <v>3872.01</v>
      </c>
      <c r="C33" s="22" t="s">
        <v>630</v>
      </c>
      <c r="D33" s="23" t="s">
        <v>632</v>
      </c>
      <c r="E33" s="24" t="s">
        <v>633</v>
      </c>
      <c r="F33" s="89">
        <v>42121.0</v>
      </c>
      <c r="G33" s="26">
        <v>42549.0</v>
      </c>
      <c r="H33" s="25">
        <v>43281.0</v>
      </c>
      <c r="I33" s="52">
        <v>42550.0</v>
      </c>
      <c r="J33" s="29" t="s">
        <v>70</v>
      </c>
      <c r="K33" s="31" t="s">
        <v>635</v>
      </c>
      <c r="L33" s="33" t="s">
        <v>74</v>
      </c>
      <c r="M33" s="33">
        <v>1993.0</v>
      </c>
      <c r="N33" s="31" t="s">
        <v>640</v>
      </c>
      <c r="O33" s="24" t="s">
        <v>641</v>
      </c>
      <c r="P33" s="24" t="s">
        <v>642</v>
      </c>
      <c r="Q33" s="33" t="s">
        <v>102</v>
      </c>
      <c r="R33" s="33" t="s">
        <v>74</v>
      </c>
      <c r="S33" s="24" t="s">
        <v>102</v>
      </c>
      <c r="T33" s="24" t="s">
        <v>102</v>
      </c>
      <c r="U33" s="35" t="s">
        <v>102</v>
      </c>
      <c r="V33" s="33" t="s">
        <v>80</v>
      </c>
      <c r="W33" s="40" t="s">
        <v>646</v>
      </c>
      <c r="X33" s="40" t="s">
        <v>74</v>
      </c>
      <c r="Y33" s="40" t="s">
        <v>646</v>
      </c>
      <c r="Z33" s="40" t="s">
        <v>648</v>
      </c>
    </row>
    <row r="34">
      <c r="A34" s="75">
        <v>140544.0</v>
      </c>
      <c r="B34" s="76">
        <v>4230.01</v>
      </c>
      <c r="C34" s="22" t="s">
        <v>649</v>
      </c>
      <c r="D34" s="24" t="s">
        <v>650</v>
      </c>
      <c r="E34" s="24" t="s">
        <v>652</v>
      </c>
      <c r="F34" s="96">
        <v>42691.0</v>
      </c>
      <c r="G34" s="70">
        <v>42851.0</v>
      </c>
      <c r="H34" s="81">
        <v>43646.0</v>
      </c>
      <c r="I34" s="52">
        <v>42849.0</v>
      </c>
      <c r="J34" s="82" t="s">
        <v>70</v>
      </c>
      <c r="K34" s="31" t="s">
        <v>654</v>
      </c>
      <c r="L34" s="33" t="s">
        <v>74</v>
      </c>
      <c r="M34" s="33">
        <v>1999.0</v>
      </c>
      <c r="N34" s="31" t="s">
        <v>656</v>
      </c>
      <c r="O34" s="24" t="s">
        <v>657</v>
      </c>
      <c r="P34" s="24" t="s">
        <v>659</v>
      </c>
      <c r="Q34" s="33" t="s">
        <v>102</v>
      </c>
      <c r="R34" s="33" t="s">
        <v>80</v>
      </c>
      <c r="S34" s="24" t="s">
        <v>660</v>
      </c>
      <c r="T34" s="24" t="s">
        <v>102</v>
      </c>
      <c r="U34" s="35" t="s">
        <v>661</v>
      </c>
      <c r="V34" s="33" t="s">
        <v>80</v>
      </c>
      <c r="W34" s="40"/>
      <c r="X34" s="40"/>
      <c r="Y34" s="40"/>
      <c r="Z34" s="40"/>
    </row>
    <row r="35">
      <c r="A35" s="18">
        <v>137449.0</v>
      </c>
      <c r="B35" s="20">
        <v>3663.01</v>
      </c>
      <c r="C35" s="44" t="s">
        <v>663</v>
      </c>
      <c r="D35" s="23" t="s">
        <v>664</v>
      </c>
      <c r="E35" s="24" t="s">
        <v>665</v>
      </c>
      <c r="F35" s="25">
        <v>41766.0</v>
      </c>
      <c r="G35" s="26">
        <v>42003.0</v>
      </c>
      <c r="H35" s="25">
        <v>42766.0</v>
      </c>
      <c r="I35" s="28">
        <v>42003.0</v>
      </c>
      <c r="J35" s="29" t="s">
        <v>70</v>
      </c>
      <c r="K35" s="144" t="s">
        <v>666</v>
      </c>
      <c r="L35" s="33" t="s">
        <v>74</v>
      </c>
      <c r="M35" s="33">
        <v>1994.0</v>
      </c>
      <c r="N35" s="31" t="s">
        <v>671</v>
      </c>
      <c r="O35" s="24" t="s">
        <v>674</v>
      </c>
      <c r="P35" s="101" t="s">
        <v>676</v>
      </c>
      <c r="Q35" s="33" t="s">
        <v>102</v>
      </c>
      <c r="R35" s="33" t="s">
        <v>80</v>
      </c>
      <c r="S35" s="35" t="s">
        <v>678</v>
      </c>
      <c r="T35" s="24" t="s">
        <v>679</v>
      </c>
      <c r="U35" s="35" t="s">
        <v>681</v>
      </c>
      <c r="V35" s="33" t="s">
        <v>80</v>
      </c>
      <c r="W35" s="40" t="s">
        <v>80</v>
      </c>
      <c r="X35" s="40" t="s">
        <v>74</v>
      </c>
      <c r="Y35" s="40" t="s">
        <v>80</v>
      </c>
      <c r="Z35" s="40" t="s">
        <v>682</v>
      </c>
    </row>
    <row r="36">
      <c r="A36" s="18">
        <v>136684.0</v>
      </c>
      <c r="B36" s="20">
        <v>3604.01</v>
      </c>
      <c r="C36" s="22" t="s">
        <v>683</v>
      </c>
      <c r="D36" s="24" t="s">
        <v>684</v>
      </c>
      <c r="E36" s="23" t="s">
        <v>685</v>
      </c>
      <c r="F36" s="25">
        <v>41624.0</v>
      </c>
      <c r="G36" s="26">
        <v>41859.0</v>
      </c>
      <c r="H36" s="25">
        <v>42643.0</v>
      </c>
      <c r="I36" s="52">
        <v>41877.0</v>
      </c>
      <c r="J36" s="145" t="s">
        <v>70</v>
      </c>
      <c r="K36" s="31" t="s">
        <v>689</v>
      </c>
      <c r="L36" s="33" t="s">
        <v>74</v>
      </c>
      <c r="M36" s="33">
        <v>1997.0</v>
      </c>
      <c r="N36" s="31" t="s">
        <v>690</v>
      </c>
      <c r="O36" s="24" t="s">
        <v>693</v>
      </c>
      <c r="P36" s="24" t="s">
        <v>696</v>
      </c>
      <c r="Q36" s="24" t="s">
        <v>268</v>
      </c>
      <c r="R36" s="33" t="s">
        <v>80</v>
      </c>
      <c r="S36" s="24" t="s">
        <v>697</v>
      </c>
      <c r="T36" s="24" t="s">
        <v>268</v>
      </c>
      <c r="U36" s="35" t="s">
        <v>102</v>
      </c>
      <c r="V36" s="33" t="s">
        <v>80</v>
      </c>
      <c r="W36" s="40" t="s">
        <v>80</v>
      </c>
      <c r="X36" s="40" t="s">
        <v>74</v>
      </c>
      <c r="Y36" s="40" t="s">
        <v>80</v>
      </c>
      <c r="Z36" s="40" t="s">
        <v>701</v>
      </c>
    </row>
    <row r="37">
      <c r="A37" s="18">
        <v>137714.0</v>
      </c>
      <c r="B37" s="146">
        <v>3825.01</v>
      </c>
      <c r="C37" s="22" t="s">
        <v>702</v>
      </c>
      <c r="D37" s="24" t="s">
        <v>703</v>
      </c>
      <c r="E37" s="24" t="s">
        <v>704</v>
      </c>
      <c r="F37" s="25">
        <v>42059.0</v>
      </c>
      <c r="G37" s="26">
        <v>42317.0</v>
      </c>
      <c r="H37" s="25">
        <v>43039.0</v>
      </c>
      <c r="I37" s="28">
        <v>41473.0</v>
      </c>
      <c r="J37" s="29" t="s">
        <v>70</v>
      </c>
      <c r="K37" s="31" t="s">
        <v>705</v>
      </c>
      <c r="L37" s="33" t="s">
        <v>74</v>
      </c>
      <c r="M37" s="33">
        <v>2018.0</v>
      </c>
      <c r="N37" s="31" t="s">
        <v>710</v>
      </c>
      <c r="O37" s="24" t="s">
        <v>711</v>
      </c>
      <c r="P37" s="24" t="s">
        <v>712</v>
      </c>
      <c r="Q37" s="33" t="s">
        <v>713</v>
      </c>
      <c r="R37" s="33" t="s">
        <v>80</v>
      </c>
      <c r="S37" s="24" t="s">
        <v>714</v>
      </c>
      <c r="T37" s="24" t="s">
        <v>715</v>
      </c>
      <c r="U37" s="35" t="s">
        <v>716</v>
      </c>
      <c r="V37" s="33" t="s">
        <v>80</v>
      </c>
      <c r="W37" s="43" t="s">
        <v>80</v>
      </c>
      <c r="X37" s="43" t="s">
        <v>74</v>
      </c>
      <c r="Y37" s="43" t="s">
        <v>80</v>
      </c>
      <c r="Z37" s="40" t="s">
        <v>717</v>
      </c>
    </row>
    <row r="38">
      <c r="A38" s="18">
        <v>136200.0</v>
      </c>
      <c r="B38" s="20">
        <v>3553.02</v>
      </c>
      <c r="C38" s="44" t="s">
        <v>718</v>
      </c>
      <c r="D38" s="23" t="s">
        <v>719</v>
      </c>
      <c r="E38" s="23" t="s">
        <v>720</v>
      </c>
      <c r="F38" s="25">
        <v>41660.0</v>
      </c>
      <c r="G38" s="26">
        <v>42489.0</v>
      </c>
      <c r="H38" s="25">
        <v>43131.0</v>
      </c>
      <c r="I38" s="28">
        <v>42156.0</v>
      </c>
      <c r="J38" s="29" t="s">
        <v>70</v>
      </c>
      <c r="K38" s="31" t="s">
        <v>721</v>
      </c>
      <c r="L38" s="33" t="s">
        <v>74</v>
      </c>
      <c r="M38" s="33">
        <v>1999.0</v>
      </c>
      <c r="N38" s="31" t="s">
        <v>722</v>
      </c>
      <c r="O38" s="24" t="s">
        <v>726</v>
      </c>
      <c r="P38" s="24" t="s">
        <v>728</v>
      </c>
      <c r="Q38" s="33" t="s">
        <v>102</v>
      </c>
      <c r="R38" s="33" t="s">
        <v>80</v>
      </c>
      <c r="S38" s="24" t="s">
        <v>730</v>
      </c>
      <c r="T38" s="24" t="s">
        <v>102</v>
      </c>
      <c r="U38" s="35" t="s">
        <v>731</v>
      </c>
      <c r="V38" s="72" t="s">
        <v>80</v>
      </c>
      <c r="W38" s="40" t="s">
        <v>80</v>
      </c>
      <c r="X38" s="40" t="s">
        <v>74</v>
      </c>
      <c r="Y38" s="40" t="s">
        <v>74</v>
      </c>
      <c r="Z38" s="40" t="s">
        <v>155</v>
      </c>
    </row>
    <row r="39">
      <c r="A39" s="18">
        <v>136762.0</v>
      </c>
      <c r="B39" s="20">
        <v>3609.01</v>
      </c>
      <c r="C39" s="22" t="s">
        <v>733</v>
      </c>
      <c r="D39" s="23" t="s">
        <v>734</v>
      </c>
      <c r="E39" s="24" t="s">
        <v>736</v>
      </c>
      <c r="F39" s="25">
        <v>41649.0</v>
      </c>
      <c r="G39" s="26">
        <v>42353.0</v>
      </c>
      <c r="H39" s="25">
        <v>43069.0</v>
      </c>
      <c r="I39" s="28">
        <v>42704.0</v>
      </c>
      <c r="J39" s="29" t="s">
        <v>70</v>
      </c>
      <c r="K39" s="31" t="s">
        <v>738</v>
      </c>
      <c r="L39" s="33" t="s">
        <v>74</v>
      </c>
      <c r="M39" s="33">
        <v>1926.0</v>
      </c>
      <c r="N39" s="31" t="s">
        <v>742</v>
      </c>
      <c r="O39" s="24" t="s">
        <v>746</v>
      </c>
      <c r="P39" s="24" t="s">
        <v>750</v>
      </c>
      <c r="Q39" s="33" t="s">
        <v>102</v>
      </c>
      <c r="R39" s="33" t="s">
        <v>80</v>
      </c>
      <c r="S39" s="24" t="s">
        <v>753</v>
      </c>
      <c r="T39" s="24" t="s">
        <v>102</v>
      </c>
      <c r="U39" s="35" t="s">
        <v>754</v>
      </c>
      <c r="V39" s="33" t="s">
        <v>80</v>
      </c>
      <c r="W39" s="40" t="s">
        <v>80</v>
      </c>
      <c r="X39" s="40" t="s">
        <v>74</v>
      </c>
      <c r="Y39" s="40" t="s">
        <v>80</v>
      </c>
      <c r="Z39" s="40" t="s">
        <v>755</v>
      </c>
    </row>
    <row r="40">
      <c r="A40" s="18">
        <v>136571.0</v>
      </c>
      <c r="B40" s="20">
        <v>3691.01</v>
      </c>
      <c r="C40" s="22" t="s">
        <v>389</v>
      </c>
      <c r="D40" s="23" t="s">
        <v>756</v>
      </c>
      <c r="E40" s="24" t="s">
        <v>757</v>
      </c>
      <c r="F40" s="25">
        <v>41817.0</v>
      </c>
      <c r="G40" s="26">
        <v>41995.0</v>
      </c>
      <c r="H40" s="25">
        <v>42766.0</v>
      </c>
      <c r="I40" s="28">
        <v>41117.0</v>
      </c>
      <c r="J40" s="29" t="s">
        <v>70</v>
      </c>
      <c r="K40" s="31" t="s">
        <v>759</v>
      </c>
      <c r="L40" s="33" t="s">
        <v>74</v>
      </c>
      <c r="M40" s="33">
        <v>2002.0</v>
      </c>
      <c r="N40" s="31" t="s">
        <v>761</v>
      </c>
      <c r="O40" s="24" t="s">
        <v>762</v>
      </c>
      <c r="P40" s="24" t="s">
        <v>763</v>
      </c>
      <c r="Q40" s="24" t="s">
        <v>764</v>
      </c>
      <c r="R40" s="33" t="s">
        <v>74</v>
      </c>
      <c r="S40" s="24" t="s">
        <v>102</v>
      </c>
      <c r="T40" s="24" t="s">
        <v>102</v>
      </c>
      <c r="U40" s="35" t="s">
        <v>765</v>
      </c>
      <c r="V40" s="33" t="s">
        <v>80</v>
      </c>
      <c r="W40" s="43" t="s">
        <v>80</v>
      </c>
      <c r="X40" s="43" t="s">
        <v>74</v>
      </c>
      <c r="Y40" s="43" t="s">
        <v>80</v>
      </c>
      <c r="Z40" s="40" t="s">
        <v>770</v>
      </c>
    </row>
    <row r="41">
      <c r="A41" s="18">
        <v>138819.0</v>
      </c>
      <c r="B41" s="20">
        <v>3847.01</v>
      </c>
      <c r="C41" s="22" t="s">
        <v>772</v>
      </c>
      <c r="D41" s="23" t="s">
        <v>774</v>
      </c>
      <c r="E41" s="24" t="s">
        <v>775</v>
      </c>
      <c r="F41" s="89">
        <v>42088.0</v>
      </c>
      <c r="G41" s="26">
        <v>42236.0</v>
      </c>
      <c r="H41" s="25">
        <v>43039.0</v>
      </c>
      <c r="I41" s="52">
        <v>41575.0</v>
      </c>
      <c r="J41" s="29" t="s">
        <v>70</v>
      </c>
      <c r="K41" s="31" t="s">
        <v>776</v>
      </c>
      <c r="L41" s="33" t="s">
        <v>74</v>
      </c>
      <c r="M41" s="33">
        <v>2001.0</v>
      </c>
      <c r="N41" s="31" t="s">
        <v>777</v>
      </c>
      <c r="O41" s="24" t="s">
        <v>778</v>
      </c>
      <c r="P41" s="24" t="s">
        <v>779</v>
      </c>
      <c r="Q41" s="33" t="s">
        <v>780</v>
      </c>
      <c r="R41" s="33" t="s">
        <v>80</v>
      </c>
      <c r="S41" s="24" t="s">
        <v>781</v>
      </c>
      <c r="T41" s="24" t="s">
        <v>782</v>
      </c>
      <c r="U41" s="35" t="s">
        <v>783</v>
      </c>
      <c r="V41" s="33" t="s">
        <v>80</v>
      </c>
      <c r="W41" s="40" t="s">
        <v>80</v>
      </c>
      <c r="X41" s="40" t="s">
        <v>74</v>
      </c>
      <c r="Y41" s="40" t="s">
        <v>80</v>
      </c>
      <c r="Z41" s="40" t="s">
        <v>785</v>
      </c>
    </row>
    <row r="42">
      <c r="A42" s="75">
        <v>140570.0</v>
      </c>
      <c r="B42" s="76">
        <v>4245.01</v>
      </c>
      <c r="C42" s="22" t="s">
        <v>786</v>
      </c>
      <c r="D42" s="24" t="s">
        <v>788</v>
      </c>
      <c r="E42" s="24" t="s">
        <v>789</v>
      </c>
      <c r="F42" s="96">
        <v>42712.0</v>
      </c>
      <c r="G42" s="70">
        <v>42919.0</v>
      </c>
      <c r="H42" s="156">
        <v>43738.0</v>
      </c>
      <c r="I42" s="52">
        <v>42934.0</v>
      </c>
      <c r="J42" s="29" t="s">
        <v>70</v>
      </c>
      <c r="K42" s="31" t="s">
        <v>797</v>
      </c>
      <c r="L42" s="33" t="s">
        <v>74</v>
      </c>
      <c r="M42" s="33">
        <v>2011.0</v>
      </c>
      <c r="N42" s="31" t="s">
        <v>799</v>
      </c>
      <c r="O42" s="24" t="s">
        <v>800</v>
      </c>
      <c r="P42" s="24" t="s">
        <v>801</v>
      </c>
      <c r="Q42" s="33" t="s">
        <v>102</v>
      </c>
      <c r="R42" s="33" t="s">
        <v>80</v>
      </c>
      <c r="S42" s="24" t="s">
        <v>804</v>
      </c>
      <c r="T42" s="24">
        <v>5.0</v>
      </c>
      <c r="U42" s="35" t="s">
        <v>805</v>
      </c>
      <c r="V42" s="33" t="s">
        <v>80</v>
      </c>
      <c r="W42" s="40"/>
      <c r="X42" s="40"/>
      <c r="Y42" s="40"/>
      <c r="Z42" s="40"/>
    </row>
    <row r="43">
      <c r="A43" s="18">
        <v>136573.0</v>
      </c>
      <c r="B43" s="20">
        <v>3732.01</v>
      </c>
      <c r="C43" s="44" t="s">
        <v>808</v>
      </c>
      <c r="D43" s="23" t="s">
        <v>809</v>
      </c>
      <c r="E43" s="24" t="s">
        <v>810</v>
      </c>
      <c r="F43" s="25">
        <v>41879.0</v>
      </c>
      <c r="G43" s="26">
        <v>42038.0</v>
      </c>
      <c r="H43" s="25">
        <v>42794.0</v>
      </c>
      <c r="I43" s="28">
        <v>42038.0</v>
      </c>
      <c r="J43" s="29" t="s">
        <v>70</v>
      </c>
      <c r="K43" s="31" t="s">
        <v>811</v>
      </c>
      <c r="L43" s="33" t="s">
        <v>74</v>
      </c>
      <c r="M43" s="33">
        <v>2006.0</v>
      </c>
      <c r="N43" s="31" t="s">
        <v>813</v>
      </c>
      <c r="O43" s="24" t="s">
        <v>816</v>
      </c>
      <c r="P43" s="24" t="s">
        <v>818</v>
      </c>
      <c r="Q43" s="33" t="s">
        <v>102</v>
      </c>
      <c r="R43" s="33" t="s">
        <v>80</v>
      </c>
      <c r="S43" s="24" t="s">
        <v>819</v>
      </c>
      <c r="T43" s="24" t="s">
        <v>102</v>
      </c>
      <c r="U43" s="35" t="s">
        <v>820</v>
      </c>
      <c r="V43" s="33" t="s">
        <v>80</v>
      </c>
      <c r="W43" s="40" t="s">
        <v>80</v>
      </c>
      <c r="X43" s="40" t="s">
        <v>74</v>
      </c>
      <c r="Y43" s="40" t="s">
        <v>80</v>
      </c>
      <c r="Z43" s="40" t="s">
        <v>822</v>
      </c>
    </row>
    <row r="44">
      <c r="A44" s="18">
        <v>139960.0</v>
      </c>
      <c r="B44" s="23">
        <v>4043.01</v>
      </c>
      <c r="C44" s="22" t="s">
        <v>647</v>
      </c>
      <c r="D44" s="24" t="s">
        <v>823</v>
      </c>
      <c r="E44" s="24" t="s">
        <v>824</v>
      </c>
      <c r="F44" s="25">
        <v>42375.0</v>
      </c>
      <c r="G44" s="26">
        <v>42549.0</v>
      </c>
      <c r="H44" s="25">
        <v>43281.0</v>
      </c>
      <c r="I44" s="28">
        <v>42551.0</v>
      </c>
      <c r="J44" s="29" t="s">
        <v>70</v>
      </c>
      <c r="K44" s="31" t="s">
        <v>827</v>
      </c>
      <c r="L44" s="33" t="s">
        <v>74</v>
      </c>
      <c r="M44" s="33">
        <v>2005.0</v>
      </c>
      <c r="N44" s="31" t="s">
        <v>829</v>
      </c>
      <c r="O44" s="24" t="s">
        <v>836</v>
      </c>
      <c r="P44" s="24" t="s">
        <v>838</v>
      </c>
      <c r="Q44" s="33" t="s">
        <v>102</v>
      </c>
      <c r="R44" s="33" t="s">
        <v>80</v>
      </c>
      <c r="S44" s="24" t="s">
        <v>839</v>
      </c>
      <c r="T44" s="24" t="s">
        <v>840</v>
      </c>
      <c r="U44" s="35" t="s">
        <v>842</v>
      </c>
      <c r="V44" s="33" t="s">
        <v>80</v>
      </c>
      <c r="W44" s="43" t="s">
        <v>80</v>
      </c>
      <c r="X44" s="43" t="s">
        <v>74</v>
      </c>
      <c r="Y44" s="43" t="s">
        <v>80</v>
      </c>
      <c r="Z44" s="40" t="s">
        <v>847</v>
      </c>
    </row>
    <row r="45">
      <c r="A45" s="158"/>
      <c r="B45" s="159"/>
      <c r="C45" s="159"/>
      <c r="D45" s="159"/>
      <c r="E45" s="159"/>
      <c r="F45" s="160"/>
      <c r="G45" s="160"/>
      <c r="H45" s="160"/>
      <c r="I45" s="161"/>
      <c r="J45" s="159"/>
      <c r="K45" s="159"/>
      <c r="L45" s="162"/>
      <c r="M45" s="162"/>
      <c r="N45" s="159"/>
      <c r="O45" s="159"/>
      <c r="P45" s="159"/>
      <c r="Q45" s="163"/>
      <c r="R45" s="162"/>
      <c r="S45" s="159"/>
      <c r="T45" s="159"/>
      <c r="U45" s="165"/>
      <c r="V45" s="162"/>
      <c r="W45" s="159"/>
      <c r="X45" s="159"/>
      <c r="Y45" s="159"/>
      <c r="Z45" s="159"/>
    </row>
    <row r="46">
      <c r="A46" s="158"/>
      <c r="B46" s="159"/>
      <c r="C46" s="159"/>
      <c r="D46" s="159"/>
      <c r="E46" s="159"/>
      <c r="F46" s="160"/>
      <c r="G46" s="160"/>
      <c r="H46" s="160"/>
      <c r="I46" s="161"/>
      <c r="J46" s="159"/>
      <c r="K46" s="159"/>
      <c r="L46" s="162"/>
      <c r="M46" s="162"/>
      <c r="N46" s="159"/>
      <c r="O46" s="159"/>
      <c r="P46" s="159"/>
      <c r="Q46" s="163"/>
      <c r="R46" s="162"/>
      <c r="S46" s="159"/>
      <c r="T46" s="166" t="s">
        <v>868</v>
      </c>
      <c r="U46" s="165"/>
      <c r="V46" s="162"/>
      <c r="W46" s="159"/>
      <c r="X46" s="159"/>
      <c r="Y46" s="159"/>
      <c r="Z46" s="159"/>
    </row>
    <row r="47">
      <c r="A47" s="158"/>
      <c r="B47" s="159"/>
      <c r="C47" s="159"/>
      <c r="D47" s="159"/>
      <c r="E47" s="159"/>
      <c r="F47" s="160"/>
      <c r="G47" s="160"/>
      <c r="H47" s="160"/>
      <c r="I47" s="161"/>
      <c r="J47" s="159"/>
      <c r="K47" s="159"/>
      <c r="L47" s="162"/>
      <c r="M47" s="162"/>
      <c r="N47" s="159"/>
      <c r="O47" s="159"/>
      <c r="P47" s="159"/>
      <c r="Q47" s="163"/>
      <c r="R47" s="162"/>
      <c r="S47" s="159"/>
      <c r="T47" s="159"/>
      <c r="U47" s="165"/>
      <c r="V47" s="162"/>
      <c r="W47" s="159"/>
      <c r="X47" s="159"/>
      <c r="Y47" s="159"/>
      <c r="Z47" s="159"/>
    </row>
    <row r="48">
      <c r="A48" s="158"/>
      <c r="B48" s="159"/>
      <c r="C48" s="159"/>
      <c r="D48" s="159"/>
      <c r="E48" s="159"/>
      <c r="F48" s="160"/>
      <c r="G48" s="160"/>
      <c r="H48" s="160"/>
      <c r="I48" s="161"/>
      <c r="J48" s="159"/>
      <c r="K48" s="159"/>
      <c r="L48" s="162"/>
      <c r="M48" s="162"/>
      <c r="N48" s="159"/>
      <c r="O48" s="159"/>
      <c r="P48" s="159"/>
      <c r="Q48" s="163"/>
      <c r="R48" s="162"/>
      <c r="S48" s="159"/>
      <c r="T48" s="159"/>
      <c r="U48" s="165"/>
      <c r="V48" s="162"/>
      <c r="W48" s="159"/>
      <c r="X48" s="159"/>
      <c r="Y48" s="159"/>
      <c r="Z48" s="159"/>
    </row>
    <row r="49">
      <c r="A49" s="158"/>
      <c r="B49" s="159"/>
      <c r="C49" s="159"/>
      <c r="D49" s="159"/>
      <c r="E49" s="159"/>
      <c r="F49" s="160"/>
      <c r="G49" s="160"/>
      <c r="H49" s="160"/>
      <c r="I49" s="161"/>
      <c r="J49" s="159"/>
      <c r="K49" s="159"/>
      <c r="L49" s="162"/>
      <c r="M49" s="162"/>
      <c r="N49" s="159"/>
      <c r="O49" s="159"/>
      <c r="P49" s="159"/>
      <c r="Q49" s="163"/>
      <c r="R49" s="162"/>
      <c r="S49" s="159"/>
      <c r="T49" s="159"/>
      <c r="U49" s="165"/>
      <c r="V49" s="162"/>
      <c r="W49" s="159"/>
      <c r="X49" s="159"/>
      <c r="Y49" s="159"/>
      <c r="Z49" s="159"/>
    </row>
    <row r="50">
      <c r="A50" s="158"/>
      <c r="B50" s="159"/>
      <c r="C50" s="159"/>
      <c r="D50" s="159"/>
      <c r="E50" s="159"/>
      <c r="F50" s="160"/>
      <c r="G50" s="160"/>
      <c r="H50" s="160"/>
      <c r="I50" s="161"/>
      <c r="J50" s="159"/>
      <c r="K50" s="159"/>
      <c r="L50" s="162"/>
      <c r="M50" s="162"/>
      <c r="N50" s="159"/>
      <c r="O50" s="159"/>
      <c r="P50" s="159"/>
      <c r="Q50" s="163"/>
      <c r="R50" s="162"/>
      <c r="S50" s="159"/>
      <c r="T50" s="159"/>
      <c r="U50" s="165"/>
      <c r="V50" s="162"/>
      <c r="W50" s="159"/>
      <c r="X50" s="159"/>
      <c r="Y50" s="159"/>
      <c r="Z50" s="159"/>
    </row>
    <row r="51">
      <c r="A51" s="158"/>
      <c r="B51" s="159"/>
      <c r="C51" s="159"/>
      <c r="D51" s="159"/>
      <c r="E51" s="159"/>
      <c r="F51" s="160"/>
      <c r="G51" s="160"/>
      <c r="H51" s="160"/>
      <c r="I51" s="161"/>
      <c r="J51" s="159"/>
      <c r="K51" s="159"/>
      <c r="L51" s="162"/>
      <c r="M51" s="162"/>
      <c r="N51" s="159"/>
      <c r="O51" s="159"/>
      <c r="P51" s="159"/>
      <c r="Q51" s="163"/>
      <c r="R51" s="162"/>
      <c r="S51" s="159"/>
      <c r="T51" s="159"/>
      <c r="U51" s="165"/>
      <c r="V51" s="162"/>
      <c r="W51" s="159"/>
      <c r="X51" s="159"/>
      <c r="Y51" s="159"/>
      <c r="Z51" s="159"/>
    </row>
    <row r="52">
      <c r="A52" s="158"/>
      <c r="B52" s="159"/>
      <c r="C52" s="159"/>
      <c r="D52" s="159"/>
      <c r="E52" s="159"/>
      <c r="F52" s="160"/>
      <c r="G52" s="160"/>
      <c r="H52" s="160"/>
      <c r="I52" s="161"/>
      <c r="J52" s="167" t="s">
        <v>882</v>
      </c>
      <c r="K52" s="169" t="s">
        <v>884</v>
      </c>
      <c r="L52" s="170"/>
      <c r="M52" s="162"/>
      <c r="N52" s="159"/>
      <c r="O52" s="159"/>
      <c r="P52" s="159"/>
      <c r="Q52" s="163"/>
      <c r="R52" s="162"/>
      <c r="S52" s="159"/>
      <c r="T52" s="159"/>
      <c r="U52" s="165"/>
      <c r="V52" s="162"/>
      <c r="W52" s="159"/>
      <c r="X52" s="159"/>
      <c r="Y52" s="159"/>
      <c r="Z52" s="159"/>
    </row>
    <row r="53">
      <c r="A53" s="158"/>
      <c r="B53" s="159"/>
      <c r="C53" s="159"/>
      <c r="D53" s="159"/>
      <c r="E53" s="159"/>
      <c r="F53" s="160"/>
      <c r="G53" s="160"/>
      <c r="H53" s="160"/>
      <c r="I53" s="161"/>
      <c r="J53" s="167" t="s">
        <v>890</v>
      </c>
      <c r="K53" s="169" t="s">
        <v>891</v>
      </c>
      <c r="L53" s="170"/>
      <c r="M53" s="162"/>
      <c r="N53" s="159"/>
      <c r="O53" s="159"/>
      <c r="P53" s="159"/>
      <c r="Q53" s="163"/>
      <c r="R53" s="162"/>
      <c r="S53" s="159"/>
      <c r="T53" s="159"/>
      <c r="U53" s="165"/>
      <c r="V53" s="162"/>
      <c r="W53" s="159"/>
      <c r="X53" s="159"/>
      <c r="Y53" s="159"/>
      <c r="Z53" s="159"/>
    </row>
    <row r="54">
      <c r="A54" s="158"/>
      <c r="B54" s="159"/>
      <c r="C54" s="159"/>
      <c r="D54" s="159"/>
      <c r="E54" s="159"/>
      <c r="F54" s="160"/>
      <c r="G54" s="160"/>
      <c r="H54" s="160"/>
      <c r="I54" s="161"/>
      <c r="J54" s="167" t="s">
        <v>893</v>
      </c>
      <c r="K54" s="159"/>
      <c r="L54" s="162"/>
      <c r="M54" s="162"/>
      <c r="N54" s="159"/>
      <c r="O54" s="159"/>
      <c r="P54" s="159"/>
      <c r="Q54" s="163"/>
      <c r="R54" s="162"/>
      <c r="S54" s="159"/>
      <c r="T54" s="159"/>
      <c r="U54" s="165"/>
      <c r="V54" s="162"/>
      <c r="W54" s="159"/>
      <c r="X54" s="159"/>
      <c r="Y54" s="159"/>
      <c r="Z54" s="159"/>
    </row>
    <row r="55">
      <c r="A55" s="159"/>
      <c r="B55" s="159"/>
      <c r="C55" s="159"/>
      <c r="D55" s="159"/>
      <c r="E55" s="159"/>
      <c r="F55" s="160"/>
      <c r="G55" s="160"/>
      <c r="H55" s="160"/>
      <c r="I55" s="161"/>
      <c r="J55" s="167" t="s">
        <v>895</v>
      </c>
      <c r="K55" s="159"/>
      <c r="L55" s="162"/>
      <c r="M55" s="162"/>
      <c r="N55" s="159"/>
      <c r="O55" s="159"/>
      <c r="P55" s="159"/>
      <c r="Q55" s="163"/>
      <c r="R55" s="162"/>
      <c r="S55" s="159"/>
      <c r="T55" s="159"/>
      <c r="U55" s="165"/>
      <c r="V55" s="162"/>
      <c r="W55" s="159"/>
      <c r="X55" s="159"/>
      <c r="Y55" s="159"/>
      <c r="Z55" s="159"/>
    </row>
    <row r="56">
      <c r="F56" s="173"/>
      <c r="G56" s="173"/>
      <c r="H56" s="173"/>
      <c r="I56" s="174"/>
      <c r="L56" s="175"/>
      <c r="M56" s="175"/>
      <c r="P56" s="178"/>
      <c r="Q56" s="179"/>
      <c r="R56" s="175"/>
      <c r="U56" s="135"/>
      <c r="V56" s="175"/>
    </row>
    <row r="57">
      <c r="F57" s="173"/>
      <c r="G57" s="173"/>
      <c r="H57" s="173"/>
      <c r="I57" s="174"/>
      <c r="L57" s="175"/>
      <c r="M57" s="175"/>
      <c r="P57" s="178"/>
      <c r="Q57" s="179"/>
      <c r="R57" s="175"/>
      <c r="U57" s="135"/>
      <c r="V57" s="175"/>
    </row>
    <row r="58">
      <c r="F58" s="173"/>
      <c r="G58" s="173"/>
      <c r="H58" s="173"/>
      <c r="I58" s="174"/>
      <c r="L58" s="175"/>
      <c r="M58" s="175"/>
      <c r="P58" s="178"/>
      <c r="Q58" s="179"/>
      <c r="R58" s="175"/>
      <c r="U58" s="135"/>
      <c r="V58" s="175"/>
    </row>
    <row r="59">
      <c r="F59" s="173"/>
      <c r="G59" s="173"/>
      <c r="H59" s="173"/>
      <c r="I59" s="174"/>
      <c r="L59" s="175"/>
      <c r="M59" s="175"/>
      <c r="P59" s="178"/>
      <c r="Q59" s="179"/>
      <c r="R59" s="175"/>
      <c r="U59" s="135"/>
      <c r="V59" s="175"/>
    </row>
    <row r="60">
      <c r="F60" s="173"/>
      <c r="G60" s="173"/>
      <c r="H60" s="173"/>
      <c r="I60" s="174"/>
      <c r="L60" s="175"/>
      <c r="M60" s="175"/>
      <c r="P60" s="178"/>
      <c r="Q60" s="179"/>
      <c r="R60" s="175"/>
      <c r="U60" s="135"/>
      <c r="V60" s="175"/>
    </row>
    <row r="61">
      <c r="F61" s="173"/>
      <c r="G61" s="173"/>
      <c r="H61" s="173"/>
      <c r="I61" s="174"/>
      <c r="L61" s="175"/>
      <c r="M61" s="175"/>
      <c r="P61" s="178"/>
      <c r="Q61" s="179"/>
      <c r="R61" s="175"/>
      <c r="U61" s="135"/>
      <c r="V61" s="175"/>
    </row>
    <row r="62">
      <c r="F62" s="173"/>
      <c r="G62" s="173"/>
      <c r="H62" s="173"/>
      <c r="I62" s="174"/>
      <c r="L62" s="175"/>
      <c r="M62" s="175"/>
      <c r="P62" s="178"/>
      <c r="Q62" s="179"/>
      <c r="R62" s="175"/>
      <c r="U62" s="135"/>
      <c r="V62" s="175"/>
    </row>
    <row r="63">
      <c r="F63" s="173"/>
      <c r="G63" s="173"/>
      <c r="H63" s="173"/>
      <c r="I63" s="174"/>
      <c r="L63" s="175"/>
      <c r="M63" s="175"/>
      <c r="P63" s="178"/>
      <c r="Q63" s="179"/>
      <c r="R63" s="175"/>
      <c r="U63" s="135"/>
      <c r="V63" s="175"/>
    </row>
    <row r="64">
      <c r="F64" s="173"/>
      <c r="G64" s="173"/>
      <c r="H64" s="173"/>
      <c r="I64" s="174"/>
      <c r="L64" s="175"/>
      <c r="M64" s="175"/>
      <c r="P64" s="178"/>
      <c r="Q64" s="179"/>
      <c r="R64" s="175"/>
      <c r="U64" s="135"/>
      <c r="V64" s="175"/>
    </row>
    <row r="65">
      <c r="F65" s="173"/>
      <c r="G65" s="173"/>
      <c r="H65" s="173"/>
      <c r="I65" s="174"/>
      <c r="L65" s="175"/>
      <c r="M65" s="175"/>
      <c r="P65" s="178"/>
      <c r="Q65" s="179"/>
      <c r="R65" s="175"/>
      <c r="U65" s="135"/>
      <c r="V65" s="175"/>
    </row>
    <row r="66">
      <c r="F66" s="173"/>
      <c r="G66" s="173"/>
      <c r="H66" s="173"/>
      <c r="I66" s="174"/>
      <c r="L66" s="175"/>
      <c r="M66" s="175"/>
      <c r="P66" s="178"/>
      <c r="Q66" s="179"/>
      <c r="R66" s="175"/>
      <c r="U66" s="135"/>
      <c r="V66" s="175"/>
    </row>
    <row r="67">
      <c r="F67" s="173"/>
      <c r="G67" s="173"/>
      <c r="H67" s="173"/>
      <c r="I67" s="174"/>
      <c r="L67" s="175"/>
      <c r="M67" s="175"/>
      <c r="P67" s="178"/>
      <c r="Q67" s="179"/>
      <c r="R67" s="175"/>
      <c r="U67" s="135"/>
      <c r="V67" s="175"/>
    </row>
    <row r="68">
      <c r="F68" s="173"/>
      <c r="G68" s="173"/>
      <c r="H68" s="173"/>
      <c r="I68" s="174"/>
      <c r="L68" s="175"/>
      <c r="M68" s="175"/>
      <c r="P68" s="178"/>
      <c r="Q68" s="179"/>
      <c r="R68" s="175"/>
      <c r="U68" s="135"/>
      <c r="V68" s="175"/>
    </row>
    <row r="69">
      <c r="F69" s="173"/>
      <c r="G69" s="173"/>
      <c r="H69" s="173"/>
      <c r="I69" s="174"/>
      <c r="L69" s="175"/>
      <c r="M69" s="175"/>
      <c r="P69" s="178"/>
      <c r="Q69" s="179"/>
      <c r="R69" s="175"/>
      <c r="U69" s="135"/>
      <c r="V69" s="175"/>
    </row>
    <row r="70">
      <c r="F70" s="173"/>
      <c r="G70" s="173"/>
      <c r="H70" s="173"/>
      <c r="I70" s="174"/>
      <c r="L70" s="175"/>
      <c r="M70" s="175"/>
      <c r="P70" s="178"/>
      <c r="Q70" s="179"/>
      <c r="R70" s="175"/>
      <c r="U70" s="135"/>
      <c r="V70" s="175"/>
    </row>
    <row r="71">
      <c r="F71" s="173"/>
      <c r="G71" s="173"/>
      <c r="H71" s="173"/>
      <c r="I71" s="174"/>
      <c r="L71" s="175"/>
      <c r="M71" s="175"/>
      <c r="P71" s="178"/>
      <c r="Q71" s="179"/>
      <c r="R71" s="175"/>
      <c r="U71" s="135"/>
      <c r="V71" s="175"/>
    </row>
    <row r="72">
      <c r="F72" s="173"/>
      <c r="G72" s="173"/>
      <c r="H72" s="173"/>
      <c r="I72" s="174"/>
      <c r="L72" s="175"/>
      <c r="M72" s="175"/>
      <c r="P72" s="178"/>
      <c r="Q72" s="179"/>
      <c r="R72" s="175"/>
      <c r="U72" s="135"/>
      <c r="V72" s="175"/>
    </row>
    <row r="73">
      <c r="F73" s="173"/>
      <c r="G73" s="173"/>
      <c r="H73" s="173"/>
      <c r="I73" s="174"/>
      <c r="L73" s="175"/>
      <c r="M73" s="175"/>
      <c r="P73" s="178"/>
      <c r="Q73" s="179"/>
      <c r="R73" s="175"/>
      <c r="U73" s="135"/>
      <c r="V73" s="175"/>
    </row>
    <row r="74">
      <c r="F74" s="173"/>
      <c r="G74" s="173"/>
      <c r="H74" s="173"/>
      <c r="I74" s="174"/>
      <c r="L74" s="175"/>
      <c r="M74" s="175"/>
      <c r="P74" s="178"/>
      <c r="Q74" s="179"/>
      <c r="R74" s="175"/>
      <c r="U74" s="135"/>
      <c r="V74" s="175"/>
    </row>
    <row r="75">
      <c r="F75" s="173"/>
      <c r="G75" s="173"/>
      <c r="H75" s="173"/>
      <c r="I75" s="174"/>
      <c r="L75" s="175"/>
      <c r="M75" s="175"/>
      <c r="P75" s="178"/>
      <c r="Q75" s="179"/>
      <c r="R75" s="175"/>
      <c r="U75" s="135"/>
      <c r="V75" s="175"/>
    </row>
    <row r="76">
      <c r="F76" s="173"/>
      <c r="G76" s="173"/>
      <c r="H76" s="173"/>
      <c r="I76" s="174"/>
      <c r="L76" s="175"/>
      <c r="M76" s="175"/>
      <c r="P76" s="178"/>
      <c r="Q76" s="179"/>
      <c r="R76" s="175"/>
      <c r="U76" s="135"/>
      <c r="V76" s="175"/>
    </row>
    <row r="77">
      <c r="F77" s="173"/>
      <c r="G77" s="173"/>
      <c r="H77" s="173"/>
      <c r="I77" s="174"/>
      <c r="L77" s="175"/>
      <c r="M77" s="175"/>
      <c r="P77" s="178"/>
      <c r="Q77" s="179"/>
      <c r="R77" s="175"/>
      <c r="U77" s="135"/>
      <c r="V77" s="175"/>
    </row>
    <row r="78">
      <c r="F78" s="173"/>
      <c r="G78" s="173"/>
      <c r="H78" s="173"/>
      <c r="I78" s="174"/>
      <c r="L78" s="175"/>
      <c r="M78" s="175"/>
      <c r="P78" s="178"/>
      <c r="Q78" s="179"/>
      <c r="R78" s="175"/>
      <c r="U78" s="135"/>
      <c r="V78" s="175"/>
    </row>
    <row r="79">
      <c r="F79" s="173"/>
      <c r="G79" s="173"/>
      <c r="H79" s="173"/>
      <c r="I79" s="174"/>
      <c r="L79" s="175"/>
      <c r="M79" s="175"/>
      <c r="P79" s="178"/>
      <c r="Q79" s="179"/>
      <c r="R79" s="175"/>
      <c r="U79" s="135"/>
      <c r="V79" s="175"/>
    </row>
    <row r="80">
      <c r="F80" s="173"/>
      <c r="G80" s="173"/>
      <c r="H80" s="173"/>
      <c r="I80" s="174"/>
      <c r="L80" s="175"/>
      <c r="M80" s="175"/>
      <c r="P80" s="178"/>
      <c r="Q80" s="179"/>
      <c r="R80" s="175"/>
      <c r="U80" s="135"/>
      <c r="V80" s="175"/>
    </row>
    <row r="81">
      <c r="F81" s="173"/>
      <c r="G81" s="173"/>
      <c r="H81" s="173"/>
      <c r="I81" s="174"/>
      <c r="L81" s="175"/>
      <c r="M81" s="175"/>
      <c r="P81" s="178"/>
      <c r="Q81" s="179"/>
      <c r="R81" s="175"/>
      <c r="U81" s="135"/>
      <c r="V81" s="175"/>
    </row>
    <row r="82">
      <c r="F82" s="173"/>
      <c r="G82" s="173"/>
      <c r="H82" s="173"/>
      <c r="I82" s="174"/>
      <c r="L82" s="175"/>
      <c r="M82" s="175"/>
      <c r="P82" s="178"/>
      <c r="Q82" s="179"/>
      <c r="R82" s="175"/>
      <c r="U82" s="135"/>
      <c r="V82" s="175"/>
    </row>
    <row r="83">
      <c r="F83" s="173"/>
      <c r="G83" s="173"/>
      <c r="H83" s="173"/>
      <c r="I83" s="174"/>
      <c r="L83" s="175"/>
      <c r="M83" s="175"/>
      <c r="P83" s="178"/>
      <c r="Q83" s="179"/>
      <c r="R83" s="175"/>
      <c r="U83" s="135"/>
      <c r="V83" s="175"/>
    </row>
    <row r="84">
      <c r="F84" s="173"/>
      <c r="G84" s="173"/>
      <c r="H84" s="173"/>
      <c r="I84" s="174"/>
      <c r="L84" s="175"/>
      <c r="M84" s="175"/>
      <c r="P84" s="178"/>
      <c r="Q84" s="179"/>
      <c r="R84" s="175"/>
      <c r="U84" s="135"/>
      <c r="V84" s="175"/>
    </row>
    <row r="85">
      <c r="F85" s="173"/>
      <c r="G85" s="173"/>
      <c r="H85" s="173"/>
      <c r="I85" s="174"/>
      <c r="L85" s="175"/>
      <c r="M85" s="175"/>
      <c r="P85" s="178"/>
      <c r="Q85" s="179"/>
      <c r="R85" s="175"/>
      <c r="U85" s="135"/>
      <c r="V85" s="175"/>
    </row>
    <row r="86">
      <c r="F86" s="173"/>
      <c r="G86" s="173"/>
      <c r="H86" s="173"/>
      <c r="I86" s="174"/>
      <c r="L86" s="175"/>
      <c r="M86" s="175"/>
      <c r="P86" s="178"/>
      <c r="Q86" s="179"/>
      <c r="R86" s="175"/>
      <c r="U86" s="135"/>
      <c r="V86" s="175"/>
    </row>
    <row r="87">
      <c r="F87" s="173"/>
      <c r="G87" s="173"/>
      <c r="H87" s="173"/>
      <c r="I87" s="174"/>
      <c r="L87" s="175"/>
      <c r="M87" s="175"/>
      <c r="P87" s="178"/>
      <c r="Q87" s="179"/>
      <c r="R87" s="175"/>
      <c r="U87" s="135"/>
      <c r="V87" s="175"/>
    </row>
    <row r="88">
      <c r="F88" s="173"/>
      <c r="G88" s="173"/>
      <c r="H88" s="173"/>
      <c r="I88" s="174"/>
      <c r="L88" s="175"/>
      <c r="M88" s="175"/>
      <c r="P88" s="178"/>
      <c r="Q88" s="179"/>
      <c r="R88" s="175"/>
      <c r="U88" s="135"/>
      <c r="V88" s="175"/>
    </row>
    <row r="89">
      <c r="F89" s="173"/>
      <c r="G89" s="173"/>
      <c r="H89" s="173"/>
      <c r="I89" s="174"/>
      <c r="L89" s="175"/>
      <c r="M89" s="175"/>
      <c r="P89" s="178"/>
      <c r="Q89" s="179"/>
      <c r="R89" s="175"/>
      <c r="U89" s="135"/>
      <c r="V89" s="175"/>
    </row>
    <row r="90">
      <c r="F90" s="173"/>
      <c r="G90" s="173"/>
      <c r="H90" s="173"/>
      <c r="I90" s="174"/>
      <c r="L90" s="175"/>
      <c r="M90" s="175"/>
      <c r="P90" s="178"/>
      <c r="Q90" s="179"/>
      <c r="R90" s="175"/>
      <c r="U90" s="135"/>
      <c r="V90" s="175"/>
    </row>
    <row r="91">
      <c r="F91" s="173"/>
      <c r="G91" s="173"/>
      <c r="H91" s="173"/>
      <c r="I91" s="174"/>
      <c r="L91" s="175"/>
      <c r="M91" s="175"/>
      <c r="P91" s="178"/>
      <c r="Q91" s="179"/>
      <c r="R91" s="175"/>
      <c r="U91" s="135"/>
      <c r="V91" s="175"/>
    </row>
    <row r="92">
      <c r="F92" s="173"/>
      <c r="G92" s="173"/>
      <c r="H92" s="173"/>
      <c r="I92" s="174"/>
      <c r="L92" s="175"/>
      <c r="M92" s="175"/>
      <c r="P92" s="178"/>
      <c r="Q92" s="179"/>
      <c r="R92" s="175"/>
      <c r="U92" s="135"/>
      <c r="V92" s="175"/>
    </row>
    <row r="93">
      <c r="F93" s="173"/>
      <c r="G93" s="173"/>
      <c r="H93" s="173"/>
      <c r="I93" s="174"/>
      <c r="L93" s="175"/>
      <c r="M93" s="175"/>
      <c r="P93" s="178"/>
      <c r="Q93" s="179"/>
      <c r="R93" s="175"/>
      <c r="U93" s="135"/>
      <c r="V93" s="175"/>
    </row>
    <row r="94">
      <c r="F94" s="173"/>
      <c r="G94" s="173"/>
      <c r="H94" s="173"/>
      <c r="I94" s="174"/>
      <c r="L94" s="175"/>
      <c r="M94" s="175"/>
      <c r="P94" s="178"/>
      <c r="Q94" s="179"/>
      <c r="R94" s="175"/>
      <c r="U94" s="135"/>
      <c r="V94" s="175"/>
    </row>
    <row r="95">
      <c r="F95" s="173"/>
      <c r="G95" s="173"/>
      <c r="H95" s="173"/>
      <c r="I95" s="174"/>
      <c r="L95" s="175"/>
      <c r="M95" s="175"/>
      <c r="P95" s="178"/>
      <c r="Q95" s="179"/>
      <c r="R95" s="175"/>
      <c r="U95" s="135"/>
      <c r="V95" s="175"/>
    </row>
    <row r="96">
      <c r="F96" s="173"/>
      <c r="G96" s="173"/>
      <c r="H96" s="173"/>
      <c r="I96" s="174"/>
      <c r="L96" s="175"/>
      <c r="M96" s="175"/>
      <c r="P96" s="178"/>
      <c r="Q96" s="179"/>
      <c r="R96" s="175"/>
      <c r="U96" s="135"/>
      <c r="V96" s="175"/>
    </row>
    <row r="97">
      <c r="F97" s="173"/>
      <c r="G97" s="173"/>
      <c r="H97" s="173"/>
      <c r="I97" s="174"/>
      <c r="L97" s="175"/>
      <c r="M97" s="175"/>
      <c r="P97" s="178"/>
      <c r="Q97" s="179"/>
      <c r="R97" s="175"/>
      <c r="U97" s="135"/>
      <c r="V97" s="175"/>
    </row>
    <row r="98">
      <c r="F98" s="173"/>
      <c r="G98" s="173"/>
      <c r="H98" s="173"/>
      <c r="I98" s="174"/>
      <c r="L98" s="175"/>
      <c r="M98" s="175"/>
      <c r="P98" s="178"/>
      <c r="Q98" s="179"/>
      <c r="R98" s="175"/>
      <c r="U98" s="135"/>
      <c r="V98" s="175"/>
    </row>
    <row r="99">
      <c r="F99" s="173"/>
      <c r="G99" s="173"/>
      <c r="H99" s="173"/>
      <c r="I99" s="174"/>
      <c r="L99" s="175"/>
      <c r="M99" s="175"/>
      <c r="P99" s="178"/>
      <c r="Q99" s="179"/>
      <c r="R99" s="175"/>
      <c r="U99" s="135"/>
      <c r="V99" s="175"/>
    </row>
    <row r="100">
      <c r="F100" s="173"/>
      <c r="G100" s="173"/>
      <c r="H100" s="173"/>
      <c r="I100" s="174"/>
      <c r="L100" s="175"/>
      <c r="M100" s="175"/>
      <c r="P100" s="178"/>
      <c r="Q100" s="179"/>
      <c r="R100" s="175"/>
      <c r="U100" s="135"/>
      <c r="V100" s="175"/>
    </row>
    <row r="101">
      <c r="F101" s="173"/>
      <c r="G101" s="173"/>
      <c r="H101" s="173"/>
      <c r="I101" s="174"/>
      <c r="L101" s="175"/>
      <c r="M101" s="175"/>
      <c r="P101" s="178"/>
      <c r="Q101" s="179"/>
      <c r="R101" s="175"/>
      <c r="U101" s="135"/>
      <c r="V101" s="175"/>
    </row>
    <row r="102">
      <c r="F102" s="173"/>
      <c r="G102" s="173"/>
      <c r="H102" s="173"/>
      <c r="I102" s="174"/>
      <c r="L102" s="175"/>
      <c r="M102" s="175"/>
      <c r="P102" s="178"/>
      <c r="Q102" s="179"/>
      <c r="R102" s="175"/>
      <c r="U102" s="135"/>
      <c r="V102" s="175"/>
    </row>
    <row r="103">
      <c r="F103" s="173"/>
      <c r="G103" s="173"/>
      <c r="H103" s="173"/>
      <c r="I103" s="174"/>
      <c r="L103" s="175"/>
      <c r="M103" s="175"/>
      <c r="P103" s="178"/>
      <c r="Q103" s="179"/>
      <c r="R103" s="175"/>
      <c r="U103" s="135"/>
      <c r="V103" s="175"/>
    </row>
    <row r="104">
      <c r="F104" s="173"/>
      <c r="G104" s="173"/>
      <c r="H104" s="173"/>
      <c r="I104" s="174"/>
      <c r="L104" s="175"/>
      <c r="M104" s="175"/>
      <c r="P104" s="178"/>
      <c r="Q104" s="179"/>
      <c r="R104" s="175"/>
      <c r="U104" s="135"/>
      <c r="V104" s="175"/>
    </row>
    <row r="105">
      <c r="F105" s="173"/>
      <c r="G105" s="173"/>
      <c r="H105" s="173"/>
      <c r="I105" s="174"/>
      <c r="L105" s="175"/>
      <c r="M105" s="175"/>
      <c r="P105" s="178"/>
      <c r="Q105" s="179"/>
      <c r="R105" s="175"/>
      <c r="U105" s="135"/>
      <c r="V105" s="175"/>
    </row>
    <row r="106">
      <c r="F106" s="173"/>
      <c r="G106" s="173"/>
      <c r="H106" s="173"/>
      <c r="I106" s="174"/>
      <c r="L106" s="175"/>
      <c r="M106" s="175"/>
      <c r="P106" s="178"/>
      <c r="Q106" s="179"/>
      <c r="R106" s="175"/>
      <c r="U106" s="135"/>
      <c r="V106" s="175"/>
    </row>
    <row r="107">
      <c r="F107" s="173"/>
      <c r="G107" s="173"/>
      <c r="H107" s="173"/>
      <c r="I107" s="174"/>
      <c r="L107" s="175"/>
      <c r="M107" s="175"/>
      <c r="P107" s="178"/>
      <c r="Q107" s="179"/>
      <c r="R107" s="175"/>
      <c r="U107" s="135"/>
      <c r="V107" s="175"/>
    </row>
    <row r="108">
      <c r="F108" s="173"/>
      <c r="G108" s="173"/>
      <c r="H108" s="173"/>
      <c r="I108" s="174"/>
      <c r="L108" s="175"/>
      <c r="M108" s="175"/>
      <c r="P108" s="178"/>
      <c r="Q108" s="179"/>
      <c r="R108" s="175"/>
      <c r="U108" s="135"/>
      <c r="V108" s="175"/>
    </row>
    <row r="109">
      <c r="F109" s="173"/>
      <c r="G109" s="173"/>
      <c r="H109" s="173"/>
      <c r="I109" s="174"/>
      <c r="L109" s="175"/>
      <c r="M109" s="175"/>
      <c r="P109" s="178"/>
      <c r="Q109" s="179"/>
      <c r="R109" s="175"/>
      <c r="U109" s="135"/>
      <c r="V109" s="175"/>
    </row>
    <row r="110">
      <c r="F110" s="173"/>
      <c r="G110" s="173"/>
      <c r="H110" s="173"/>
      <c r="I110" s="174"/>
      <c r="L110" s="175"/>
      <c r="M110" s="175"/>
      <c r="P110" s="178"/>
      <c r="Q110" s="179"/>
      <c r="R110" s="175"/>
      <c r="U110" s="135"/>
      <c r="V110" s="175"/>
    </row>
    <row r="111">
      <c r="F111" s="173"/>
      <c r="G111" s="173"/>
      <c r="H111" s="173"/>
      <c r="I111" s="174"/>
      <c r="L111" s="175"/>
      <c r="M111" s="175"/>
      <c r="P111" s="178"/>
      <c r="Q111" s="179"/>
      <c r="R111" s="175"/>
      <c r="U111" s="135"/>
      <c r="V111" s="175"/>
    </row>
    <row r="112">
      <c r="F112" s="173"/>
      <c r="G112" s="173"/>
      <c r="H112" s="173"/>
      <c r="I112" s="174"/>
      <c r="L112" s="175"/>
      <c r="M112" s="175"/>
      <c r="P112" s="178"/>
      <c r="Q112" s="179"/>
      <c r="R112" s="175"/>
      <c r="U112" s="135"/>
      <c r="V112" s="175"/>
    </row>
    <row r="113">
      <c r="F113" s="173"/>
      <c r="G113" s="173"/>
      <c r="H113" s="173"/>
      <c r="I113" s="174"/>
      <c r="L113" s="175"/>
      <c r="M113" s="175"/>
      <c r="P113" s="178"/>
      <c r="Q113" s="179"/>
      <c r="R113" s="175"/>
      <c r="U113" s="135"/>
      <c r="V113" s="175"/>
    </row>
    <row r="114">
      <c r="F114" s="173"/>
      <c r="G114" s="173"/>
      <c r="H114" s="173"/>
      <c r="I114" s="174"/>
      <c r="L114" s="175"/>
      <c r="M114" s="175"/>
      <c r="P114" s="178"/>
      <c r="Q114" s="179"/>
      <c r="R114" s="175"/>
      <c r="U114" s="135"/>
      <c r="V114" s="175"/>
    </row>
    <row r="115">
      <c r="F115" s="173"/>
      <c r="G115" s="173"/>
      <c r="H115" s="173"/>
      <c r="I115" s="174"/>
      <c r="L115" s="175"/>
      <c r="M115" s="175"/>
      <c r="P115" s="178"/>
      <c r="Q115" s="179"/>
      <c r="R115" s="175"/>
      <c r="U115" s="135"/>
      <c r="V115" s="175"/>
    </row>
    <row r="116">
      <c r="F116" s="173"/>
      <c r="G116" s="173"/>
      <c r="H116" s="173"/>
      <c r="I116" s="174"/>
      <c r="L116" s="175"/>
      <c r="M116" s="175"/>
      <c r="P116" s="178"/>
      <c r="Q116" s="179"/>
      <c r="R116" s="175"/>
      <c r="U116" s="135"/>
      <c r="V116" s="175"/>
    </row>
    <row r="117">
      <c r="F117" s="173"/>
      <c r="G117" s="173"/>
      <c r="H117" s="173"/>
      <c r="I117" s="174"/>
      <c r="L117" s="175"/>
      <c r="M117" s="175"/>
      <c r="P117" s="178"/>
      <c r="Q117" s="179"/>
      <c r="R117" s="175"/>
      <c r="U117" s="135"/>
      <c r="V117" s="175"/>
    </row>
    <row r="118">
      <c r="F118" s="173"/>
      <c r="G118" s="173"/>
      <c r="H118" s="173"/>
      <c r="I118" s="174"/>
      <c r="L118" s="175"/>
      <c r="M118" s="175"/>
      <c r="P118" s="178"/>
      <c r="Q118" s="179"/>
      <c r="R118" s="175"/>
      <c r="U118" s="135"/>
      <c r="V118" s="175"/>
    </row>
    <row r="119">
      <c r="F119" s="173"/>
      <c r="G119" s="173"/>
      <c r="H119" s="173"/>
      <c r="I119" s="174"/>
      <c r="L119" s="175"/>
      <c r="M119" s="175"/>
      <c r="P119" s="178"/>
      <c r="Q119" s="179"/>
      <c r="R119" s="175"/>
      <c r="U119" s="135"/>
      <c r="V119" s="175"/>
    </row>
    <row r="120">
      <c r="F120" s="173"/>
      <c r="G120" s="173"/>
      <c r="H120" s="173"/>
      <c r="I120" s="174"/>
      <c r="L120" s="175"/>
      <c r="M120" s="175"/>
      <c r="P120" s="178"/>
      <c r="Q120" s="179"/>
      <c r="R120" s="175"/>
      <c r="U120" s="135"/>
      <c r="V120" s="175"/>
    </row>
    <row r="121">
      <c r="F121" s="173"/>
      <c r="G121" s="173"/>
      <c r="H121" s="173"/>
      <c r="I121" s="174"/>
      <c r="L121" s="175"/>
      <c r="M121" s="175"/>
      <c r="P121" s="178"/>
      <c r="Q121" s="179"/>
      <c r="R121" s="175"/>
      <c r="U121" s="135"/>
      <c r="V121" s="175"/>
    </row>
    <row r="122">
      <c r="F122" s="173"/>
      <c r="G122" s="173"/>
      <c r="H122" s="173"/>
      <c r="I122" s="174"/>
      <c r="L122" s="175"/>
      <c r="M122" s="175"/>
      <c r="P122" s="178"/>
      <c r="Q122" s="179"/>
      <c r="R122" s="175"/>
      <c r="U122" s="135"/>
      <c r="V122" s="175"/>
    </row>
    <row r="123">
      <c r="F123" s="173"/>
      <c r="G123" s="173"/>
      <c r="H123" s="173"/>
      <c r="I123" s="174"/>
      <c r="L123" s="175"/>
      <c r="M123" s="175"/>
      <c r="P123" s="178"/>
      <c r="Q123" s="179"/>
      <c r="R123" s="175"/>
      <c r="U123" s="135"/>
      <c r="V123" s="175"/>
    </row>
    <row r="124">
      <c r="F124" s="173"/>
      <c r="G124" s="173"/>
      <c r="H124" s="173"/>
      <c r="I124" s="174"/>
      <c r="L124" s="175"/>
      <c r="M124" s="175"/>
      <c r="P124" s="178"/>
      <c r="Q124" s="179"/>
      <c r="R124" s="175"/>
      <c r="U124" s="135"/>
      <c r="V124" s="175"/>
    </row>
    <row r="125">
      <c r="F125" s="173"/>
      <c r="G125" s="173"/>
      <c r="H125" s="173"/>
      <c r="I125" s="174"/>
      <c r="L125" s="175"/>
      <c r="M125" s="175"/>
      <c r="P125" s="178"/>
      <c r="Q125" s="179"/>
      <c r="R125" s="175"/>
      <c r="U125" s="135"/>
      <c r="V125" s="175"/>
    </row>
    <row r="126">
      <c r="F126" s="173"/>
      <c r="G126" s="173"/>
      <c r="H126" s="173"/>
      <c r="I126" s="174"/>
      <c r="L126" s="175"/>
      <c r="M126" s="175"/>
      <c r="P126" s="178"/>
      <c r="Q126" s="179"/>
      <c r="R126" s="175"/>
      <c r="U126" s="135"/>
      <c r="V126" s="175"/>
    </row>
    <row r="127">
      <c r="F127" s="173"/>
      <c r="G127" s="173"/>
      <c r="H127" s="173"/>
      <c r="I127" s="174"/>
      <c r="L127" s="175"/>
      <c r="M127" s="175"/>
      <c r="P127" s="178"/>
      <c r="Q127" s="179"/>
      <c r="R127" s="175"/>
      <c r="U127" s="135"/>
      <c r="V127" s="175"/>
    </row>
    <row r="128">
      <c r="F128" s="173"/>
      <c r="G128" s="173"/>
      <c r="H128" s="173"/>
      <c r="I128" s="174"/>
      <c r="L128" s="175"/>
      <c r="M128" s="175"/>
      <c r="P128" s="178"/>
      <c r="Q128" s="179"/>
      <c r="R128" s="175"/>
      <c r="U128" s="135"/>
      <c r="V128" s="175"/>
    </row>
    <row r="129">
      <c r="F129" s="173"/>
      <c r="G129" s="173"/>
      <c r="H129" s="173"/>
      <c r="I129" s="174"/>
      <c r="L129" s="175"/>
      <c r="M129" s="175"/>
      <c r="P129" s="178"/>
      <c r="Q129" s="179"/>
      <c r="R129" s="175"/>
      <c r="U129" s="135"/>
      <c r="V129" s="175"/>
    </row>
    <row r="130">
      <c r="F130" s="173"/>
      <c r="G130" s="173"/>
      <c r="H130" s="173"/>
      <c r="I130" s="174"/>
      <c r="L130" s="175"/>
      <c r="M130" s="175"/>
      <c r="P130" s="178"/>
      <c r="Q130" s="179"/>
      <c r="R130" s="175"/>
      <c r="U130" s="135"/>
      <c r="V130" s="175"/>
    </row>
    <row r="131">
      <c r="F131" s="173"/>
      <c r="G131" s="173"/>
      <c r="H131" s="173"/>
      <c r="I131" s="174"/>
      <c r="L131" s="175"/>
      <c r="M131" s="175"/>
      <c r="P131" s="178"/>
      <c r="Q131" s="179"/>
      <c r="R131" s="175"/>
      <c r="U131" s="135"/>
      <c r="V131" s="175"/>
    </row>
    <row r="132">
      <c r="F132" s="173"/>
      <c r="G132" s="173"/>
      <c r="H132" s="173"/>
      <c r="I132" s="174"/>
      <c r="L132" s="175"/>
      <c r="M132" s="175"/>
      <c r="P132" s="178"/>
      <c r="Q132" s="179"/>
      <c r="R132" s="175"/>
      <c r="U132" s="135"/>
      <c r="V132" s="175"/>
    </row>
    <row r="133">
      <c r="F133" s="173"/>
      <c r="G133" s="173"/>
      <c r="H133" s="173"/>
      <c r="I133" s="174"/>
      <c r="L133" s="175"/>
      <c r="M133" s="175"/>
      <c r="P133" s="178"/>
      <c r="Q133" s="179"/>
      <c r="R133" s="175"/>
      <c r="U133" s="135"/>
      <c r="V133" s="175"/>
    </row>
    <row r="134">
      <c r="F134" s="173"/>
      <c r="G134" s="173"/>
      <c r="H134" s="173"/>
      <c r="I134" s="174"/>
      <c r="L134" s="175"/>
      <c r="M134" s="175"/>
      <c r="P134" s="178"/>
      <c r="Q134" s="179"/>
      <c r="R134" s="175"/>
      <c r="U134" s="135"/>
      <c r="V134" s="175"/>
    </row>
    <row r="135">
      <c r="F135" s="173"/>
      <c r="G135" s="173"/>
      <c r="H135" s="173"/>
      <c r="I135" s="174"/>
      <c r="L135" s="175"/>
      <c r="M135" s="175"/>
      <c r="P135" s="178"/>
      <c r="Q135" s="179"/>
      <c r="R135" s="175"/>
      <c r="U135" s="135"/>
      <c r="V135" s="175"/>
    </row>
    <row r="136">
      <c r="F136" s="173"/>
      <c r="G136" s="173"/>
      <c r="H136" s="173"/>
      <c r="I136" s="174"/>
      <c r="L136" s="175"/>
      <c r="M136" s="175"/>
      <c r="P136" s="178"/>
      <c r="Q136" s="179"/>
      <c r="R136" s="175"/>
      <c r="U136" s="135"/>
      <c r="V136" s="175"/>
    </row>
    <row r="137">
      <c r="F137" s="173"/>
      <c r="G137" s="173"/>
      <c r="H137" s="173"/>
      <c r="I137" s="174"/>
      <c r="L137" s="175"/>
      <c r="M137" s="175"/>
      <c r="P137" s="178"/>
      <c r="Q137" s="179"/>
      <c r="R137" s="175"/>
      <c r="U137" s="135"/>
      <c r="V137" s="175"/>
    </row>
    <row r="138">
      <c r="F138" s="173"/>
      <c r="G138" s="173"/>
      <c r="H138" s="173"/>
      <c r="I138" s="174"/>
      <c r="L138" s="175"/>
      <c r="M138" s="175"/>
      <c r="P138" s="178"/>
      <c r="Q138" s="179"/>
      <c r="R138" s="175"/>
      <c r="U138" s="135"/>
      <c r="V138" s="175"/>
    </row>
    <row r="139">
      <c r="F139" s="173"/>
      <c r="G139" s="173"/>
      <c r="H139" s="173"/>
      <c r="I139" s="174"/>
      <c r="L139" s="175"/>
      <c r="M139" s="175"/>
      <c r="P139" s="178"/>
      <c r="Q139" s="179"/>
      <c r="R139" s="175"/>
      <c r="U139" s="135"/>
      <c r="V139" s="175"/>
    </row>
    <row r="140">
      <c r="F140" s="173"/>
      <c r="G140" s="173"/>
      <c r="H140" s="173"/>
      <c r="I140" s="174"/>
      <c r="L140" s="175"/>
      <c r="M140" s="175"/>
      <c r="P140" s="178"/>
      <c r="Q140" s="179"/>
      <c r="R140" s="175"/>
      <c r="U140" s="135"/>
      <c r="V140" s="175"/>
    </row>
    <row r="141">
      <c r="F141" s="173"/>
      <c r="G141" s="173"/>
      <c r="H141" s="173"/>
      <c r="I141" s="174"/>
      <c r="L141" s="175"/>
      <c r="M141" s="175"/>
      <c r="P141" s="178"/>
      <c r="Q141" s="179"/>
      <c r="R141" s="175"/>
      <c r="U141" s="135"/>
      <c r="V141" s="175"/>
    </row>
    <row r="142">
      <c r="F142" s="173"/>
      <c r="G142" s="173"/>
      <c r="H142" s="173"/>
      <c r="I142" s="174"/>
      <c r="L142" s="175"/>
      <c r="M142" s="175"/>
      <c r="P142" s="178"/>
      <c r="Q142" s="179"/>
      <c r="R142" s="175"/>
      <c r="U142" s="135"/>
      <c r="V142" s="175"/>
    </row>
    <row r="143">
      <c r="F143" s="173"/>
      <c r="G143" s="173"/>
      <c r="H143" s="173"/>
      <c r="I143" s="174"/>
      <c r="L143" s="175"/>
      <c r="M143" s="175"/>
      <c r="P143" s="178"/>
      <c r="Q143" s="179"/>
      <c r="R143" s="175"/>
      <c r="U143" s="135"/>
      <c r="V143" s="175"/>
    </row>
    <row r="144">
      <c r="F144" s="173"/>
      <c r="G144" s="173"/>
      <c r="H144" s="173"/>
      <c r="I144" s="174"/>
      <c r="L144" s="175"/>
      <c r="M144" s="175"/>
      <c r="P144" s="178"/>
      <c r="Q144" s="179"/>
      <c r="R144" s="175"/>
      <c r="U144" s="135"/>
      <c r="V144" s="175"/>
    </row>
    <row r="145">
      <c r="F145" s="173"/>
      <c r="G145" s="173"/>
      <c r="H145" s="173"/>
      <c r="I145" s="174"/>
      <c r="L145" s="175"/>
      <c r="M145" s="175"/>
      <c r="P145" s="178"/>
      <c r="Q145" s="179"/>
      <c r="R145" s="175"/>
      <c r="U145" s="135"/>
      <c r="V145" s="175"/>
    </row>
    <row r="146">
      <c r="F146" s="173"/>
      <c r="G146" s="173"/>
      <c r="H146" s="173"/>
      <c r="I146" s="174"/>
      <c r="L146" s="175"/>
      <c r="M146" s="175"/>
      <c r="P146" s="178"/>
      <c r="Q146" s="179"/>
      <c r="R146" s="175"/>
      <c r="U146" s="135"/>
      <c r="V146" s="175"/>
    </row>
    <row r="147">
      <c r="F147" s="173"/>
      <c r="G147" s="173"/>
      <c r="H147" s="173"/>
      <c r="I147" s="174"/>
      <c r="L147" s="175"/>
      <c r="M147" s="175"/>
      <c r="P147" s="178"/>
      <c r="Q147" s="179"/>
      <c r="R147" s="175"/>
      <c r="U147" s="135"/>
      <c r="V147" s="175"/>
    </row>
    <row r="148">
      <c r="F148" s="173"/>
      <c r="G148" s="173"/>
      <c r="H148" s="173"/>
      <c r="I148" s="174"/>
      <c r="L148" s="175"/>
      <c r="M148" s="175"/>
      <c r="P148" s="178"/>
      <c r="Q148" s="179"/>
      <c r="R148" s="175"/>
      <c r="U148" s="135"/>
      <c r="V148" s="175"/>
    </row>
    <row r="149">
      <c r="F149" s="173"/>
      <c r="G149" s="173"/>
      <c r="H149" s="173"/>
      <c r="I149" s="174"/>
      <c r="L149" s="175"/>
      <c r="M149" s="175"/>
      <c r="P149" s="178"/>
      <c r="Q149" s="179"/>
      <c r="R149" s="175"/>
      <c r="U149" s="135"/>
      <c r="V149" s="175"/>
    </row>
    <row r="150">
      <c r="F150" s="173"/>
      <c r="G150" s="173"/>
      <c r="H150" s="173"/>
      <c r="I150" s="174"/>
      <c r="L150" s="175"/>
      <c r="M150" s="175"/>
      <c r="P150" s="178"/>
      <c r="Q150" s="179"/>
      <c r="R150" s="175"/>
      <c r="U150" s="135"/>
      <c r="V150" s="175"/>
    </row>
    <row r="151">
      <c r="F151" s="173"/>
      <c r="G151" s="173"/>
      <c r="H151" s="173"/>
      <c r="I151" s="174"/>
      <c r="L151" s="175"/>
      <c r="M151" s="175"/>
      <c r="P151" s="178"/>
      <c r="Q151" s="179"/>
      <c r="R151" s="175"/>
      <c r="U151" s="135"/>
      <c r="V151" s="175"/>
    </row>
    <row r="152">
      <c r="F152" s="173"/>
      <c r="G152" s="173"/>
      <c r="H152" s="173"/>
      <c r="I152" s="174"/>
      <c r="L152" s="175"/>
      <c r="M152" s="175"/>
      <c r="P152" s="178"/>
      <c r="Q152" s="179"/>
      <c r="R152" s="175"/>
      <c r="U152" s="135"/>
      <c r="V152" s="175"/>
    </row>
    <row r="153">
      <c r="F153" s="173"/>
      <c r="G153" s="173"/>
      <c r="H153" s="173"/>
      <c r="I153" s="174"/>
      <c r="L153" s="175"/>
      <c r="M153" s="175"/>
      <c r="P153" s="178"/>
      <c r="Q153" s="179"/>
      <c r="R153" s="175"/>
      <c r="U153" s="135"/>
      <c r="V153" s="175"/>
    </row>
    <row r="154">
      <c r="F154" s="173"/>
      <c r="G154" s="173"/>
      <c r="H154" s="173"/>
      <c r="I154" s="174"/>
      <c r="L154" s="175"/>
      <c r="M154" s="175"/>
      <c r="P154" s="178"/>
      <c r="Q154" s="179"/>
      <c r="R154" s="175"/>
      <c r="U154" s="135"/>
      <c r="V154" s="175"/>
    </row>
    <row r="155">
      <c r="F155" s="173"/>
      <c r="G155" s="173"/>
      <c r="H155" s="173"/>
      <c r="I155" s="174"/>
      <c r="L155" s="175"/>
      <c r="M155" s="175"/>
      <c r="P155" s="178"/>
      <c r="Q155" s="179"/>
      <c r="R155" s="175"/>
      <c r="U155" s="135"/>
      <c r="V155" s="175"/>
    </row>
    <row r="156">
      <c r="F156" s="173"/>
      <c r="G156" s="173"/>
      <c r="H156" s="173"/>
      <c r="I156" s="174"/>
      <c r="L156" s="175"/>
      <c r="M156" s="175"/>
      <c r="P156" s="178"/>
      <c r="Q156" s="179"/>
      <c r="R156" s="175"/>
      <c r="U156" s="135"/>
      <c r="V156" s="175"/>
    </row>
    <row r="157">
      <c r="F157" s="173"/>
      <c r="G157" s="173"/>
      <c r="H157" s="173"/>
      <c r="I157" s="174"/>
      <c r="L157" s="175"/>
      <c r="M157" s="175"/>
      <c r="P157" s="178"/>
      <c r="Q157" s="179"/>
      <c r="R157" s="175"/>
      <c r="U157" s="135"/>
      <c r="V157" s="175"/>
    </row>
    <row r="158">
      <c r="F158" s="173"/>
      <c r="G158" s="173"/>
      <c r="H158" s="173"/>
      <c r="I158" s="174"/>
      <c r="L158" s="175"/>
      <c r="M158" s="175"/>
      <c r="P158" s="178"/>
      <c r="Q158" s="179"/>
      <c r="R158" s="175"/>
      <c r="U158" s="135"/>
      <c r="V158" s="175"/>
    </row>
    <row r="159">
      <c r="F159" s="173"/>
      <c r="G159" s="173"/>
      <c r="H159" s="173"/>
      <c r="I159" s="174"/>
      <c r="L159" s="175"/>
      <c r="M159" s="175"/>
      <c r="P159" s="178"/>
      <c r="Q159" s="179"/>
      <c r="R159" s="175"/>
      <c r="U159" s="135"/>
      <c r="V159" s="175"/>
    </row>
    <row r="160">
      <c r="F160" s="173"/>
      <c r="G160" s="173"/>
      <c r="H160" s="173"/>
      <c r="I160" s="174"/>
      <c r="L160" s="175"/>
      <c r="M160" s="175"/>
      <c r="P160" s="178"/>
      <c r="Q160" s="179"/>
      <c r="R160" s="175"/>
      <c r="U160" s="135"/>
      <c r="V160" s="175"/>
    </row>
    <row r="161">
      <c r="F161" s="173"/>
      <c r="G161" s="173"/>
      <c r="H161" s="173"/>
      <c r="I161" s="174"/>
      <c r="L161" s="175"/>
      <c r="M161" s="175"/>
      <c r="P161" s="178"/>
      <c r="Q161" s="179"/>
      <c r="R161" s="175"/>
      <c r="U161" s="135"/>
      <c r="V161" s="175"/>
    </row>
    <row r="162">
      <c r="F162" s="173"/>
      <c r="G162" s="173"/>
      <c r="H162" s="173"/>
      <c r="I162" s="174"/>
      <c r="L162" s="175"/>
      <c r="M162" s="175"/>
      <c r="P162" s="178"/>
      <c r="Q162" s="179"/>
      <c r="R162" s="175"/>
      <c r="U162" s="135"/>
      <c r="V162" s="175"/>
    </row>
    <row r="163">
      <c r="F163" s="173"/>
      <c r="G163" s="173"/>
      <c r="H163" s="173"/>
      <c r="I163" s="174"/>
      <c r="L163" s="175"/>
      <c r="M163" s="175"/>
      <c r="P163" s="178"/>
      <c r="Q163" s="179"/>
      <c r="R163" s="175"/>
      <c r="U163" s="135"/>
      <c r="V163" s="175"/>
    </row>
    <row r="164">
      <c r="F164" s="173"/>
      <c r="G164" s="173"/>
      <c r="H164" s="173"/>
      <c r="I164" s="174"/>
      <c r="L164" s="175"/>
      <c r="M164" s="175"/>
      <c r="P164" s="178"/>
      <c r="Q164" s="179"/>
      <c r="R164" s="175"/>
      <c r="U164" s="135"/>
      <c r="V164" s="175"/>
    </row>
    <row r="165">
      <c r="F165" s="173"/>
      <c r="G165" s="173"/>
      <c r="H165" s="173"/>
      <c r="I165" s="174"/>
      <c r="L165" s="175"/>
      <c r="M165" s="175"/>
      <c r="P165" s="178"/>
      <c r="Q165" s="179"/>
      <c r="R165" s="175"/>
      <c r="U165" s="135"/>
      <c r="V165" s="175"/>
    </row>
    <row r="166">
      <c r="F166" s="173"/>
      <c r="G166" s="173"/>
      <c r="H166" s="173"/>
      <c r="I166" s="174"/>
      <c r="L166" s="175"/>
      <c r="M166" s="175"/>
      <c r="P166" s="178"/>
      <c r="Q166" s="179"/>
      <c r="R166" s="175"/>
      <c r="U166" s="135"/>
      <c r="V166" s="175"/>
    </row>
    <row r="167">
      <c r="F167" s="173"/>
      <c r="G167" s="173"/>
      <c r="H167" s="173"/>
      <c r="I167" s="174"/>
      <c r="L167" s="175"/>
      <c r="M167" s="175"/>
      <c r="P167" s="178"/>
      <c r="Q167" s="179"/>
      <c r="R167" s="175"/>
      <c r="U167" s="135"/>
      <c r="V167" s="175"/>
    </row>
    <row r="168">
      <c r="F168" s="173"/>
      <c r="G168" s="173"/>
      <c r="H168" s="173"/>
      <c r="I168" s="174"/>
      <c r="L168" s="175"/>
      <c r="M168" s="175"/>
      <c r="P168" s="178"/>
      <c r="Q168" s="179"/>
      <c r="R168" s="175"/>
      <c r="U168" s="135"/>
      <c r="V168" s="175"/>
    </row>
    <row r="169">
      <c r="F169" s="173"/>
      <c r="G169" s="173"/>
      <c r="H169" s="173"/>
      <c r="I169" s="174"/>
      <c r="L169" s="175"/>
      <c r="M169" s="175"/>
      <c r="P169" s="178"/>
      <c r="Q169" s="179"/>
      <c r="R169" s="175"/>
      <c r="U169" s="135"/>
      <c r="V169" s="175"/>
    </row>
    <row r="170">
      <c r="F170" s="173"/>
      <c r="G170" s="173"/>
      <c r="H170" s="173"/>
      <c r="I170" s="174"/>
      <c r="L170" s="175"/>
      <c r="M170" s="175"/>
      <c r="P170" s="178"/>
      <c r="Q170" s="179"/>
      <c r="R170" s="175"/>
      <c r="U170" s="135"/>
      <c r="V170" s="175"/>
    </row>
    <row r="171">
      <c r="F171" s="173"/>
      <c r="G171" s="173"/>
      <c r="H171" s="173"/>
      <c r="I171" s="174"/>
      <c r="L171" s="175"/>
      <c r="M171" s="175"/>
      <c r="P171" s="178"/>
      <c r="Q171" s="179"/>
      <c r="R171" s="175"/>
      <c r="U171" s="135"/>
      <c r="V171" s="175"/>
    </row>
    <row r="172">
      <c r="F172" s="173"/>
      <c r="G172" s="173"/>
      <c r="H172" s="173"/>
      <c r="I172" s="174"/>
      <c r="L172" s="175"/>
      <c r="M172" s="175"/>
      <c r="P172" s="178"/>
      <c r="Q172" s="179"/>
      <c r="R172" s="175"/>
      <c r="U172" s="135"/>
      <c r="V172" s="175"/>
    </row>
    <row r="173">
      <c r="F173" s="173"/>
      <c r="G173" s="173"/>
      <c r="H173" s="173"/>
      <c r="I173" s="174"/>
      <c r="L173" s="175"/>
      <c r="M173" s="175"/>
      <c r="P173" s="178"/>
      <c r="Q173" s="179"/>
      <c r="R173" s="175"/>
      <c r="U173" s="135"/>
      <c r="V173" s="175"/>
    </row>
    <row r="174">
      <c r="F174" s="173"/>
      <c r="G174" s="173"/>
      <c r="H174" s="173"/>
      <c r="I174" s="174"/>
      <c r="L174" s="175"/>
      <c r="M174" s="175"/>
      <c r="P174" s="178"/>
      <c r="Q174" s="179"/>
      <c r="R174" s="175"/>
      <c r="U174" s="135"/>
      <c r="V174" s="175"/>
    </row>
    <row r="175">
      <c r="F175" s="173"/>
      <c r="G175" s="173"/>
      <c r="H175" s="173"/>
      <c r="I175" s="174"/>
      <c r="L175" s="175"/>
      <c r="M175" s="175"/>
      <c r="P175" s="178"/>
      <c r="Q175" s="179"/>
      <c r="R175" s="175"/>
      <c r="U175" s="135"/>
      <c r="V175" s="175"/>
    </row>
    <row r="176">
      <c r="F176" s="173"/>
      <c r="G176" s="173"/>
      <c r="H176" s="173"/>
      <c r="I176" s="174"/>
      <c r="L176" s="175"/>
      <c r="M176" s="175"/>
      <c r="P176" s="178"/>
      <c r="Q176" s="179"/>
      <c r="R176" s="175"/>
      <c r="U176" s="135"/>
      <c r="V176" s="175"/>
    </row>
    <row r="177">
      <c r="F177" s="173"/>
      <c r="G177" s="173"/>
      <c r="H177" s="173"/>
      <c r="I177" s="174"/>
      <c r="L177" s="175"/>
      <c r="M177" s="175"/>
      <c r="P177" s="178"/>
      <c r="Q177" s="179"/>
      <c r="R177" s="175"/>
      <c r="U177" s="135"/>
      <c r="V177" s="175"/>
    </row>
    <row r="178">
      <c r="F178" s="173"/>
      <c r="G178" s="173"/>
      <c r="H178" s="173"/>
      <c r="I178" s="174"/>
      <c r="L178" s="175"/>
      <c r="M178" s="175"/>
      <c r="P178" s="178"/>
      <c r="Q178" s="179"/>
      <c r="R178" s="175"/>
      <c r="U178" s="135"/>
      <c r="V178" s="175"/>
    </row>
    <row r="179">
      <c r="F179" s="173"/>
      <c r="G179" s="173"/>
      <c r="H179" s="173"/>
      <c r="I179" s="174"/>
      <c r="L179" s="175"/>
      <c r="M179" s="175"/>
      <c r="P179" s="178"/>
      <c r="Q179" s="179"/>
      <c r="R179" s="175"/>
      <c r="U179" s="135"/>
      <c r="V179" s="175"/>
    </row>
    <row r="180">
      <c r="F180" s="173"/>
      <c r="G180" s="173"/>
      <c r="H180" s="173"/>
      <c r="I180" s="174"/>
      <c r="L180" s="175"/>
      <c r="M180" s="175"/>
      <c r="P180" s="178"/>
      <c r="Q180" s="179"/>
      <c r="R180" s="175"/>
      <c r="U180" s="135"/>
      <c r="V180" s="175"/>
    </row>
    <row r="181">
      <c r="F181" s="173"/>
      <c r="G181" s="173"/>
      <c r="H181" s="173"/>
      <c r="I181" s="174"/>
      <c r="L181" s="175"/>
      <c r="M181" s="175"/>
      <c r="P181" s="178"/>
      <c r="Q181" s="179"/>
      <c r="R181" s="175"/>
      <c r="U181" s="135"/>
      <c r="V181" s="175"/>
    </row>
    <row r="182">
      <c r="F182" s="173"/>
      <c r="G182" s="173"/>
      <c r="H182" s="173"/>
      <c r="I182" s="174"/>
      <c r="L182" s="175"/>
      <c r="M182" s="175"/>
      <c r="P182" s="178"/>
      <c r="Q182" s="179"/>
      <c r="R182" s="175"/>
      <c r="U182" s="135"/>
      <c r="V182" s="175"/>
    </row>
    <row r="183">
      <c r="F183" s="173"/>
      <c r="G183" s="173"/>
      <c r="H183" s="173"/>
      <c r="I183" s="174"/>
      <c r="L183" s="175"/>
      <c r="M183" s="175"/>
      <c r="P183" s="178"/>
      <c r="Q183" s="179"/>
      <c r="R183" s="175"/>
      <c r="U183" s="135"/>
      <c r="V183" s="175"/>
    </row>
    <row r="184">
      <c r="F184" s="173"/>
      <c r="G184" s="173"/>
      <c r="H184" s="173"/>
      <c r="I184" s="174"/>
      <c r="L184" s="175"/>
      <c r="M184" s="175"/>
      <c r="P184" s="178"/>
      <c r="Q184" s="179"/>
      <c r="R184" s="175"/>
      <c r="U184" s="135"/>
      <c r="V184" s="175"/>
    </row>
    <row r="185">
      <c r="F185" s="173"/>
      <c r="G185" s="173"/>
      <c r="H185" s="173"/>
      <c r="I185" s="174"/>
      <c r="L185" s="175"/>
      <c r="M185" s="175"/>
      <c r="P185" s="178"/>
      <c r="Q185" s="179"/>
      <c r="R185" s="175"/>
      <c r="U185" s="135"/>
      <c r="V185" s="175"/>
    </row>
    <row r="186">
      <c r="F186" s="173"/>
      <c r="G186" s="173"/>
      <c r="H186" s="173"/>
      <c r="I186" s="174"/>
      <c r="L186" s="175"/>
      <c r="M186" s="175"/>
      <c r="P186" s="178"/>
      <c r="Q186" s="179"/>
      <c r="R186" s="175"/>
      <c r="U186" s="135"/>
      <c r="V186" s="175"/>
    </row>
    <row r="187">
      <c r="F187" s="173"/>
      <c r="G187" s="173"/>
      <c r="H187" s="173"/>
      <c r="I187" s="174"/>
      <c r="L187" s="175"/>
      <c r="M187" s="175"/>
      <c r="P187" s="178"/>
      <c r="Q187" s="179"/>
      <c r="R187" s="175"/>
      <c r="U187" s="135"/>
      <c r="V187" s="175"/>
    </row>
    <row r="188">
      <c r="F188" s="173"/>
      <c r="G188" s="173"/>
      <c r="H188" s="173"/>
      <c r="I188" s="174"/>
      <c r="L188" s="175"/>
      <c r="M188" s="175"/>
      <c r="P188" s="178"/>
      <c r="Q188" s="179"/>
      <c r="R188" s="175"/>
      <c r="U188" s="135"/>
      <c r="V188" s="175"/>
    </row>
    <row r="189">
      <c r="F189" s="173"/>
      <c r="G189" s="173"/>
      <c r="H189" s="173"/>
      <c r="I189" s="174"/>
      <c r="L189" s="175"/>
      <c r="M189" s="175"/>
      <c r="P189" s="178"/>
      <c r="Q189" s="179"/>
      <c r="R189" s="175"/>
      <c r="U189" s="135"/>
      <c r="V189" s="175"/>
    </row>
    <row r="190">
      <c r="F190" s="173"/>
      <c r="G190" s="173"/>
      <c r="H190" s="173"/>
      <c r="I190" s="174"/>
      <c r="L190" s="175"/>
      <c r="M190" s="175"/>
      <c r="P190" s="178"/>
      <c r="Q190" s="179"/>
      <c r="R190" s="175"/>
      <c r="U190" s="135"/>
      <c r="V190" s="175"/>
    </row>
    <row r="191">
      <c r="F191" s="173"/>
      <c r="G191" s="173"/>
      <c r="H191" s="173"/>
      <c r="I191" s="174"/>
      <c r="L191" s="175"/>
      <c r="M191" s="175"/>
      <c r="P191" s="178"/>
      <c r="Q191" s="179"/>
      <c r="R191" s="175"/>
      <c r="U191" s="135"/>
      <c r="V191" s="175"/>
    </row>
    <row r="192">
      <c r="F192" s="173"/>
      <c r="G192" s="173"/>
      <c r="H192" s="173"/>
      <c r="I192" s="174"/>
      <c r="L192" s="175"/>
      <c r="M192" s="175"/>
      <c r="P192" s="178"/>
      <c r="Q192" s="179"/>
      <c r="R192" s="175"/>
      <c r="U192" s="135"/>
      <c r="V192" s="175"/>
    </row>
    <row r="193">
      <c r="F193" s="173"/>
      <c r="G193" s="173"/>
      <c r="H193" s="173"/>
      <c r="I193" s="174"/>
      <c r="L193" s="175"/>
      <c r="M193" s="175"/>
      <c r="P193" s="178"/>
      <c r="Q193" s="179"/>
      <c r="R193" s="175"/>
      <c r="U193" s="135"/>
      <c r="V193" s="175"/>
    </row>
    <row r="194">
      <c r="F194" s="173"/>
      <c r="G194" s="173"/>
      <c r="H194" s="173"/>
      <c r="I194" s="174"/>
      <c r="L194" s="175"/>
      <c r="M194" s="175"/>
      <c r="P194" s="178"/>
      <c r="Q194" s="179"/>
      <c r="R194" s="175"/>
      <c r="U194" s="135"/>
      <c r="V194" s="175"/>
    </row>
    <row r="195">
      <c r="F195" s="173"/>
      <c r="G195" s="173"/>
      <c r="H195" s="173"/>
      <c r="I195" s="174"/>
      <c r="L195" s="175"/>
      <c r="M195" s="175"/>
      <c r="P195" s="178"/>
      <c r="Q195" s="179"/>
      <c r="R195" s="175"/>
      <c r="U195" s="135"/>
      <c r="V195" s="175"/>
    </row>
    <row r="196">
      <c r="F196" s="173"/>
      <c r="G196" s="173"/>
      <c r="H196" s="173"/>
      <c r="I196" s="174"/>
      <c r="L196" s="175"/>
      <c r="M196" s="175"/>
      <c r="P196" s="178"/>
      <c r="Q196" s="179"/>
      <c r="R196" s="175"/>
      <c r="U196" s="135"/>
      <c r="V196" s="175"/>
    </row>
    <row r="197">
      <c r="F197" s="173"/>
      <c r="G197" s="173"/>
      <c r="H197" s="173"/>
      <c r="I197" s="174"/>
      <c r="L197" s="175"/>
      <c r="M197" s="175"/>
      <c r="P197" s="178"/>
      <c r="Q197" s="179"/>
      <c r="R197" s="175"/>
      <c r="U197" s="135"/>
      <c r="V197" s="175"/>
    </row>
    <row r="198">
      <c r="F198" s="173"/>
      <c r="G198" s="173"/>
      <c r="H198" s="173"/>
      <c r="I198" s="174"/>
      <c r="L198" s="175"/>
      <c r="M198" s="175"/>
      <c r="P198" s="178"/>
      <c r="Q198" s="179"/>
      <c r="R198" s="175"/>
      <c r="U198" s="135"/>
      <c r="V198" s="175"/>
    </row>
    <row r="199">
      <c r="F199" s="173"/>
      <c r="G199" s="173"/>
      <c r="H199" s="173"/>
      <c r="I199" s="174"/>
      <c r="L199" s="175"/>
      <c r="M199" s="175"/>
      <c r="P199" s="178"/>
      <c r="Q199" s="179"/>
      <c r="R199" s="175"/>
      <c r="U199" s="135"/>
      <c r="V199" s="175"/>
    </row>
    <row r="200">
      <c r="F200" s="173"/>
      <c r="G200" s="173"/>
      <c r="H200" s="173"/>
      <c r="I200" s="174"/>
      <c r="L200" s="175"/>
      <c r="M200" s="175"/>
      <c r="P200" s="178"/>
      <c r="Q200" s="179"/>
      <c r="R200" s="175"/>
      <c r="U200" s="135"/>
      <c r="V200" s="175"/>
    </row>
    <row r="201">
      <c r="F201" s="173"/>
      <c r="G201" s="173"/>
      <c r="H201" s="173"/>
      <c r="I201" s="174"/>
      <c r="L201" s="175"/>
      <c r="M201" s="175"/>
      <c r="P201" s="178"/>
      <c r="Q201" s="179"/>
      <c r="R201" s="175"/>
      <c r="U201" s="135"/>
      <c r="V201" s="175"/>
    </row>
    <row r="202">
      <c r="F202" s="173"/>
      <c r="G202" s="173"/>
      <c r="H202" s="173"/>
      <c r="I202" s="174"/>
      <c r="L202" s="175"/>
      <c r="M202" s="175"/>
      <c r="P202" s="178"/>
      <c r="Q202" s="179"/>
      <c r="R202" s="175"/>
      <c r="U202" s="135"/>
      <c r="V202" s="175"/>
    </row>
    <row r="203">
      <c r="F203" s="173"/>
      <c r="G203" s="173"/>
      <c r="H203" s="173"/>
      <c r="I203" s="174"/>
      <c r="L203" s="175"/>
      <c r="M203" s="175"/>
      <c r="P203" s="178"/>
      <c r="Q203" s="179"/>
      <c r="R203" s="175"/>
      <c r="U203" s="135"/>
      <c r="V203" s="175"/>
    </row>
    <row r="204">
      <c r="F204" s="173"/>
      <c r="G204" s="173"/>
      <c r="H204" s="173"/>
      <c r="I204" s="174"/>
      <c r="L204" s="175"/>
      <c r="M204" s="175"/>
      <c r="P204" s="178"/>
      <c r="Q204" s="179"/>
      <c r="R204" s="175"/>
      <c r="U204" s="135"/>
      <c r="V204" s="175"/>
    </row>
    <row r="205">
      <c r="F205" s="173"/>
      <c r="G205" s="173"/>
      <c r="H205" s="173"/>
      <c r="I205" s="174"/>
      <c r="L205" s="175"/>
      <c r="M205" s="175"/>
      <c r="P205" s="178"/>
      <c r="Q205" s="179"/>
      <c r="R205" s="175"/>
      <c r="U205" s="135"/>
      <c r="V205" s="175"/>
    </row>
    <row r="206">
      <c r="F206" s="173"/>
      <c r="G206" s="173"/>
      <c r="H206" s="173"/>
      <c r="I206" s="174"/>
      <c r="L206" s="175"/>
      <c r="M206" s="175"/>
      <c r="P206" s="178"/>
      <c r="Q206" s="179"/>
      <c r="R206" s="175"/>
      <c r="U206" s="135"/>
      <c r="V206" s="175"/>
    </row>
    <row r="207">
      <c r="F207" s="173"/>
      <c r="G207" s="173"/>
      <c r="H207" s="173"/>
      <c r="I207" s="174"/>
      <c r="L207" s="175"/>
      <c r="M207" s="175"/>
      <c r="P207" s="178"/>
      <c r="Q207" s="179"/>
      <c r="R207" s="175"/>
      <c r="U207" s="135"/>
      <c r="V207" s="175"/>
    </row>
    <row r="208">
      <c r="F208" s="173"/>
      <c r="G208" s="173"/>
      <c r="H208" s="173"/>
      <c r="I208" s="174"/>
      <c r="L208" s="175"/>
      <c r="M208" s="175"/>
      <c r="P208" s="178"/>
      <c r="Q208" s="179"/>
      <c r="R208" s="175"/>
      <c r="U208" s="135"/>
      <c r="V208" s="175"/>
    </row>
    <row r="209">
      <c r="F209" s="173"/>
      <c r="G209" s="173"/>
      <c r="H209" s="173"/>
      <c r="I209" s="174"/>
      <c r="L209" s="175"/>
      <c r="M209" s="175"/>
      <c r="P209" s="178"/>
      <c r="Q209" s="179"/>
      <c r="R209" s="175"/>
      <c r="U209" s="135"/>
      <c r="V209" s="175"/>
    </row>
    <row r="210">
      <c r="F210" s="173"/>
      <c r="G210" s="173"/>
      <c r="H210" s="173"/>
      <c r="I210" s="174"/>
      <c r="L210" s="175"/>
      <c r="M210" s="175"/>
      <c r="P210" s="178"/>
      <c r="Q210" s="179"/>
      <c r="R210" s="175"/>
      <c r="U210" s="135"/>
      <c r="V210" s="175"/>
    </row>
    <row r="211">
      <c r="F211" s="173"/>
      <c r="G211" s="173"/>
      <c r="H211" s="173"/>
      <c r="I211" s="174"/>
      <c r="L211" s="175"/>
      <c r="M211" s="175"/>
      <c r="P211" s="178"/>
      <c r="Q211" s="179"/>
      <c r="R211" s="175"/>
      <c r="U211" s="135"/>
      <c r="V211" s="175"/>
    </row>
    <row r="212">
      <c r="F212" s="173"/>
      <c r="G212" s="173"/>
      <c r="H212" s="173"/>
      <c r="I212" s="174"/>
      <c r="L212" s="175"/>
      <c r="M212" s="175"/>
      <c r="P212" s="178"/>
      <c r="Q212" s="179"/>
      <c r="R212" s="175"/>
      <c r="U212" s="135"/>
      <c r="V212" s="175"/>
    </row>
    <row r="213">
      <c r="F213" s="173"/>
      <c r="G213" s="173"/>
      <c r="H213" s="173"/>
      <c r="I213" s="174"/>
      <c r="L213" s="175"/>
      <c r="M213" s="175"/>
      <c r="P213" s="178"/>
      <c r="Q213" s="179"/>
      <c r="R213" s="175"/>
      <c r="U213" s="135"/>
      <c r="V213" s="175"/>
    </row>
    <row r="214">
      <c r="F214" s="173"/>
      <c r="G214" s="173"/>
      <c r="H214" s="173"/>
      <c r="I214" s="174"/>
      <c r="L214" s="175"/>
      <c r="M214" s="175"/>
      <c r="P214" s="178"/>
      <c r="Q214" s="179"/>
      <c r="R214" s="175"/>
      <c r="U214" s="135"/>
      <c r="V214" s="175"/>
    </row>
    <row r="215">
      <c r="F215" s="173"/>
      <c r="G215" s="173"/>
      <c r="H215" s="173"/>
      <c r="I215" s="174"/>
      <c r="L215" s="175"/>
      <c r="M215" s="175"/>
      <c r="P215" s="178"/>
      <c r="Q215" s="179"/>
      <c r="R215" s="175"/>
      <c r="U215" s="135"/>
      <c r="V215" s="175"/>
    </row>
    <row r="216">
      <c r="F216" s="173"/>
      <c r="G216" s="173"/>
      <c r="H216" s="173"/>
      <c r="I216" s="174"/>
      <c r="L216" s="175"/>
      <c r="M216" s="175"/>
      <c r="P216" s="178"/>
      <c r="Q216" s="179"/>
      <c r="R216" s="175"/>
      <c r="U216" s="135"/>
      <c r="V216" s="175"/>
    </row>
    <row r="217">
      <c r="F217" s="173"/>
      <c r="G217" s="173"/>
      <c r="H217" s="173"/>
      <c r="I217" s="174"/>
      <c r="L217" s="175"/>
      <c r="M217" s="175"/>
      <c r="P217" s="178"/>
      <c r="Q217" s="179"/>
      <c r="R217" s="175"/>
      <c r="U217" s="135"/>
      <c r="V217" s="175"/>
    </row>
    <row r="218">
      <c r="F218" s="173"/>
      <c r="G218" s="173"/>
      <c r="H218" s="173"/>
      <c r="I218" s="174"/>
      <c r="L218" s="175"/>
      <c r="M218" s="175"/>
      <c r="P218" s="178"/>
      <c r="Q218" s="179"/>
      <c r="R218" s="175"/>
      <c r="U218" s="135"/>
      <c r="V218" s="175"/>
    </row>
    <row r="219">
      <c r="F219" s="173"/>
      <c r="G219" s="173"/>
      <c r="H219" s="173"/>
      <c r="I219" s="174"/>
      <c r="L219" s="175"/>
      <c r="M219" s="175"/>
      <c r="P219" s="178"/>
      <c r="Q219" s="179"/>
      <c r="R219" s="175"/>
      <c r="U219" s="135"/>
      <c r="V219" s="175"/>
    </row>
    <row r="220">
      <c r="F220" s="173"/>
      <c r="G220" s="173"/>
      <c r="H220" s="173"/>
      <c r="I220" s="174"/>
      <c r="L220" s="175"/>
      <c r="M220" s="175"/>
      <c r="P220" s="178"/>
      <c r="Q220" s="179"/>
      <c r="R220" s="175"/>
      <c r="U220" s="135"/>
      <c r="V220" s="175"/>
    </row>
    <row r="221">
      <c r="F221" s="173"/>
      <c r="G221" s="173"/>
      <c r="H221" s="173"/>
      <c r="I221" s="174"/>
      <c r="L221" s="175"/>
      <c r="M221" s="175"/>
      <c r="P221" s="178"/>
      <c r="Q221" s="179"/>
      <c r="R221" s="175"/>
      <c r="U221" s="135"/>
      <c r="V221" s="175"/>
    </row>
    <row r="222">
      <c r="F222" s="173"/>
      <c r="G222" s="173"/>
      <c r="H222" s="173"/>
      <c r="I222" s="174"/>
      <c r="L222" s="175"/>
      <c r="M222" s="175"/>
      <c r="P222" s="178"/>
      <c r="Q222" s="179"/>
      <c r="R222" s="175"/>
      <c r="U222" s="135"/>
      <c r="V222" s="175"/>
    </row>
    <row r="223">
      <c r="F223" s="173"/>
      <c r="G223" s="173"/>
      <c r="H223" s="173"/>
      <c r="I223" s="174"/>
      <c r="L223" s="175"/>
      <c r="M223" s="175"/>
      <c r="P223" s="178"/>
      <c r="Q223" s="179"/>
      <c r="R223" s="175"/>
      <c r="U223" s="135"/>
      <c r="V223" s="175"/>
    </row>
    <row r="224">
      <c r="F224" s="173"/>
      <c r="G224" s="173"/>
      <c r="H224" s="173"/>
      <c r="I224" s="174"/>
      <c r="L224" s="175"/>
      <c r="M224" s="175"/>
      <c r="P224" s="178"/>
      <c r="Q224" s="179"/>
      <c r="R224" s="175"/>
      <c r="U224" s="135"/>
      <c r="V224" s="175"/>
    </row>
    <row r="225">
      <c r="F225" s="173"/>
      <c r="G225" s="173"/>
      <c r="H225" s="173"/>
      <c r="I225" s="174"/>
      <c r="L225" s="175"/>
      <c r="M225" s="175"/>
      <c r="P225" s="178"/>
      <c r="Q225" s="179"/>
      <c r="R225" s="175"/>
      <c r="U225" s="135"/>
      <c r="V225" s="175"/>
    </row>
    <row r="226">
      <c r="F226" s="173"/>
      <c r="G226" s="173"/>
      <c r="H226" s="173"/>
      <c r="I226" s="174"/>
      <c r="L226" s="175"/>
      <c r="M226" s="175"/>
      <c r="P226" s="178"/>
      <c r="Q226" s="179"/>
      <c r="R226" s="175"/>
      <c r="U226" s="135"/>
      <c r="V226" s="175"/>
    </row>
    <row r="227">
      <c r="F227" s="173"/>
      <c r="G227" s="173"/>
      <c r="H227" s="173"/>
      <c r="I227" s="174"/>
      <c r="L227" s="175"/>
      <c r="M227" s="175"/>
      <c r="P227" s="178"/>
      <c r="Q227" s="179"/>
      <c r="R227" s="175"/>
      <c r="U227" s="135"/>
      <c r="V227" s="175"/>
    </row>
    <row r="228">
      <c r="F228" s="173"/>
      <c r="G228" s="173"/>
      <c r="H228" s="173"/>
      <c r="I228" s="174"/>
      <c r="L228" s="175"/>
      <c r="M228" s="175"/>
      <c r="P228" s="178"/>
      <c r="Q228" s="179"/>
      <c r="R228" s="175"/>
      <c r="U228" s="135"/>
      <c r="V228" s="175"/>
    </row>
    <row r="229">
      <c r="F229" s="173"/>
      <c r="G229" s="173"/>
      <c r="H229" s="173"/>
      <c r="I229" s="174"/>
      <c r="L229" s="175"/>
      <c r="M229" s="175"/>
      <c r="P229" s="178"/>
      <c r="Q229" s="179"/>
      <c r="R229" s="175"/>
      <c r="U229" s="135"/>
      <c r="V229" s="175"/>
    </row>
    <row r="230">
      <c r="F230" s="173"/>
      <c r="G230" s="173"/>
      <c r="H230" s="173"/>
      <c r="I230" s="174"/>
      <c r="L230" s="175"/>
      <c r="M230" s="175"/>
      <c r="P230" s="178"/>
      <c r="Q230" s="179"/>
      <c r="R230" s="175"/>
      <c r="U230" s="135"/>
      <c r="V230" s="175"/>
    </row>
    <row r="231">
      <c r="F231" s="173"/>
      <c r="G231" s="173"/>
      <c r="H231" s="173"/>
      <c r="I231" s="174"/>
      <c r="L231" s="175"/>
      <c r="M231" s="175"/>
      <c r="P231" s="178"/>
      <c r="Q231" s="179"/>
      <c r="R231" s="175"/>
      <c r="U231" s="135"/>
      <c r="V231" s="175"/>
    </row>
    <row r="232">
      <c r="F232" s="173"/>
      <c r="G232" s="173"/>
      <c r="H232" s="173"/>
      <c r="I232" s="174"/>
      <c r="L232" s="175"/>
      <c r="M232" s="175"/>
      <c r="P232" s="178"/>
      <c r="Q232" s="179"/>
      <c r="R232" s="175"/>
      <c r="U232" s="135"/>
      <c r="V232" s="175"/>
    </row>
    <row r="233">
      <c r="F233" s="173"/>
      <c r="G233" s="173"/>
      <c r="H233" s="173"/>
      <c r="I233" s="174"/>
      <c r="L233" s="175"/>
      <c r="M233" s="175"/>
      <c r="P233" s="178"/>
      <c r="Q233" s="179"/>
      <c r="R233" s="175"/>
      <c r="U233" s="135"/>
      <c r="V233" s="175"/>
    </row>
    <row r="234">
      <c r="F234" s="173"/>
      <c r="G234" s="173"/>
      <c r="H234" s="173"/>
      <c r="I234" s="174"/>
      <c r="L234" s="175"/>
      <c r="M234" s="175"/>
      <c r="P234" s="178"/>
      <c r="Q234" s="179"/>
      <c r="R234" s="175"/>
      <c r="U234" s="135"/>
      <c r="V234" s="175"/>
    </row>
    <row r="235">
      <c r="F235" s="173"/>
      <c r="G235" s="173"/>
      <c r="H235" s="173"/>
      <c r="I235" s="174"/>
      <c r="L235" s="175"/>
      <c r="M235" s="175"/>
      <c r="P235" s="178"/>
      <c r="Q235" s="179"/>
      <c r="R235" s="175"/>
      <c r="U235" s="135"/>
      <c r="V235" s="175"/>
    </row>
    <row r="236">
      <c r="F236" s="173"/>
      <c r="G236" s="173"/>
      <c r="H236" s="173"/>
      <c r="I236" s="174"/>
      <c r="L236" s="175"/>
      <c r="M236" s="175"/>
      <c r="P236" s="178"/>
      <c r="Q236" s="179"/>
      <c r="R236" s="175"/>
      <c r="U236" s="135"/>
      <c r="V236" s="175"/>
    </row>
    <row r="237">
      <c r="F237" s="173"/>
      <c r="G237" s="173"/>
      <c r="H237" s="173"/>
      <c r="I237" s="174"/>
      <c r="L237" s="175"/>
      <c r="M237" s="175"/>
      <c r="P237" s="178"/>
      <c r="Q237" s="179"/>
      <c r="R237" s="175"/>
      <c r="U237" s="135"/>
      <c r="V237" s="175"/>
    </row>
    <row r="238">
      <c r="F238" s="173"/>
      <c r="G238" s="173"/>
      <c r="H238" s="173"/>
      <c r="I238" s="174"/>
      <c r="L238" s="175"/>
      <c r="M238" s="175"/>
      <c r="P238" s="178"/>
      <c r="Q238" s="179"/>
      <c r="R238" s="175"/>
      <c r="U238" s="135"/>
      <c r="V238" s="175"/>
    </row>
    <row r="239">
      <c r="F239" s="173"/>
      <c r="G239" s="173"/>
      <c r="H239" s="173"/>
      <c r="I239" s="174"/>
      <c r="L239" s="175"/>
      <c r="M239" s="175"/>
      <c r="P239" s="178"/>
      <c r="Q239" s="179"/>
      <c r="R239" s="175"/>
      <c r="U239" s="135"/>
      <c r="V239" s="175"/>
    </row>
    <row r="240">
      <c r="F240" s="173"/>
      <c r="G240" s="173"/>
      <c r="H240" s="173"/>
      <c r="I240" s="174"/>
      <c r="L240" s="175"/>
      <c r="M240" s="175"/>
      <c r="P240" s="178"/>
      <c r="Q240" s="179"/>
      <c r="R240" s="175"/>
      <c r="U240" s="135"/>
      <c r="V240" s="175"/>
    </row>
    <row r="241">
      <c r="F241" s="173"/>
      <c r="G241" s="173"/>
      <c r="H241" s="173"/>
      <c r="I241" s="174"/>
      <c r="L241" s="175"/>
      <c r="M241" s="175"/>
      <c r="P241" s="178"/>
      <c r="Q241" s="179"/>
      <c r="R241" s="175"/>
      <c r="U241" s="135"/>
      <c r="V241" s="175"/>
    </row>
    <row r="242">
      <c r="F242" s="173"/>
      <c r="G242" s="173"/>
      <c r="H242" s="173"/>
      <c r="I242" s="174"/>
      <c r="L242" s="175"/>
      <c r="M242" s="175"/>
      <c r="P242" s="178"/>
      <c r="Q242" s="179"/>
      <c r="R242" s="175"/>
      <c r="U242" s="135"/>
      <c r="V242" s="175"/>
    </row>
    <row r="243">
      <c r="F243" s="173"/>
      <c r="G243" s="173"/>
      <c r="H243" s="173"/>
      <c r="I243" s="174"/>
      <c r="L243" s="175"/>
      <c r="M243" s="175"/>
      <c r="P243" s="178"/>
      <c r="Q243" s="179"/>
      <c r="R243" s="175"/>
      <c r="U243" s="135"/>
      <c r="V243" s="175"/>
    </row>
    <row r="244">
      <c r="F244" s="173"/>
      <c r="G244" s="173"/>
      <c r="H244" s="173"/>
      <c r="I244" s="174"/>
      <c r="L244" s="175"/>
      <c r="M244" s="175"/>
      <c r="P244" s="178"/>
      <c r="Q244" s="179"/>
      <c r="R244" s="175"/>
      <c r="U244" s="135"/>
      <c r="V244" s="175"/>
    </row>
    <row r="245">
      <c r="F245" s="173"/>
      <c r="G245" s="173"/>
      <c r="H245" s="173"/>
      <c r="I245" s="174"/>
      <c r="L245" s="175"/>
      <c r="M245" s="175"/>
      <c r="P245" s="178"/>
      <c r="Q245" s="179"/>
      <c r="R245" s="175"/>
      <c r="U245" s="135"/>
      <c r="V245" s="175"/>
    </row>
    <row r="246">
      <c r="F246" s="173"/>
      <c r="G246" s="173"/>
      <c r="H246" s="173"/>
      <c r="I246" s="174"/>
      <c r="L246" s="175"/>
      <c r="M246" s="175"/>
      <c r="P246" s="178"/>
      <c r="Q246" s="179"/>
      <c r="R246" s="175"/>
      <c r="U246" s="135"/>
      <c r="V246" s="175"/>
    </row>
    <row r="247">
      <c r="F247" s="173"/>
      <c r="G247" s="173"/>
      <c r="H247" s="173"/>
      <c r="I247" s="174"/>
      <c r="L247" s="175"/>
      <c r="M247" s="175"/>
      <c r="P247" s="178"/>
      <c r="Q247" s="179"/>
      <c r="R247" s="175"/>
      <c r="U247" s="135"/>
      <c r="V247" s="175"/>
    </row>
    <row r="248">
      <c r="F248" s="173"/>
      <c r="G248" s="173"/>
      <c r="H248" s="173"/>
      <c r="I248" s="174"/>
      <c r="L248" s="175"/>
      <c r="M248" s="175"/>
      <c r="P248" s="178"/>
      <c r="Q248" s="179"/>
      <c r="R248" s="175"/>
      <c r="U248" s="135"/>
      <c r="V248" s="175"/>
    </row>
    <row r="249">
      <c r="F249" s="173"/>
      <c r="G249" s="173"/>
      <c r="H249" s="173"/>
      <c r="I249" s="174"/>
      <c r="L249" s="175"/>
      <c r="M249" s="175"/>
      <c r="P249" s="178"/>
      <c r="Q249" s="179"/>
      <c r="R249" s="175"/>
      <c r="U249" s="135"/>
      <c r="V249" s="175"/>
    </row>
    <row r="250">
      <c r="F250" s="173"/>
      <c r="G250" s="173"/>
      <c r="H250" s="173"/>
      <c r="I250" s="174"/>
      <c r="L250" s="175"/>
      <c r="M250" s="175"/>
      <c r="P250" s="178"/>
      <c r="Q250" s="179"/>
      <c r="R250" s="175"/>
      <c r="U250" s="135"/>
      <c r="V250" s="175"/>
    </row>
    <row r="251">
      <c r="F251" s="173"/>
      <c r="G251" s="173"/>
      <c r="H251" s="173"/>
      <c r="I251" s="174"/>
      <c r="L251" s="175"/>
      <c r="M251" s="175"/>
      <c r="P251" s="178"/>
      <c r="Q251" s="179"/>
      <c r="R251" s="175"/>
      <c r="U251" s="135"/>
      <c r="V251" s="175"/>
    </row>
    <row r="252">
      <c r="F252" s="173"/>
      <c r="G252" s="173"/>
      <c r="H252" s="173"/>
      <c r="I252" s="174"/>
      <c r="L252" s="175"/>
      <c r="M252" s="175"/>
      <c r="P252" s="178"/>
      <c r="Q252" s="179"/>
      <c r="R252" s="175"/>
      <c r="U252" s="135"/>
      <c r="V252" s="175"/>
    </row>
    <row r="253">
      <c r="F253" s="173"/>
      <c r="G253" s="173"/>
      <c r="H253" s="173"/>
      <c r="I253" s="174"/>
      <c r="L253" s="175"/>
      <c r="M253" s="175"/>
      <c r="P253" s="178"/>
      <c r="Q253" s="179"/>
      <c r="R253" s="175"/>
      <c r="U253" s="135"/>
      <c r="V253" s="175"/>
    </row>
    <row r="254">
      <c r="F254" s="173"/>
      <c r="G254" s="173"/>
      <c r="H254" s="173"/>
      <c r="I254" s="174"/>
      <c r="L254" s="175"/>
      <c r="M254" s="175"/>
      <c r="P254" s="178"/>
      <c r="Q254" s="179"/>
      <c r="R254" s="175"/>
      <c r="U254" s="135"/>
      <c r="V254" s="175"/>
    </row>
    <row r="255">
      <c r="F255" s="173"/>
      <c r="G255" s="173"/>
      <c r="H255" s="173"/>
      <c r="I255" s="174"/>
      <c r="L255" s="175"/>
      <c r="M255" s="175"/>
      <c r="P255" s="178"/>
      <c r="Q255" s="179"/>
      <c r="R255" s="175"/>
      <c r="U255" s="135"/>
      <c r="V255" s="175"/>
    </row>
    <row r="256">
      <c r="F256" s="173"/>
      <c r="G256" s="173"/>
      <c r="H256" s="173"/>
      <c r="I256" s="174"/>
      <c r="L256" s="175"/>
      <c r="M256" s="175"/>
      <c r="P256" s="178"/>
      <c r="Q256" s="179"/>
      <c r="R256" s="175"/>
      <c r="U256" s="135"/>
      <c r="V256" s="175"/>
    </row>
    <row r="257">
      <c r="F257" s="173"/>
      <c r="G257" s="173"/>
      <c r="H257" s="173"/>
      <c r="I257" s="174"/>
      <c r="L257" s="175"/>
      <c r="M257" s="175"/>
      <c r="P257" s="178"/>
      <c r="Q257" s="179"/>
      <c r="R257" s="175"/>
      <c r="U257" s="135"/>
      <c r="V257" s="175"/>
    </row>
    <row r="258">
      <c r="F258" s="173"/>
      <c r="G258" s="173"/>
      <c r="H258" s="173"/>
      <c r="I258" s="174"/>
      <c r="L258" s="175"/>
      <c r="M258" s="175"/>
      <c r="P258" s="178"/>
      <c r="Q258" s="179"/>
      <c r="R258" s="175"/>
      <c r="U258" s="135"/>
      <c r="V258" s="175"/>
    </row>
    <row r="259">
      <c r="F259" s="173"/>
      <c r="G259" s="173"/>
      <c r="H259" s="173"/>
      <c r="I259" s="174"/>
      <c r="L259" s="175"/>
      <c r="M259" s="175"/>
      <c r="P259" s="178"/>
      <c r="Q259" s="179"/>
      <c r="R259" s="175"/>
      <c r="U259" s="135"/>
      <c r="V259" s="175"/>
    </row>
    <row r="260">
      <c r="F260" s="173"/>
      <c r="G260" s="173"/>
      <c r="H260" s="173"/>
      <c r="I260" s="174"/>
      <c r="L260" s="175"/>
      <c r="M260" s="175"/>
      <c r="P260" s="178"/>
      <c r="Q260" s="179"/>
      <c r="R260" s="175"/>
      <c r="U260" s="135"/>
      <c r="V260" s="175"/>
    </row>
    <row r="261">
      <c r="F261" s="173"/>
      <c r="G261" s="173"/>
      <c r="H261" s="173"/>
      <c r="I261" s="174"/>
      <c r="L261" s="175"/>
      <c r="M261" s="175"/>
      <c r="P261" s="178"/>
      <c r="Q261" s="179"/>
      <c r="R261" s="175"/>
      <c r="U261" s="135"/>
      <c r="V261" s="175"/>
    </row>
    <row r="262">
      <c r="F262" s="173"/>
      <c r="G262" s="173"/>
      <c r="H262" s="173"/>
      <c r="I262" s="174"/>
      <c r="L262" s="175"/>
      <c r="M262" s="175"/>
      <c r="P262" s="178"/>
      <c r="Q262" s="179"/>
      <c r="R262" s="175"/>
      <c r="U262" s="135"/>
      <c r="V262" s="175"/>
    </row>
    <row r="263">
      <c r="F263" s="173"/>
      <c r="G263" s="173"/>
      <c r="H263" s="173"/>
      <c r="I263" s="174"/>
      <c r="L263" s="175"/>
      <c r="M263" s="175"/>
      <c r="P263" s="178"/>
      <c r="Q263" s="179"/>
      <c r="R263" s="175"/>
      <c r="U263" s="135"/>
      <c r="V263" s="175"/>
    </row>
    <row r="264">
      <c r="F264" s="173"/>
      <c r="G264" s="173"/>
      <c r="H264" s="173"/>
      <c r="I264" s="174"/>
      <c r="L264" s="175"/>
      <c r="M264" s="175"/>
      <c r="P264" s="178"/>
      <c r="Q264" s="179"/>
      <c r="R264" s="175"/>
      <c r="U264" s="135"/>
      <c r="V264" s="175"/>
    </row>
    <row r="265">
      <c r="F265" s="173"/>
      <c r="G265" s="173"/>
      <c r="H265" s="173"/>
      <c r="I265" s="174"/>
      <c r="L265" s="175"/>
      <c r="M265" s="175"/>
      <c r="P265" s="178"/>
      <c r="Q265" s="179"/>
      <c r="R265" s="175"/>
      <c r="U265" s="135"/>
      <c r="V265" s="175"/>
    </row>
    <row r="266">
      <c r="F266" s="173"/>
      <c r="G266" s="173"/>
      <c r="H266" s="173"/>
      <c r="I266" s="174"/>
      <c r="L266" s="175"/>
      <c r="M266" s="175"/>
      <c r="P266" s="178"/>
      <c r="Q266" s="179"/>
      <c r="R266" s="175"/>
      <c r="U266" s="135"/>
      <c r="V266" s="175"/>
    </row>
    <row r="267">
      <c r="F267" s="173"/>
      <c r="G267" s="173"/>
      <c r="H267" s="173"/>
      <c r="I267" s="174"/>
      <c r="L267" s="175"/>
      <c r="M267" s="175"/>
      <c r="P267" s="178"/>
      <c r="Q267" s="179"/>
      <c r="R267" s="175"/>
      <c r="U267" s="135"/>
      <c r="V267" s="175"/>
    </row>
    <row r="268">
      <c r="F268" s="173"/>
      <c r="G268" s="173"/>
      <c r="H268" s="173"/>
      <c r="I268" s="174"/>
      <c r="L268" s="175"/>
      <c r="M268" s="175"/>
      <c r="P268" s="178"/>
      <c r="Q268" s="179"/>
      <c r="R268" s="175"/>
      <c r="U268" s="135"/>
      <c r="V268" s="175"/>
    </row>
    <row r="269">
      <c r="F269" s="173"/>
      <c r="G269" s="173"/>
      <c r="H269" s="173"/>
      <c r="I269" s="174"/>
      <c r="L269" s="175"/>
      <c r="M269" s="175"/>
      <c r="P269" s="178"/>
      <c r="Q269" s="179"/>
      <c r="R269" s="175"/>
      <c r="U269" s="135"/>
      <c r="V269" s="175"/>
    </row>
    <row r="270">
      <c r="F270" s="173"/>
      <c r="G270" s="173"/>
      <c r="H270" s="173"/>
      <c r="I270" s="174"/>
      <c r="L270" s="175"/>
      <c r="M270" s="175"/>
      <c r="P270" s="178"/>
      <c r="Q270" s="179"/>
      <c r="R270" s="175"/>
      <c r="U270" s="135"/>
      <c r="V270" s="175"/>
    </row>
    <row r="271">
      <c r="F271" s="173"/>
      <c r="G271" s="173"/>
      <c r="H271" s="173"/>
      <c r="I271" s="174"/>
      <c r="L271" s="175"/>
      <c r="M271" s="175"/>
      <c r="P271" s="178"/>
      <c r="Q271" s="179"/>
      <c r="R271" s="175"/>
      <c r="U271" s="135"/>
      <c r="V271" s="175"/>
    </row>
    <row r="272">
      <c r="F272" s="173"/>
      <c r="G272" s="173"/>
      <c r="H272" s="173"/>
      <c r="I272" s="174"/>
      <c r="L272" s="175"/>
      <c r="M272" s="175"/>
      <c r="P272" s="178"/>
      <c r="Q272" s="179"/>
      <c r="R272" s="175"/>
      <c r="U272" s="135"/>
      <c r="V272" s="175"/>
    </row>
    <row r="273">
      <c r="F273" s="173"/>
      <c r="G273" s="173"/>
      <c r="H273" s="173"/>
      <c r="I273" s="174"/>
      <c r="L273" s="175"/>
      <c r="M273" s="175"/>
      <c r="P273" s="178"/>
      <c r="Q273" s="179"/>
      <c r="R273" s="175"/>
      <c r="U273" s="135"/>
      <c r="V273" s="175"/>
    </row>
    <row r="274">
      <c r="F274" s="173"/>
      <c r="G274" s="173"/>
      <c r="H274" s="173"/>
      <c r="I274" s="174"/>
      <c r="L274" s="175"/>
      <c r="M274" s="175"/>
      <c r="P274" s="178"/>
      <c r="Q274" s="179"/>
      <c r="R274" s="175"/>
      <c r="U274" s="135"/>
      <c r="V274" s="175"/>
    </row>
    <row r="275">
      <c r="F275" s="173"/>
      <c r="G275" s="173"/>
      <c r="H275" s="173"/>
      <c r="I275" s="174"/>
      <c r="L275" s="175"/>
      <c r="M275" s="175"/>
      <c r="P275" s="178"/>
      <c r="Q275" s="179"/>
      <c r="R275" s="175"/>
      <c r="U275" s="135"/>
      <c r="V275" s="175"/>
    </row>
    <row r="276">
      <c r="F276" s="173"/>
      <c r="G276" s="173"/>
      <c r="H276" s="173"/>
      <c r="I276" s="174"/>
      <c r="L276" s="175"/>
      <c r="M276" s="175"/>
      <c r="P276" s="178"/>
      <c r="Q276" s="179"/>
      <c r="R276" s="175"/>
      <c r="U276" s="135"/>
      <c r="V276" s="175"/>
    </row>
    <row r="277">
      <c r="F277" s="173"/>
      <c r="G277" s="173"/>
      <c r="H277" s="173"/>
      <c r="I277" s="174"/>
      <c r="L277" s="175"/>
      <c r="M277" s="175"/>
      <c r="P277" s="178"/>
      <c r="Q277" s="179"/>
      <c r="R277" s="175"/>
      <c r="U277" s="135"/>
      <c r="V277" s="175"/>
    </row>
    <row r="278">
      <c r="F278" s="173"/>
      <c r="G278" s="173"/>
      <c r="H278" s="173"/>
      <c r="I278" s="174"/>
      <c r="L278" s="175"/>
      <c r="M278" s="175"/>
      <c r="P278" s="178"/>
      <c r="Q278" s="179"/>
      <c r="R278" s="175"/>
      <c r="U278" s="135"/>
      <c r="V278" s="175"/>
    </row>
    <row r="279">
      <c r="F279" s="173"/>
      <c r="G279" s="173"/>
      <c r="H279" s="173"/>
      <c r="I279" s="174"/>
      <c r="L279" s="175"/>
      <c r="M279" s="175"/>
      <c r="P279" s="178"/>
      <c r="Q279" s="179"/>
      <c r="R279" s="175"/>
      <c r="U279" s="135"/>
      <c r="V279" s="175"/>
    </row>
    <row r="280">
      <c r="F280" s="173"/>
      <c r="G280" s="173"/>
      <c r="H280" s="173"/>
      <c r="I280" s="174"/>
      <c r="L280" s="175"/>
      <c r="M280" s="175"/>
      <c r="P280" s="178"/>
      <c r="Q280" s="179"/>
      <c r="R280" s="175"/>
      <c r="U280" s="135"/>
      <c r="V280" s="175"/>
    </row>
    <row r="281">
      <c r="F281" s="173"/>
      <c r="G281" s="173"/>
      <c r="H281" s="173"/>
      <c r="I281" s="174"/>
      <c r="L281" s="175"/>
      <c r="M281" s="175"/>
      <c r="P281" s="178"/>
      <c r="Q281" s="179"/>
      <c r="R281" s="175"/>
      <c r="U281" s="135"/>
      <c r="V281" s="175"/>
    </row>
    <row r="282">
      <c r="F282" s="173"/>
      <c r="G282" s="173"/>
      <c r="H282" s="173"/>
      <c r="I282" s="174"/>
      <c r="L282" s="175"/>
      <c r="M282" s="175"/>
      <c r="P282" s="178"/>
      <c r="Q282" s="179"/>
      <c r="R282" s="175"/>
      <c r="U282" s="135"/>
      <c r="V282" s="175"/>
    </row>
    <row r="283">
      <c r="F283" s="173"/>
      <c r="G283" s="173"/>
      <c r="H283" s="173"/>
      <c r="I283" s="174"/>
      <c r="L283" s="175"/>
      <c r="M283" s="175"/>
      <c r="P283" s="178"/>
      <c r="Q283" s="179"/>
      <c r="R283" s="175"/>
      <c r="U283" s="135"/>
      <c r="V283" s="175"/>
    </row>
    <row r="284">
      <c r="F284" s="173"/>
      <c r="G284" s="173"/>
      <c r="H284" s="173"/>
      <c r="I284" s="174"/>
      <c r="L284" s="175"/>
      <c r="M284" s="175"/>
      <c r="P284" s="178"/>
      <c r="Q284" s="179"/>
      <c r="R284" s="175"/>
      <c r="U284" s="135"/>
      <c r="V284" s="175"/>
    </row>
    <row r="285">
      <c r="F285" s="173"/>
      <c r="G285" s="173"/>
      <c r="H285" s="173"/>
      <c r="I285" s="174"/>
      <c r="L285" s="175"/>
      <c r="M285" s="175"/>
      <c r="P285" s="178"/>
      <c r="Q285" s="179"/>
      <c r="R285" s="175"/>
      <c r="U285" s="135"/>
      <c r="V285" s="175"/>
    </row>
    <row r="286">
      <c r="F286" s="173"/>
      <c r="G286" s="173"/>
      <c r="H286" s="173"/>
      <c r="I286" s="174"/>
      <c r="L286" s="175"/>
      <c r="M286" s="175"/>
      <c r="P286" s="178"/>
      <c r="Q286" s="179"/>
      <c r="R286" s="175"/>
      <c r="U286" s="135"/>
      <c r="V286" s="175"/>
    </row>
    <row r="287">
      <c r="F287" s="173"/>
      <c r="G287" s="173"/>
      <c r="H287" s="173"/>
      <c r="I287" s="174"/>
      <c r="L287" s="175"/>
      <c r="M287" s="175"/>
      <c r="P287" s="178"/>
      <c r="Q287" s="179"/>
      <c r="R287" s="175"/>
      <c r="U287" s="135"/>
      <c r="V287" s="175"/>
    </row>
    <row r="288">
      <c r="F288" s="173"/>
      <c r="G288" s="173"/>
      <c r="H288" s="173"/>
      <c r="I288" s="174"/>
      <c r="L288" s="175"/>
      <c r="M288" s="175"/>
      <c r="P288" s="178"/>
      <c r="Q288" s="179"/>
      <c r="R288" s="175"/>
      <c r="U288" s="135"/>
      <c r="V288" s="175"/>
    </row>
    <row r="289">
      <c r="F289" s="173"/>
      <c r="G289" s="173"/>
      <c r="H289" s="173"/>
      <c r="I289" s="174"/>
      <c r="L289" s="175"/>
      <c r="M289" s="175"/>
      <c r="P289" s="178"/>
      <c r="Q289" s="179"/>
      <c r="R289" s="175"/>
      <c r="U289" s="135"/>
      <c r="V289" s="175"/>
    </row>
    <row r="290">
      <c r="F290" s="173"/>
      <c r="G290" s="173"/>
      <c r="H290" s="173"/>
      <c r="I290" s="174"/>
      <c r="L290" s="175"/>
      <c r="M290" s="175"/>
      <c r="P290" s="178"/>
      <c r="Q290" s="179"/>
      <c r="R290" s="175"/>
      <c r="U290" s="135"/>
      <c r="V290" s="175"/>
    </row>
    <row r="291">
      <c r="F291" s="173"/>
      <c r="G291" s="173"/>
      <c r="H291" s="173"/>
      <c r="I291" s="174"/>
      <c r="L291" s="175"/>
      <c r="M291" s="175"/>
      <c r="P291" s="178"/>
      <c r="Q291" s="179"/>
      <c r="R291" s="175"/>
      <c r="U291" s="135"/>
      <c r="V291" s="175"/>
    </row>
    <row r="292">
      <c r="F292" s="173"/>
      <c r="G292" s="173"/>
      <c r="H292" s="173"/>
      <c r="I292" s="174"/>
      <c r="L292" s="175"/>
      <c r="M292" s="175"/>
      <c r="P292" s="178"/>
      <c r="Q292" s="179"/>
      <c r="R292" s="175"/>
      <c r="U292" s="135"/>
      <c r="V292" s="175"/>
    </row>
    <row r="293">
      <c r="F293" s="173"/>
      <c r="G293" s="173"/>
      <c r="H293" s="173"/>
      <c r="I293" s="174"/>
      <c r="L293" s="175"/>
      <c r="M293" s="175"/>
      <c r="P293" s="178"/>
      <c r="Q293" s="179"/>
      <c r="R293" s="175"/>
      <c r="U293" s="135"/>
      <c r="V293" s="175"/>
    </row>
    <row r="294">
      <c r="F294" s="173"/>
      <c r="G294" s="173"/>
      <c r="H294" s="173"/>
      <c r="I294" s="174"/>
      <c r="L294" s="175"/>
      <c r="M294" s="175"/>
      <c r="P294" s="178"/>
      <c r="Q294" s="179"/>
      <c r="R294" s="175"/>
      <c r="U294" s="135"/>
      <c r="V294" s="175"/>
    </row>
    <row r="295">
      <c r="F295" s="173"/>
      <c r="G295" s="173"/>
      <c r="H295" s="173"/>
      <c r="I295" s="174"/>
      <c r="L295" s="175"/>
      <c r="M295" s="175"/>
      <c r="P295" s="178"/>
      <c r="Q295" s="179"/>
      <c r="R295" s="175"/>
      <c r="U295" s="135"/>
      <c r="V295" s="175"/>
    </row>
    <row r="296">
      <c r="F296" s="173"/>
      <c r="G296" s="173"/>
      <c r="H296" s="173"/>
      <c r="I296" s="174"/>
      <c r="L296" s="175"/>
      <c r="M296" s="175"/>
      <c r="P296" s="178"/>
      <c r="Q296" s="179"/>
      <c r="R296" s="175"/>
      <c r="U296" s="135"/>
      <c r="V296" s="175"/>
    </row>
    <row r="297">
      <c r="F297" s="173"/>
      <c r="G297" s="173"/>
      <c r="H297" s="173"/>
      <c r="I297" s="174"/>
      <c r="L297" s="175"/>
      <c r="M297" s="175"/>
      <c r="P297" s="178"/>
      <c r="Q297" s="179"/>
      <c r="R297" s="175"/>
      <c r="U297" s="135"/>
      <c r="V297" s="175"/>
    </row>
    <row r="298">
      <c r="F298" s="173"/>
      <c r="G298" s="173"/>
      <c r="H298" s="173"/>
      <c r="I298" s="174"/>
      <c r="L298" s="175"/>
      <c r="M298" s="175"/>
      <c r="P298" s="178"/>
      <c r="Q298" s="179"/>
      <c r="R298" s="175"/>
      <c r="U298" s="135"/>
      <c r="V298" s="175"/>
    </row>
    <row r="299">
      <c r="F299" s="173"/>
      <c r="G299" s="173"/>
      <c r="H299" s="173"/>
      <c r="I299" s="174"/>
      <c r="L299" s="175"/>
      <c r="M299" s="175"/>
      <c r="P299" s="178"/>
      <c r="Q299" s="179"/>
      <c r="R299" s="175"/>
      <c r="U299" s="135"/>
      <c r="V299" s="175"/>
    </row>
    <row r="300">
      <c r="F300" s="173"/>
      <c r="G300" s="173"/>
      <c r="H300" s="173"/>
      <c r="I300" s="174"/>
      <c r="L300" s="175"/>
      <c r="M300" s="175"/>
      <c r="P300" s="178"/>
      <c r="Q300" s="179"/>
      <c r="R300" s="175"/>
      <c r="U300" s="135"/>
      <c r="V300" s="175"/>
    </row>
    <row r="301">
      <c r="F301" s="173"/>
      <c r="G301" s="173"/>
      <c r="H301" s="173"/>
      <c r="I301" s="174"/>
      <c r="L301" s="175"/>
      <c r="M301" s="175"/>
      <c r="P301" s="178"/>
      <c r="Q301" s="179"/>
      <c r="R301" s="175"/>
      <c r="U301" s="135"/>
      <c r="V301" s="175"/>
    </row>
    <row r="302">
      <c r="F302" s="173"/>
      <c r="G302" s="173"/>
      <c r="H302" s="173"/>
      <c r="I302" s="174"/>
      <c r="L302" s="175"/>
      <c r="M302" s="175"/>
      <c r="P302" s="178"/>
      <c r="Q302" s="179"/>
      <c r="R302" s="175"/>
      <c r="U302" s="135"/>
      <c r="V302" s="175"/>
    </row>
    <row r="303">
      <c r="F303" s="173"/>
      <c r="G303" s="173"/>
      <c r="H303" s="173"/>
      <c r="I303" s="174"/>
      <c r="L303" s="175"/>
      <c r="M303" s="175"/>
      <c r="P303" s="178"/>
      <c r="Q303" s="179"/>
      <c r="R303" s="175"/>
      <c r="U303" s="135"/>
      <c r="V303" s="175"/>
    </row>
    <row r="304">
      <c r="F304" s="173"/>
      <c r="G304" s="173"/>
      <c r="H304" s="173"/>
      <c r="I304" s="174"/>
      <c r="L304" s="175"/>
      <c r="M304" s="175"/>
      <c r="P304" s="178"/>
      <c r="Q304" s="179"/>
      <c r="R304" s="175"/>
      <c r="U304" s="135"/>
      <c r="V304" s="175"/>
    </row>
    <row r="305">
      <c r="F305" s="173"/>
      <c r="G305" s="173"/>
      <c r="H305" s="173"/>
      <c r="I305" s="174"/>
      <c r="L305" s="175"/>
      <c r="M305" s="175"/>
      <c r="P305" s="178"/>
      <c r="Q305" s="179"/>
      <c r="R305" s="175"/>
      <c r="U305" s="135"/>
      <c r="V305" s="175"/>
    </row>
    <row r="306">
      <c r="F306" s="173"/>
      <c r="G306" s="173"/>
      <c r="H306" s="173"/>
      <c r="I306" s="174"/>
      <c r="L306" s="175"/>
      <c r="M306" s="175"/>
      <c r="P306" s="178"/>
      <c r="Q306" s="179"/>
      <c r="R306" s="175"/>
      <c r="U306" s="135"/>
      <c r="V306" s="175"/>
    </row>
    <row r="307">
      <c r="F307" s="173"/>
      <c r="G307" s="173"/>
      <c r="H307" s="173"/>
      <c r="I307" s="174"/>
      <c r="L307" s="175"/>
      <c r="M307" s="175"/>
      <c r="P307" s="178"/>
      <c r="Q307" s="179"/>
      <c r="R307" s="175"/>
      <c r="U307" s="135"/>
      <c r="V307" s="175"/>
    </row>
    <row r="308">
      <c r="F308" s="173"/>
      <c r="G308" s="173"/>
      <c r="H308" s="173"/>
      <c r="I308" s="174"/>
      <c r="L308" s="175"/>
      <c r="M308" s="175"/>
      <c r="P308" s="178"/>
      <c r="Q308" s="179"/>
      <c r="R308" s="175"/>
      <c r="U308" s="135"/>
      <c r="V308" s="175"/>
    </row>
    <row r="309">
      <c r="F309" s="173"/>
      <c r="G309" s="173"/>
      <c r="H309" s="173"/>
      <c r="I309" s="174"/>
      <c r="L309" s="175"/>
      <c r="M309" s="175"/>
      <c r="P309" s="178"/>
      <c r="Q309" s="179"/>
      <c r="R309" s="175"/>
      <c r="U309" s="135"/>
      <c r="V309" s="175"/>
    </row>
    <row r="310">
      <c r="F310" s="173"/>
      <c r="G310" s="173"/>
      <c r="H310" s="173"/>
      <c r="I310" s="174"/>
      <c r="L310" s="175"/>
      <c r="M310" s="175"/>
      <c r="P310" s="178"/>
      <c r="Q310" s="179"/>
      <c r="R310" s="175"/>
      <c r="U310" s="135"/>
      <c r="V310" s="175"/>
    </row>
    <row r="311">
      <c r="F311" s="173"/>
      <c r="G311" s="173"/>
      <c r="H311" s="173"/>
      <c r="I311" s="174"/>
      <c r="L311" s="175"/>
      <c r="M311" s="175"/>
      <c r="P311" s="178"/>
      <c r="Q311" s="179"/>
      <c r="R311" s="175"/>
      <c r="U311" s="135"/>
      <c r="V311" s="175"/>
    </row>
    <row r="312">
      <c r="F312" s="173"/>
      <c r="G312" s="173"/>
      <c r="H312" s="173"/>
      <c r="I312" s="174"/>
      <c r="L312" s="175"/>
      <c r="M312" s="175"/>
      <c r="P312" s="178"/>
      <c r="Q312" s="179"/>
      <c r="R312" s="175"/>
      <c r="U312" s="135"/>
      <c r="V312" s="175"/>
    </row>
    <row r="313">
      <c r="F313" s="173"/>
      <c r="G313" s="173"/>
      <c r="H313" s="173"/>
      <c r="I313" s="174"/>
      <c r="L313" s="175"/>
      <c r="M313" s="175"/>
      <c r="P313" s="178"/>
      <c r="Q313" s="179"/>
      <c r="R313" s="175"/>
      <c r="U313" s="135"/>
      <c r="V313" s="175"/>
    </row>
    <row r="314">
      <c r="F314" s="173"/>
      <c r="G314" s="173"/>
      <c r="H314" s="173"/>
      <c r="I314" s="174"/>
      <c r="L314" s="175"/>
      <c r="M314" s="175"/>
      <c r="P314" s="178"/>
      <c r="Q314" s="179"/>
      <c r="R314" s="175"/>
      <c r="U314" s="135"/>
      <c r="V314" s="175"/>
    </row>
    <row r="315">
      <c r="F315" s="173"/>
      <c r="G315" s="173"/>
      <c r="H315" s="173"/>
      <c r="I315" s="174"/>
      <c r="L315" s="175"/>
      <c r="M315" s="175"/>
      <c r="P315" s="178"/>
      <c r="Q315" s="179"/>
      <c r="R315" s="175"/>
      <c r="U315" s="135"/>
      <c r="V315" s="175"/>
    </row>
    <row r="316">
      <c r="F316" s="173"/>
      <c r="G316" s="173"/>
      <c r="H316" s="173"/>
      <c r="I316" s="174"/>
      <c r="L316" s="175"/>
      <c r="M316" s="175"/>
      <c r="P316" s="178"/>
      <c r="Q316" s="179"/>
      <c r="R316" s="175"/>
      <c r="U316" s="135"/>
      <c r="V316" s="175"/>
    </row>
    <row r="317">
      <c r="F317" s="173"/>
      <c r="G317" s="173"/>
      <c r="H317" s="173"/>
      <c r="I317" s="174"/>
      <c r="L317" s="175"/>
      <c r="M317" s="175"/>
      <c r="P317" s="178"/>
      <c r="Q317" s="179"/>
      <c r="R317" s="175"/>
      <c r="U317" s="135"/>
      <c r="V317" s="175"/>
    </row>
    <row r="318">
      <c r="F318" s="173"/>
      <c r="G318" s="173"/>
      <c r="H318" s="173"/>
      <c r="I318" s="174"/>
      <c r="L318" s="175"/>
      <c r="M318" s="175"/>
      <c r="P318" s="178"/>
      <c r="Q318" s="179"/>
      <c r="R318" s="175"/>
      <c r="U318" s="135"/>
      <c r="V318" s="175"/>
    </row>
    <row r="319">
      <c r="F319" s="173"/>
      <c r="G319" s="173"/>
      <c r="H319" s="173"/>
      <c r="I319" s="174"/>
      <c r="L319" s="175"/>
      <c r="M319" s="175"/>
      <c r="P319" s="178"/>
      <c r="Q319" s="179"/>
      <c r="R319" s="175"/>
      <c r="U319" s="135"/>
      <c r="V319" s="175"/>
    </row>
    <row r="320">
      <c r="F320" s="173"/>
      <c r="G320" s="173"/>
      <c r="H320" s="173"/>
      <c r="I320" s="174"/>
      <c r="L320" s="175"/>
      <c r="M320" s="175"/>
      <c r="P320" s="178"/>
      <c r="Q320" s="179"/>
      <c r="R320" s="175"/>
      <c r="U320" s="135"/>
      <c r="V320" s="175"/>
    </row>
    <row r="321">
      <c r="F321" s="173"/>
      <c r="G321" s="173"/>
      <c r="H321" s="173"/>
      <c r="I321" s="174"/>
      <c r="L321" s="175"/>
      <c r="M321" s="175"/>
      <c r="P321" s="178"/>
      <c r="Q321" s="179"/>
      <c r="R321" s="175"/>
      <c r="U321" s="135"/>
      <c r="V321" s="175"/>
    </row>
    <row r="322">
      <c r="F322" s="173"/>
      <c r="G322" s="173"/>
      <c r="H322" s="173"/>
      <c r="I322" s="174"/>
      <c r="L322" s="175"/>
      <c r="M322" s="175"/>
      <c r="P322" s="178"/>
      <c r="Q322" s="179"/>
      <c r="R322" s="175"/>
      <c r="U322" s="135"/>
      <c r="V322" s="175"/>
    </row>
    <row r="323">
      <c r="F323" s="173"/>
      <c r="G323" s="173"/>
      <c r="H323" s="173"/>
      <c r="I323" s="174"/>
      <c r="L323" s="175"/>
      <c r="M323" s="175"/>
      <c r="P323" s="178"/>
      <c r="Q323" s="179"/>
      <c r="R323" s="175"/>
      <c r="U323" s="135"/>
      <c r="V323" s="175"/>
    </row>
    <row r="324">
      <c r="F324" s="173"/>
      <c r="G324" s="173"/>
      <c r="H324" s="173"/>
      <c r="I324" s="174"/>
      <c r="L324" s="175"/>
      <c r="M324" s="175"/>
      <c r="P324" s="178"/>
      <c r="Q324" s="179"/>
      <c r="R324" s="175"/>
      <c r="U324" s="135"/>
      <c r="V324" s="175"/>
    </row>
    <row r="325">
      <c r="F325" s="173"/>
      <c r="G325" s="173"/>
      <c r="H325" s="173"/>
      <c r="I325" s="174"/>
      <c r="L325" s="175"/>
      <c r="M325" s="175"/>
      <c r="P325" s="178"/>
      <c r="Q325" s="179"/>
      <c r="R325" s="175"/>
      <c r="U325" s="135"/>
      <c r="V325" s="175"/>
    </row>
    <row r="326">
      <c r="F326" s="173"/>
      <c r="G326" s="173"/>
      <c r="H326" s="173"/>
      <c r="I326" s="174"/>
      <c r="L326" s="175"/>
      <c r="M326" s="175"/>
      <c r="P326" s="178"/>
      <c r="Q326" s="179"/>
      <c r="R326" s="175"/>
      <c r="U326" s="135"/>
      <c r="V326" s="175"/>
    </row>
    <row r="327">
      <c r="F327" s="173"/>
      <c r="G327" s="173"/>
      <c r="H327" s="173"/>
      <c r="I327" s="174"/>
      <c r="L327" s="175"/>
      <c r="M327" s="175"/>
      <c r="P327" s="178"/>
      <c r="Q327" s="179"/>
      <c r="R327" s="175"/>
      <c r="U327" s="135"/>
      <c r="V327" s="175"/>
    </row>
    <row r="328">
      <c r="F328" s="173"/>
      <c r="G328" s="173"/>
      <c r="H328" s="173"/>
      <c r="I328" s="174"/>
      <c r="L328" s="175"/>
      <c r="M328" s="175"/>
      <c r="P328" s="178"/>
      <c r="Q328" s="179"/>
      <c r="R328" s="175"/>
      <c r="U328" s="135"/>
      <c r="V328" s="175"/>
    </row>
    <row r="329">
      <c r="F329" s="173"/>
      <c r="G329" s="173"/>
      <c r="H329" s="173"/>
      <c r="I329" s="174"/>
      <c r="L329" s="175"/>
      <c r="M329" s="175"/>
      <c r="P329" s="178"/>
      <c r="Q329" s="179"/>
      <c r="R329" s="175"/>
      <c r="U329" s="135"/>
      <c r="V329" s="175"/>
    </row>
    <row r="330">
      <c r="F330" s="173"/>
      <c r="G330" s="173"/>
      <c r="H330" s="173"/>
      <c r="I330" s="174"/>
      <c r="L330" s="175"/>
      <c r="M330" s="175"/>
      <c r="P330" s="178"/>
      <c r="Q330" s="179"/>
      <c r="R330" s="175"/>
      <c r="U330" s="135"/>
      <c r="V330" s="175"/>
    </row>
    <row r="331">
      <c r="F331" s="173"/>
      <c r="G331" s="173"/>
      <c r="H331" s="173"/>
      <c r="I331" s="174"/>
      <c r="L331" s="175"/>
      <c r="M331" s="175"/>
      <c r="P331" s="178"/>
      <c r="Q331" s="179"/>
      <c r="R331" s="175"/>
      <c r="U331" s="135"/>
      <c r="V331" s="175"/>
    </row>
    <row r="332">
      <c r="F332" s="173"/>
      <c r="G332" s="173"/>
      <c r="H332" s="173"/>
      <c r="I332" s="174"/>
      <c r="L332" s="175"/>
      <c r="M332" s="175"/>
      <c r="P332" s="178"/>
      <c r="Q332" s="179"/>
      <c r="R332" s="175"/>
      <c r="U332" s="135"/>
      <c r="V332" s="175"/>
    </row>
    <row r="333">
      <c r="F333" s="173"/>
      <c r="G333" s="173"/>
      <c r="H333" s="173"/>
      <c r="I333" s="174"/>
      <c r="L333" s="175"/>
      <c r="M333" s="175"/>
      <c r="P333" s="178"/>
      <c r="Q333" s="179"/>
      <c r="R333" s="175"/>
      <c r="U333" s="135"/>
      <c r="V333" s="175"/>
    </row>
    <row r="334">
      <c r="F334" s="173"/>
      <c r="G334" s="173"/>
      <c r="H334" s="173"/>
      <c r="I334" s="174"/>
      <c r="L334" s="175"/>
      <c r="M334" s="175"/>
      <c r="P334" s="178"/>
      <c r="Q334" s="179"/>
      <c r="R334" s="175"/>
      <c r="U334" s="135"/>
      <c r="V334" s="175"/>
    </row>
    <row r="335">
      <c r="F335" s="173"/>
      <c r="G335" s="173"/>
      <c r="H335" s="173"/>
      <c r="I335" s="174"/>
      <c r="L335" s="175"/>
      <c r="M335" s="175"/>
      <c r="P335" s="178"/>
      <c r="Q335" s="179"/>
      <c r="R335" s="175"/>
      <c r="U335" s="135"/>
      <c r="V335" s="175"/>
    </row>
    <row r="336">
      <c r="F336" s="173"/>
      <c r="G336" s="173"/>
      <c r="H336" s="173"/>
      <c r="I336" s="174"/>
      <c r="L336" s="175"/>
      <c r="M336" s="175"/>
      <c r="P336" s="178"/>
      <c r="Q336" s="179"/>
      <c r="R336" s="175"/>
      <c r="U336" s="135"/>
      <c r="V336" s="175"/>
    </row>
    <row r="337">
      <c r="F337" s="173"/>
      <c r="G337" s="173"/>
      <c r="H337" s="173"/>
      <c r="I337" s="174"/>
      <c r="L337" s="175"/>
      <c r="M337" s="175"/>
      <c r="P337" s="178"/>
      <c r="Q337" s="179"/>
      <c r="R337" s="175"/>
      <c r="U337" s="135"/>
      <c r="V337" s="175"/>
    </row>
    <row r="338">
      <c r="F338" s="173"/>
      <c r="G338" s="173"/>
      <c r="H338" s="173"/>
      <c r="I338" s="174"/>
      <c r="L338" s="175"/>
      <c r="M338" s="175"/>
      <c r="P338" s="178"/>
      <c r="Q338" s="179"/>
      <c r="R338" s="175"/>
      <c r="U338" s="135"/>
      <c r="V338" s="175"/>
    </row>
    <row r="339">
      <c r="F339" s="173"/>
      <c r="G339" s="173"/>
      <c r="H339" s="173"/>
      <c r="I339" s="174"/>
      <c r="L339" s="175"/>
      <c r="M339" s="175"/>
      <c r="P339" s="178"/>
      <c r="Q339" s="179"/>
      <c r="R339" s="175"/>
      <c r="U339" s="135"/>
      <c r="V339" s="175"/>
    </row>
    <row r="340">
      <c r="F340" s="173"/>
      <c r="G340" s="173"/>
      <c r="H340" s="173"/>
      <c r="I340" s="174"/>
      <c r="L340" s="175"/>
      <c r="M340" s="175"/>
      <c r="P340" s="178"/>
      <c r="Q340" s="179"/>
      <c r="R340" s="175"/>
      <c r="U340" s="135"/>
      <c r="V340" s="175"/>
    </row>
    <row r="341">
      <c r="F341" s="173"/>
      <c r="G341" s="173"/>
      <c r="H341" s="173"/>
      <c r="I341" s="174"/>
      <c r="L341" s="175"/>
      <c r="M341" s="175"/>
      <c r="P341" s="178"/>
      <c r="Q341" s="179"/>
      <c r="R341" s="175"/>
      <c r="U341" s="135"/>
      <c r="V341" s="175"/>
    </row>
    <row r="342">
      <c r="F342" s="173"/>
      <c r="G342" s="173"/>
      <c r="H342" s="173"/>
      <c r="I342" s="174"/>
      <c r="L342" s="175"/>
      <c r="M342" s="175"/>
      <c r="P342" s="178"/>
      <c r="Q342" s="179"/>
      <c r="R342" s="175"/>
      <c r="U342" s="135"/>
      <c r="V342" s="175"/>
    </row>
    <row r="343">
      <c r="F343" s="173"/>
      <c r="G343" s="173"/>
      <c r="H343" s="173"/>
      <c r="I343" s="174"/>
      <c r="L343" s="175"/>
      <c r="M343" s="175"/>
      <c r="P343" s="178"/>
      <c r="Q343" s="179"/>
      <c r="R343" s="175"/>
      <c r="U343" s="135"/>
      <c r="V343" s="175"/>
    </row>
    <row r="344">
      <c r="F344" s="173"/>
      <c r="G344" s="173"/>
      <c r="H344" s="173"/>
      <c r="I344" s="174"/>
      <c r="L344" s="175"/>
      <c r="M344" s="175"/>
      <c r="P344" s="178"/>
      <c r="Q344" s="179"/>
      <c r="R344" s="175"/>
      <c r="U344" s="135"/>
      <c r="V344" s="175"/>
    </row>
    <row r="345">
      <c r="F345" s="173"/>
      <c r="G345" s="173"/>
      <c r="H345" s="173"/>
      <c r="I345" s="174"/>
      <c r="L345" s="175"/>
      <c r="M345" s="175"/>
      <c r="P345" s="178"/>
      <c r="Q345" s="179"/>
      <c r="R345" s="175"/>
      <c r="U345" s="135"/>
      <c r="V345" s="175"/>
    </row>
    <row r="346">
      <c r="F346" s="173"/>
      <c r="G346" s="173"/>
      <c r="H346" s="173"/>
      <c r="I346" s="174"/>
      <c r="L346" s="175"/>
      <c r="M346" s="175"/>
      <c r="P346" s="178"/>
      <c r="Q346" s="179"/>
      <c r="R346" s="175"/>
      <c r="U346" s="135"/>
      <c r="V346" s="175"/>
    </row>
    <row r="347">
      <c r="F347" s="173"/>
      <c r="G347" s="173"/>
      <c r="H347" s="173"/>
      <c r="I347" s="174"/>
      <c r="L347" s="175"/>
      <c r="M347" s="175"/>
      <c r="P347" s="178"/>
      <c r="Q347" s="179"/>
      <c r="R347" s="175"/>
      <c r="U347" s="135"/>
      <c r="V347" s="175"/>
    </row>
    <row r="348">
      <c r="F348" s="173"/>
      <c r="G348" s="173"/>
      <c r="H348" s="173"/>
      <c r="I348" s="174"/>
      <c r="L348" s="175"/>
      <c r="M348" s="175"/>
      <c r="P348" s="178"/>
      <c r="Q348" s="179"/>
      <c r="R348" s="175"/>
      <c r="U348" s="135"/>
      <c r="V348" s="175"/>
    </row>
    <row r="349">
      <c r="F349" s="173"/>
      <c r="G349" s="173"/>
      <c r="H349" s="173"/>
      <c r="I349" s="174"/>
      <c r="L349" s="175"/>
      <c r="M349" s="175"/>
      <c r="P349" s="178"/>
      <c r="Q349" s="179"/>
      <c r="R349" s="175"/>
      <c r="U349" s="135"/>
      <c r="V349" s="175"/>
    </row>
    <row r="350">
      <c r="F350" s="173"/>
      <c r="G350" s="173"/>
      <c r="H350" s="173"/>
      <c r="I350" s="174"/>
      <c r="L350" s="175"/>
      <c r="M350" s="175"/>
      <c r="P350" s="178"/>
      <c r="Q350" s="179"/>
      <c r="R350" s="175"/>
      <c r="U350" s="135"/>
      <c r="V350" s="175"/>
    </row>
    <row r="351">
      <c r="F351" s="173"/>
      <c r="G351" s="173"/>
      <c r="H351" s="173"/>
      <c r="I351" s="174"/>
      <c r="L351" s="175"/>
      <c r="M351" s="175"/>
      <c r="P351" s="178"/>
      <c r="Q351" s="179"/>
      <c r="R351" s="175"/>
      <c r="U351" s="135"/>
      <c r="V351" s="175"/>
    </row>
    <row r="352">
      <c r="F352" s="173"/>
      <c r="G352" s="173"/>
      <c r="H352" s="173"/>
      <c r="I352" s="174"/>
      <c r="L352" s="175"/>
      <c r="M352" s="175"/>
      <c r="P352" s="178"/>
      <c r="Q352" s="179"/>
      <c r="R352" s="175"/>
      <c r="U352" s="135"/>
      <c r="V352" s="175"/>
    </row>
    <row r="353">
      <c r="F353" s="173"/>
      <c r="G353" s="173"/>
      <c r="H353" s="173"/>
      <c r="I353" s="174"/>
      <c r="L353" s="175"/>
      <c r="M353" s="175"/>
      <c r="P353" s="178"/>
      <c r="Q353" s="179"/>
      <c r="R353" s="175"/>
      <c r="U353" s="135"/>
      <c r="V353" s="175"/>
    </row>
    <row r="354">
      <c r="F354" s="173"/>
      <c r="G354" s="173"/>
      <c r="H354" s="173"/>
      <c r="I354" s="174"/>
      <c r="L354" s="175"/>
      <c r="M354" s="175"/>
      <c r="P354" s="178"/>
      <c r="Q354" s="179"/>
      <c r="R354" s="175"/>
      <c r="U354" s="135"/>
      <c r="V354" s="175"/>
    </row>
    <row r="355">
      <c r="F355" s="173"/>
      <c r="G355" s="173"/>
      <c r="H355" s="173"/>
      <c r="I355" s="174"/>
      <c r="L355" s="175"/>
      <c r="M355" s="175"/>
      <c r="P355" s="178"/>
      <c r="Q355" s="179"/>
      <c r="R355" s="175"/>
      <c r="U355" s="135"/>
      <c r="V355" s="175"/>
    </row>
    <row r="356">
      <c r="F356" s="173"/>
      <c r="G356" s="173"/>
      <c r="H356" s="173"/>
      <c r="I356" s="174"/>
      <c r="L356" s="175"/>
      <c r="M356" s="175"/>
      <c r="P356" s="178"/>
      <c r="Q356" s="179"/>
      <c r="R356" s="175"/>
      <c r="U356" s="135"/>
      <c r="V356" s="175"/>
    </row>
    <row r="357">
      <c r="F357" s="173"/>
      <c r="G357" s="173"/>
      <c r="H357" s="173"/>
      <c r="I357" s="174"/>
      <c r="L357" s="175"/>
      <c r="M357" s="175"/>
      <c r="P357" s="178"/>
      <c r="Q357" s="179"/>
      <c r="R357" s="175"/>
      <c r="U357" s="135"/>
      <c r="V357" s="175"/>
    </row>
    <row r="358">
      <c r="F358" s="173"/>
      <c r="G358" s="173"/>
      <c r="H358" s="173"/>
      <c r="I358" s="174"/>
      <c r="L358" s="175"/>
      <c r="M358" s="175"/>
      <c r="P358" s="178"/>
      <c r="Q358" s="179"/>
      <c r="R358" s="175"/>
      <c r="U358" s="135"/>
      <c r="V358" s="175"/>
    </row>
    <row r="359">
      <c r="F359" s="173"/>
      <c r="G359" s="173"/>
      <c r="H359" s="173"/>
      <c r="I359" s="174"/>
      <c r="L359" s="175"/>
      <c r="M359" s="175"/>
      <c r="P359" s="178"/>
      <c r="Q359" s="179"/>
      <c r="R359" s="175"/>
      <c r="U359" s="135"/>
      <c r="V359" s="175"/>
    </row>
    <row r="360">
      <c r="F360" s="173"/>
      <c r="G360" s="173"/>
      <c r="H360" s="173"/>
      <c r="I360" s="174"/>
      <c r="L360" s="175"/>
      <c r="M360" s="175"/>
      <c r="P360" s="178"/>
      <c r="Q360" s="179"/>
      <c r="R360" s="175"/>
      <c r="U360" s="135"/>
      <c r="V360" s="175"/>
    </row>
    <row r="361">
      <c r="F361" s="173"/>
      <c r="G361" s="173"/>
      <c r="H361" s="173"/>
      <c r="I361" s="174"/>
      <c r="L361" s="175"/>
      <c r="M361" s="175"/>
      <c r="P361" s="178"/>
      <c r="Q361" s="179"/>
      <c r="R361" s="175"/>
      <c r="U361" s="135"/>
      <c r="V361" s="175"/>
    </row>
    <row r="362">
      <c r="F362" s="173"/>
      <c r="G362" s="173"/>
      <c r="H362" s="173"/>
      <c r="I362" s="174"/>
      <c r="L362" s="175"/>
      <c r="M362" s="175"/>
      <c r="P362" s="178"/>
      <c r="Q362" s="179"/>
      <c r="R362" s="175"/>
      <c r="U362" s="135"/>
      <c r="V362" s="175"/>
    </row>
    <row r="363">
      <c r="F363" s="173"/>
      <c r="G363" s="173"/>
      <c r="H363" s="173"/>
      <c r="I363" s="174"/>
      <c r="L363" s="175"/>
      <c r="M363" s="175"/>
      <c r="P363" s="178"/>
      <c r="Q363" s="179"/>
      <c r="R363" s="175"/>
      <c r="U363" s="135"/>
      <c r="V363" s="175"/>
    </row>
    <row r="364">
      <c r="F364" s="173"/>
      <c r="G364" s="173"/>
      <c r="H364" s="173"/>
      <c r="I364" s="174"/>
      <c r="L364" s="175"/>
      <c r="M364" s="175"/>
      <c r="P364" s="178"/>
      <c r="Q364" s="179"/>
      <c r="R364" s="175"/>
      <c r="U364" s="135"/>
      <c r="V364" s="175"/>
    </row>
    <row r="365">
      <c r="F365" s="173"/>
      <c r="G365" s="173"/>
      <c r="H365" s="173"/>
      <c r="I365" s="174"/>
      <c r="L365" s="175"/>
      <c r="M365" s="175"/>
      <c r="P365" s="178"/>
      <c r="Q365" s="179"/>
      <c r="R365" s="175"/>
      <c r="U365" s="135"/>
      <c r="V365" s="175"/>
    </row>
    <row r="366">
      <c r="F366" s="173"/>
      <c r="G366" s="173"/>
      <c r="H366" s="173"/>
      <c r="I366" s="174"/>
      <c r="L366" s="175"/>
      <c r="M366" s="175"/>
      <c r="P366" s="178"/>
      <c r="Q366" s="179"/>
      <c r="R366" s="175"/>
      <c r="U366" s="135"/>
      <c r="V366" s="175"/>
    </row>
    <row r="367">
      <c r="F367" s="173"/>
      <c r="G367" s="173"/>
      <c r="H367" s="173"/>
      <c r="I367" s="174"/>
      <c r="L367" s="175"/>
      <c r="M367" s="175"/>
      <c r="P367" s="178"/>
      <c r="Q367" s="179"/>
      <c r="R367" s="175"/>
      <c r="U367" s="135"/>
      <c r="V367" s="175"/>
    </row>
    <row r="368">
      <c r="F368" s="173"/>
      <c r="G368" s="173"/>
      <c r="H368" s="173"/>
      <c r="I368" s="174"/>
      <c r="L368" s="175"/>
      <c r="M368" s="175"/>
      <c r="P368" s="178"/>
      <c r="Q368" s="179"/>
      <c r="R368" s="175"/>
      <c r="U368" s="135"/>
      <c r="V368" s="175"/>
    </row>
    <row r="369">
      <c r="F369" s="173"/>
      <c r="G369" s="173"/>
      <c r="H369" s="173"/>
      <c r="I369" s="174"/>
      <c r="L369" s="175"/>
      <c r="M369" s="175"/>
      <c r="P369" s="178"/>
      <c r="Q369" s="179"/>
      <c r="R369" s="175"/>
      <c r="U369" s="135"/>
      <c r="V369" s="175"/>
    </row>
    <row r="370">
      <c r="F370" s="173"/>
      <c r="G370" s="173"/>
      <c r="H370" s="173"/>
      <c r="I370" s="174"/>
      <c r="L370" s="175"/>
      <c r="M370" s="175"/>
      <c r="P370" s="178"/>
      <c r="Q370" s="179"/>
      <c r="R370" s="175"/>
      <c r="U370" s="135"/>
      <c r="V370" s="175"/>
    </row>
    <row r="371">
      <c r="F371" s="173"/>
      <c r="G371" s="173"/>
      <c r="H371" s="173"/>
      <c r="I371" s="174"/>
      <c r="L371" s="175"/>
      <c r="M371" s="175"/>
      <c r="P371" s="178"/>
      <c r="Q371" s="179"/>
      <c r="R371" s="175"/>
      <c r="U371" s="135"/>
      <c r="V371" s="175"/>
    </row>
    <row r="372">
      <c r="F372" s="173"/>
      <c r="G372" s="173"/>
      <c r="H372" s="173"/>
      <c r="I372" s="174"/>
      <c r="L372" s="175"/>
      <c r="M372" s="175"/>
      <c r="P372" s="178"/>
      <c r="Q372" s="179"/>
      <c r="R372" s="175"/>
      <c r="U372" s="135"/>
      <c r="V372" s="175"/>
    </row>
    <row r="373">
      <c r="F373" s="173"/>
      <c r="G373" s="173"/>
      <c r="H373" s="173"/>
      <c r="I373" s="174"/>
      <c r="L373" s="175"/>
      <c r="M373" s="175"/>
      <c r="P373" s="178"/>
      <c r="Q373" s="179"/>
      <c r="R373" s="175"/>
      <c r="U373" s="135"/>
      <c r="V373" s="175"/>
    </row>
    <row r="374">
      <c r="F374" s="173"/>
      <c r="G374" s="173"/>
      <c r="H374" s="173"/>
      <c r="I374" s="174"/>
      <c r="L374" s="175"/>
      <c r="M374" s="175"/>
      <c r="P374" s="178"/>
      <c r="Q374" s="179"/>
      <c r="R374" s="175"/>
      <c r="U374" s="135"/>
      <c r="V374" s="175"/>
    </row>
    <row r="375">
      <c r="F375" s="173"/>
      <c r="G375" s="173"/>
      <c r="H375" s="173"/>
      <c r="I375" s="174"/>
      <c r="L375" s="175"/>
      <c r="M375" s="175"/>
      <c r="P375" s="178"/>
      <c r="Q375" s="179"/>
      <c r="R375" s="175"/>
      <c r="U375" s="135"/>
      <c r="V375" s="175"/>
    </row>
    <row r="376">
      <c r="F376" s="173"/>
      <c r="G376" s="173"/>
      <c r="H376" s="173"/>
      <c r="I376" s="174"/>
      <c r="L376" s="175"/>
      <c r="M376" s="175"/>
      <c r="P376" s="178"/>
      <c r="Q376" s="179"/>
      <c r="R376" s="175"/>
      <c r="U376" s="135"/>
      <c r="V376" s="175"/>
    </row>
    <row r="377">
      <c r="F377" s="173"/>
      <c r="G377" s="173"/>
      <c r="H377" s="173"/>
      <c r="I377" s="174"/>
      <c r="L377" s="175"/>
      <c r="M377" s="175"/>
      <c r="P377" s="178"/>
      <c r="Q377" s="179"/>
      <c r="R377" s="175"/>
      <c r="U377" s="135"/>
      <c r="V377" s="175"/>
    </row>
    <row r="378">
      <c r="F378" s="173"/>
      <c r="G378" s="173"/>
      <c r="H378" s="173"/>
      <c r="I378" s="174"/>
      <c r="L378" s="175"/>
      <c r="M378" s="175"/>
      <c r="P378" s="178"/>
      <c r="Q378" s="179"/>
      <c r="R378" s="175"/>
      <c r="U378" s="135"/>
      <c r="V378" s="175"/>
    </row>
    <row r="379">
      <c r="F379" s="173"/>
      <c r="G379" s="173"/>
      <c r="H379" s="173"/>
      <c r="I379" s="174"/>
      <c r="L379" s="175"/>
      <c r="M379" s="175"/>
      <c r="P379" s="178"/>
      <c r="Q379" s="179"/>
      <c r="R379" s="175"/>
      <c r="U379" s="135"/>
      <c r="V379" s="175"/>
    </row>
    <row r="380">
      <c r="F380" s="173"/>
      <c r="G380" s="173"/>
      <c r="H380" s="173"/>
      <c r="I380" s="174"/>
      <c r="L380" s="175"/>
      <c r="M380" s="175"/>
      <c r="P380" s="178"/>
      <c r="Q380" s="179"/>
      <c r="R380" s="175"/>
      <c r="U380" s="135"/>
      <c r="V380" s="175"/>
    </row>
    <row r="381">
      <c r="F381" s="173"/>
      <c r="G381" s="173"/>
      <c r="H381" s="173"/>
      <c r="I381" s="174"/>
      <c r="L381" s="175"/>
      <c r="M381" s="175"/>
      <c r="P381" s="178"/>
      <c r="Q381" s="179"/>
      <c r="R381" s="175"/>
      <c r="U381" s="135"/>
      <c r="V381" s="175"/>
    </row>
    <row r="382">
      <c r="F382" s="173"/>
      <c r="G382" s="173"/>
      <c r="H382" s="173"/>
      <c r="I382" s="174"/>
      <c r="L382" s="175"/>
      <c r="M382" s="175"/>
      <c r="P382" s="178"/>
      <c r="Q382" s="179"/>
      <c r="R382" s="175"/>
      <c r="U382" s="135"/>
      <c r="V382" s="175"/>
    </row>
    <row r="383">
      <c r="F383" s="173"/>
      <c r="G383" s="173"/>
      <c r="H383" s="173"/>
      <c r="I383" s="174"/>
      <c r="L383" s="175"/>
      <c r="M383" s="175"/>
      <c r="P383" s="178"/>
      <c r="Q383" s="179"/>
      <c r="R383" s="175"/>
      <c r="U383" s="135"/>
      <c r="V383" s="175"/>
    </row>
    <row r="384">
      <c r="F384" s="173"/>
      <c r="G384" s="173"/>
      <c r="H384" s="173"/>
      <c r="I384" s="174"/>
      <c r="L384" s="175"/>
      <c r="M384" s="175"/>
      <c r="P384" s="178"/>
      <c r="Q384" s="179"/>
      <c r="R384" s="175"/>
      <c r="U384" s="135"/>
      <c r="V384" s="175"/>
    </row>
    <row r="385">
      <c r="F385" s="173"/>
      <c r="G385" s="173"/>
      <c r="H385" s="173"/>
      <c r="I385" s="174"/>
      <c r="L385" s="175"/>
      <c r="M385" s="175"/>
      <c r="P385" s="178"/>
      <c r="Q385" s="179"/>
      <c r="R385" s="175"/>
      <c r="U385" s="135"/>
      <c r="V385" s="175"/>
    </row>
    <row r="386">
      <c r="F386" s="173"/>
      <c r="G386" s="173"/>
      <c r="H386" s="173"/>
      <c r="I386" s="174"/>
      <c r="L386" s="175"/>
      <c r="M386" s="175"/>
      <c r="P386" s="178"/>
      <c r="Q386" s="179"/>
      <c r="R386" s="175"/>
      <c r="U386" s="135"/>
      <c r="V386" s="175"/>
    </row>
    <row r="387">
      <c r="F387" s="173"/>
      <c r="G387" s="173"/>
      <c r="H387" s="173"/>
      <c r="I387" s="174"/>
      <c r="L387" s="175"/>
      <c r="M387" s="175"/>
      <c r="P387" s="178"/>
      <c r="Q387" s="179"/>
      <c r="R387" s="175"/>
      <c r="U387" s="135"/>
      <c r="V387" s="175"/>
    </row>
    <row r="388">
      <c r="F388" s="173"/>
      <c r="G388" s="173"/>
      <c r="H388" s="173"/>
      <c r="I388" s="174"/>
      <c r="L388" s="175"/>
      <c r="M388" s="175"/>
      <c r="P388" s="178"/>
      <c r="Q388" s="179"/>
      <c r="R388" s="175"/>
      <c r="U388" s="135"/>
      <c r="V388" s="175"/>
    </row>
    <row r="389">
      <c r="F389" s="173"/>
      <c r="G389" s="173"/>
      <c r="H389" s="173"/>
      <c r="I389" s="174"/>
      <c r="L389" s="175"/>
      <c r="M389" s="175"/>
      <c r="P389" s="178"/>
      <c r="Q389" s="179"/>
      <c r="R389" s="175"/>
      <c r="U389" s="135"/>
      <c r="V389" s="175"/>
    </row>
    <row r="390">
      <c r="F390" s="173"/>
      <c r="G390" s="173"/>
      <c r="H390" s="173"/>
      <c r="I390" s="174"/>
      <c r="L390" s="175"/>
      <c r="M390" s="175"/>
      <c r="P390" s="178"/>
      <c r="Q390" s="179"/>
      <c r="R390" s="175"/>
      <c r="U390" s="135"/>
      <c r="V390" s="175"/>
    </row>
    <row r="391">
      <c r="F391" s="173"/>
      <c r="G391" s="173"/>
      <c r="H391" s="173"/>
      <c r="I391" s="174"/>
      <c r="L391" s="175"/>
      <c r="M391" s="175"/>
      <c r="P391" s="178"/>
      <c r="Q391" s="179"/>
      <c r="R391" s="175"/>
      <c r="U391" s="135"/>
      <c r="V391" s="175"/>
    </row>
    <row r="392">
      <c r="F392" s="173"/>
      <c r="G392" s="173"/>
      <c r="H392" s="173"/>
      <c r="I392" s="174"/>
      <c r="L392" s="175"/>
      <c r="M392" s="175"/>
      <c r="P392" s="178"/>
      <c r="Q392" s="179"/>
      <c r="R392" s="175"/>
      <c r="U392" s="135"/>
      <c r="V392" s="175"/>
    </row>
    <row r="393">
      <c r="F393" s="173"/>
      <c r="G393" s="173"/>
      <c r="H393" s="173"/>
      <c r="I393" s="174"/>
      <c r="L393" s="175"/>
      <c r="M393" s="175"/>
      <c r="P393" s="178"/>
      <c r="Q393" s="179"/>
      <c r="R393" s="175"/>
      <c r="U393" s="135"/>
      <c r="V393" s="175"/>
    </row>
    <row r="394">
      <c r="F394" s="173"/>
      <c r="G394" s="173"/>
      <c r="H394" s="173"/>
      <c r="I394" s="174"/>
      <c r="L394" s="175"/>
      <c r="M394" s="175"/>
      <c r="P394" s="178"/>
      <c r="Q394" s="179"/>
      <c r="R394" s="175"/>
      <c r="U394" s="135"/>
      <c r="V394" s="175"/>
    </row>
    <row r="395">
      <c r="F395" s="173"/>
      <c r="G395" s="173"/>
      <c r="H395" s="173"/>
      <c r="I395" s="174"/>
      <c r="L395" s="175"/>
      <c r="M395" s="175"/>
      <c r="P395" s="178"/>
      <c r="Q395" s="179"/>
      <c r="R395" s="175"/>
      <c r="U395" s="135"/>
      <c r="V395" s="175"/>
    </row>
    <row r="396">
      <c r="F396" s="173"/>
      <c r="G396" s="173"/>
      <c r="H396" s="173"/>
      <c r="I396" s="174"/>
      <c r="L396" s="175"/>
      <c r="M396" s="175"/>
      <c r="P396" s="178"/>
      <c r="Q396" s="179"/>
      <c r="R396" s="175"/>
      <c r="U396" s="135"/>
      <c r="V396" s="175"/>
    </row>
    <row r="397">
      <c r="F397" s="173"/>
      <c r="G397" s="173"/>
      <c r="H397" s="173"/>
      <c r="I397" s="174"/>
      <c r="L397" s="175"/>
      <c r="M397" s="175"/>
      <c r="P397" s="178"/>
      <c r="Q397" s="179"/>
      <c r="R397" s="175"/>
      <c r="U397" s="135"/>
      <c r="V397" s="175"/>
    </row>
    <row r="398">
      <c r="F398" s="173"/>
      <c r="G398" s="173"/>
      <c r="H398" s="173"/>
      <c r="I398" s="174"/>
      <c r="L398" s="175"/>
      <c r="M398" s="175"/>
      <c r="P398" s="178"/>
      <c r="Q398" s="179"/>
      <c r="R398" s="175"/>
      <c r="U398" s="135"/>
      <c r="V398" s="175"/>
    </row>
    <row r="399">
      <c r="F399" s="173"/>
      <c r="G399" s="173"/>
      <c r="H399" s="173"/>
      <c r="I399" s="174"/>
      <c r="L399" s="175"/>
      <c r="M399" s="175"/>
      <c r="P399" s="178"/>
      <c r="Q399" s="179"/>
      <c r="R399" s="175"/>
      <c r="U399" s="135"/>
      <c r="V399" s="175"/>
    </row>
    <row r="400">
      <c r="F400" s="173"/>
      <c r="G400" s="173"/>
      <c r="H400" s="173"/>
      <c r="I400" s="174"/>
      <c r="L400" s="175"/>
      <c r="M400" s="175"/>
      <c r="P400" s="178"/>
      <c r="Q400" s="179"/>
      <c r="R400" s="175"/>
      <c r="U400" s="135"/>
      <c r="V400" s="175"/>
    </row>
    <row r="401">
      <c r="F401" s="173"/>
      <c r="G401" s="173"/>
      <c r="H401" s="173"/>
      <c r="I401" s="174"/>
      <c r="L401" s="175"/>
      <c r="M401" s="175"/>
      <c r="P401" s="178"/>
      <c r="Q401" s="179"/>
      <c r="R401" s="175"/>
      <c r="U401" s="135"/>
      <c r="V401" s="175"/>
    </row>
    <row r="402">
      <c r="F402" s="173"/>
      <c r="G402" s="173"/>
      <c r="H402" s="173"/>
      <c r="I402" s="174"/>
      <c r="L402" s="175"/>
      <c r="M402" s="175"/>
      <c r="P402" s="178"/>
      <c r="Q402" s="179"/>
      <c r="R402" s="175"/>
      <c r="U402" s="135"/>
      <c r="V402" s="175"/>
    </row>
    <row r="403">
      <c r="F403" s="173"/>
      <c r="G403" s="173"/>
      <c r="H403" s="173"/>
      <c r="I403" s="174"/>
      <c r="L403" s="175"/>
      <c r="M403" s="175"/>
      <c r="P403" s="178"/>
      <c r="Q403" s="179"/>
      <c r="R403" s="175"/>
      <c r="U403" s="135"/>
      <c r="V403" s="175"/>
    </row>
    <row r="404">
      <c r="F404" s="173"/>
      <c r="G404" s="173"/>
      <c r="H404" s="173"/>
      <c r="I404" s="174"/>
      <c r="L404" s="175"/>
      <c r="M404" s="175"/>
      <c r="P404" s="178"/>
      <c r="Q404" s="179"/>
      <c r="R404" s="175"/>
      <c r="U404" s="135"/>
      <c r="V404" s="175"/>
    </row>
    <row r="405">
      <c r="F405" s="173"/>
      <c r="G405" s="173"/>
      <c r="H405" s="173"/>
      <c r="I405" s="174"/>
      <c r="L405" s="175"/>
      <c r="M405" s="175"/>
      <c r="P405" s="178"/>
      <c r="Q405" s="179"/>
      <c r="R405" s="175"/>
      <c r="U405" s="135"/>
      <c r="V405" s="175"/>
    </row>
    <row r="406">
      <c r="F406" s="173"/>
      <c r="G406" s="173"/>
      <c r="H406" s="173"/>
      <c r="I406" s="174"/>
      <c r="L406" s="175"/>
      <c r="M406" s="175"/>
      <c r="P406" s="178"/>
      <c r="Q406" s="179"/>
      <c r="R406" s="175"/>
      <c r="U406" s="135"/>
      <c r="V406" s="175"/>
    </row>
    <row r="407">
      <c r="F407" s="173"/>
      <c r="G407" s="173"/>
      <c r="H407" s="173"/>
      <c r="I407" s="174"/>
      <c r="L407" s="175"/>
      <c r="M407" s="175"/>
      <c r="P407" s="178"/>
      <c r="Q407" s="179"/>
      <c r="R407" s="175"/>
      <c r="U407" s="135"/>
      <c r="V407" s="175"/>
    </row>
    <row r="408">
      <c r="F408" s="173"/>
      <c r="G408" s="173"/>
      <c r="H408" s="173"/>
      <c r="I408" s="174"/>
      <c r="L408" s="175"/>
      <c r="M408" s="175"/>
      <c r="P408" s="178"/>
      <c r="Q408" s="179"/>
      <c r="R408" s="175"/>
      <c r="U408" s="135"/>
      <c r="V408" s="175"/>
    </row>
    <row r="409">
      <c r="F409" s="173"/>
      <c r="G409" s="173"/>
      <c r="H409" s="173"/>
      <c r="I409" s="174"/>
      <c r="L409" s="175"/>
      <c r="M409" s="175"/>
      <c r="P409" s="178"/>
      <c r="Q409" s="179"/>
      <c r="R409" s="175"/>
      <c r="U409" s="135"/>
      <c r="V409" s="175"/>
    </row>
    <row r="410">
      <c r="F410" s="173"/>
      <c r="G410" s="173"/>
      <c r="H410" s="173"/>
      <c r="I410" s="174"/>
      <c r="L410" s="175"/>
      <c r="M410" s="175"/>
      <c r="P410" s="178"/>
      <c r="Q410" s="179"/>
      <c r="R410" s="175"/>
      <c r="U410" s="135"/>
      <c r="V410" s="175"/>
    </row>
    <row r="411">
      <c r="F411" s="173"/>
      <c r="G411" s="173"/>
      <c r="H411" s="173"/>
      <c r="I411" s="174"/>
      <c r="L411" s="175"/>
      <c r="M411" s="175"/>
      <c r="P411" s="178"/>
      <c r="Q411" s="179"/>
      <c r="R411" s="175"/>
      <c r="U411" s="135"/>
      <c r="V411" s="175"/>
    </row>
    <row r="412">
      <c r="F412" s="173"/>
      <c r="G412" s="173"/>
      <c r="H412" s="173"/>
      <c r="I412" s="174"/>
      <c r="L412" s="175"/>
      <c r="M412" s="175"/>
      <c r="P412" s="178"/>
      <c r="Q412" s="179"/>
      <c r="R412" s="175"/>
      <c r="U412" s="135"/>
      <c r="V412" s="175"/>
    </row>
    <row r="413">
      <c r="F413" s="173"/>
      <c r="G413" s="173"/>
      <c r="H413" s="173"/>
      <c r="I413" s="174"/>
      <c r="L413" s="175"/>
      <c r="M413" s="175"/>
      <c r="P413" s="178"/>
      <c r="Q413" s="179"/>
      <c r="R413" s="175"/>
      <c r="U413" s="135"/>
      <c r="V413" s="175"/>
    </row>
    <row r="414">
      <c r="F414" s="173"/>
      <c r="G414" s="173"/>
      <c r="H414" s="173"/>
      <c r="I414" s="174"/>
      <c r="L414" s="175"/>
      <c r="M414" s="175"/>
      <c r="P414" s="178"/>
      <c r="Q414" s="179"/>
      <c r="R414" s="175"/>
      <c r="U414" s="135"/>
      <c r="V414" s="175"/>
    </row>
    <row r="415">
      <c r="F415" s="173"/>
      <c r="G415" s="173"/>
      <c r="H415" s="173"/>
      <c r="I415" s="174"/>
      <c r="L415" s="175"/>
      <c r="M415" s="175"/>
      <c r="P415" s="178"/>
      <c r="Q415" s="179"/>
      <c r="R415" s="175"/>
      <c r="U415" s="135"/>
      <c r="V415" s="175"/>
    </row>
    <row r="416">
      <c r="F416" s="173"/>
      <c r="G416" s="173"/>
      <c r="H416" s="173"/>
      <c r="I416" s="174"/>
      <c r="L416" s="175"/>
      <c r="M416" s="175"/>
      <c r="P416" s="178"/>
      <c r="Q416" s="179"/>
      <c r="R416" s="175"/>
      <c r="U416" s="135"/>
      <c r="V416" s="175"/>
    </row>
    <row r="417">
      <c r="F417" s="173"/>
      <c r="G417" s="173"/>
      <c r="H417" s="173"/>
      <c r="I417" s="174"/>
      <c r="L417" s="175"/>
      <c r="M417" s="175"/>
      <c r="P417" s="178"/>
      <c r="Q417" s="179"/>
      <c r="R417" s="175"/>
      <c r="U417" s="135"/>
      <c r="V417" s="175"/>
    </row>
    <row r="418">
      <c r="F418" s="173"/>
      <c r="G418" s="173"/>
      <c r="H418" s="173"/>
      <c r="I418" s="174"/>
      <c r="L418" s="175"/>
      <c r="M418" s="175"/>
      <c r="P418" s="178"/>
      <c r="Q418" s="179"/>
      <c r="R418" s="175"/>
      <c r="U418" s="135"/>
      <c r="V418" s="175"/>
    </row>
    <row r="419">
      <c r="F419" s="173"/>
      <c r="G419" s="173"/>
      <c r="H419" s="173"/>
      <c r="I419" s="174"/>
      <c r="L419" s="175"/>
      <c r="M419" s="175"/>
      <c r="P419" s="178"/>
      <c r="Q419" s="179"/>
      <c r="R419" s="175"/>
      <c r="U419" s="135"/>
      <c r="V419" s="175"/>
    </row>
    <row r="420">
      <c r="F420" s="173"/>
      <c r="G420" s="173"/>
      <c r="H420" s="173"/>
      <c r="I420" s="174"/>
      <c r="L420" s="175"/>
      <c r="M420" s="175"/>
      <c r="P420" s="178"/>
      <c r="Q420" s="179"/>
      <c r="R420" s="175"/>
      <c r="U420" s="135"/>
      <c r="V420" s="175"/>
    </row>
    <row r="421">
      <c r="F421" s="173"/>
      <c r="G421" s="173"/>
      <c r="H421" s="173"/>
      <c r="I421" s="174"/>
      <c r="L421" s="175"/>
      <c r="M421" s="175"/>
      <c r="P421" s="178"/>
      <c r="Q421" s="179"/>
      <c r="R421" s="175"/>
      <c r="U421" s="135"/>
      <c r="V421" s="175"/>
    </row>
    <row r="422">
      <c r="F422" s="173"/>
      <c r="G422" s="173"/>
      <c r="H422" s="173"/>
      <c r="I422" s="174"/>
      <c r="L422" s="175"/>
      <c r="M422" s="175"/>
      <c r="P422" s="178"/>
      <c r="Q422" s="179"/>
      <c r="R422" s="175"/>
      <c r="U422" s="135"/>
      <c r="V422" s="175"/>
    </row>
    <row r="423">
      <c r="F423" s="173"/>
      <c r="G423" s="173"/>
      <c r="H423" s="173"/>
      <c r="I423" s="174"/>
      <c r="L423" s="175"/>
      <c r="M423" s="175"/>
      <c r="P423" s="178"/>
      <c r="Q423" s="179"/>
      <c r="R423" s="175"/>
      <c r="U423" s="135"/>
      <c r="V423" s="175"/>
    </row>
    <row r="424">
      <c r="F424" s="173"/>
      <c r="G424" s="173"/>
      <c r="H424" s="173"/>
      <c r="I424" s="174"/>
      <c r="L424" s="175"/>
      <c r="M424" s="175"/>
      <c r="P424" s="178"/>
      <c r="Q424" s="179"/>
      <c r="R424" s="175"/>
      <c r="U424" s="135"/>
      <c r="V424" s="175"/>
    </row>
    <row r="425">
      <c r="F425" s="173"/>
      <c r="G425" s="173"/>
      <c r="H425" s="173"/>
      <c r="I425" s="174"/>
      <c r="L425" s="175"/>
      <c r="M425" s="175"/>
      <c r="P425" s="178"/>
      <c r="Q425" s="179"/>
      <c r="R425" s="175"/>
      <c r="U425" s="135"/>
      <c r="V425" s="175"/>
    </row>
    <row r="426">
      <c r="F426" s="173"/>
      <c r="G426" s="173"/>
      <c r="H426" s="173"/>
      <c r="I426" s="174"/>
      <c r="L426" s="175"/>
      <c r="M426" s="175"/>
      <c r="P426" s="178"/>
      <c r="Q426" s="179"/>
      <c r="R426" s="175"/>
      <c r="U426" s="135"/>
      <c r="V426" s="175"/>
    </row>
    <row r="427">
      <c r="F427" s="173"/>
      <c r="G427" s="173"/>
      <c r="H427" s="173"/>
      <c r="I427" s="174"/>
      <c r="L427" s="175"/>
      <c r="M427" s="175"/>
      <c r="P427" s="178"/>
      <c r="Q427" s="179"/>
      <c r="R427" s="175"/>
      <c r="U427" s="135"/>
      <c r="V427" s="175"/>
    </row>
    <row r="428">
      <c r="F428" s="173"/>
      <c r="G428" s="173"/>
      <c r="H428" s="173"/>
      <c r="I428" s="174"/>
      <c r="L428" s="175"/>
      <c r="M428" s="175"/>
      <c r="P428" s="178"/>
      <c r="Q428" s="179"/>
      <c r="R428" s="175"/>
      <c r="U428" s="135"/>
      <c r="V428" s="175"/>
    </row>
    <row r="429">
      <c r="F429" s="173"/>
      <c r="G429" s="173"/>
      <c r="H429" s="173"/>
      <c r="I429" s="174"/>
      <c r="L429" s="175"/>
      <c r="M429" s="175"/>
      <c r="P429" s="178"/>
      <c r="Q429" s="179"/>
      <c r="R429" s="175"/>
      <c r="U429" s="135"/>
      <c r="V429" s="175"/>
    </row>
    <row r="430">
      <c r="F430" s="173"/>
      <c r="G430" s="173"/>
      <c r="H430" s="173"/>
      <c r="I430" s="174"/>
      <c r="L430" s="175"/>
      <c r="M430" s="175"/>
      <c r="P430" s="178"/>
      <c r="Q430" s="179"/>
      <c r="R430" s="175"/>
      <c r="U430" s="135"/>
      <c r="V430" s="175"/>
    </row>
    <row r="431">
      <c r="F431" s="173"/>
      <c r="G431" s="173"/>
      <c r="H431" s="173"/>
      <c r="I431" s="174"/>
      <c r="L431" s="175"/>
      <c r="M431" s="175"/>
      <c r="P431" s="178"/>
      <c r="Q431" s="179"/>
      <c r="R431" s="175"/>
      <c r="U431" s="135"/>
      <c r="V431" s="175"/>
    </row>
    <row r="432">
      <c r="F432" s="173"/>
      <c r="G432" s="173"/>
      <c r="H432" s="173"/>
      <c r="I432" s="174"/>
      <c r="L432" s="175"/>
      <c r="M432" s="175"/>
      <c r="P432" s="178"/>
      <c r="Q432" s="179"/>
      <c r="R432" s="175"/>
      <c r="U432" s="135"/>
      <c r="V432" s="175"/>
    </row>
    <row r="433">
      <c r="F433" s="173"/>
      <c r="G433" s="173"/>
      <c r="H433" s="173"/>
      <c r="I433" s="174"/>
      <c r="L433" s="175"/>
      <c r="M433" s="175"/>
      <c r="P433" s="178"/>
      <c r="Q433" s="179"/>
      <c r="R433" s="175"/>
      <c r="U433" s="135"/>
      <c r="V433" s="175"/>
    </row>
    <row r="434">
      <c r="F434" s="173"/>
      <c r="G434" s="173"/>
      <c r="H434" s="173"/>
      <c r="I434" s="174"/>
      <c r="L434" s="175"/>
      <c r="M434" s="175"/>
      <c r="P434" s="178"/>
      <c r="Q434" s="179"/>
      <c r="R434" s="175"/>
      <c r="U434" s="135"/>
      <c r="V434" s="175"/>
    </row>
    <row r="435">
      <c r="F435" s="173"/>
      <c r="G435" s="173"/>
      <c r="H435" s="173"/>
      <c r="I435" s="174"/>
      <c r="L435" s="175"/>
      <c r="M435" s="175"/>
      <c r="P435" s="178"/>
      <c r="Q435" s="179"/>
      <c r="R435" s="175"/>
      <c r="U435" s="135"/>
      <c r="V435" s="175"/>
    </row>
    <row r="436">
      <c r="F436" s="173"/>
      <c r="G436" s="173"/>
      <c r="H436" s="173"/>
      <c r="I436" s="174"/>
      <c r="L436" s="175"/>
      <c r="M436" s="175"/>
      <c r="P436" s="178"/>
      <c r="Q436" s="179"/>
      <c r="R436" s="175"/>
      <c r="U436" s="135"/>
      <c r="V436" s="175"/>
    </row>
    <row r="437">
      <c r="F437" s="173"/>
      <c r="G437" s="173"/>
      <c r="H437" s="173"/>
      <c r="I437" s="174"/>
      <c r="L437" s="175"/>
      <c r="M437" s="175"/>
      <c r="P437" s="178"/>
      <c r="Q437" s="179"/>
      <c r="R437" s="175"/>
      <c r="U437" s="135"/>
      <c r="V437" s="175"/>
    </row>
    <row r="438">
      <c r="F438" s="173"/>
      <c r="G438" s="173"/>
      <c r="H438" s="173"/>
      <c r="I438" s="174"/>
      <c r="L438" s="175"/>
      <c r="M438" s="175"/>
      <c r="P438" s="178"/>
      <c r="Q438" s="179"/>
      <c r="R438" s="175"/>
      <c r="U438" s="135"/>
      <c r="V438" s="175"/>
    </row>
    <row r="439">
      <c r="F439" s="173"/>
      <c r="G439" s="173"/>
      <c r="H439" s="173"/>
      <c r="I439" s="174"/>
      <c r="L439" s="175"/>
      <c r="M439" s="175"/>
      <c r="P439" s="178"/>
      <c r="Q439" s="179"/>
      <c r="R439" s="175"/>
      <c r="U439" s="135"/>
      <c r="V439" s="175"/>
    </row>
    <row r="440">
      <c r="F440" s="173"/>
      <c r="G440" s="173"/>
      <c r="H440" s="173"/>
      <c r="I440" s="174"/>
      <c r="L440" s="175"/>
      <c r="M440" s="175"/>
      <c r="P440" s="178"/>
      <c r="Q440" s="179"/>
      <c r="R440" s="175"/>
      <c r="U440" s="135"/>
      <c r="V440" s="175"/>
    </row>
    <row r="441">
      <c r="F441" s="173"/>
      <c r="G441" s="173"/>
      <c r="H441" s="173"/>
      <c r="I441" s="174"/>
      <c r="L441" s="175"/>
      <c r="M441" s="175"/>
      <c r="P441" s="178"/>
      <c r="Q441" s="179"/>
      <c r="R441" s="175"/>
      <c r="U441" s="135"/>
      <c r="V441" s="175"/>
    </row>
    <row r="442">
      <c r="F442" s="173"/>
      <c r="G442" s="173"/>
      <c r="H442" s="173"/>
      <c r="I442" s="174"/>
      <c r="L442" s="175"/>
      <c r="M442" s="175"/>
      <c r="P442" s="178"/>
      <c r="Q442" s="179"/>
      <c r="R442" s="175"/>
      <c r="U442" s="135"/>
      <c r="V442" s="175"/>
    </row>
    <row r="443">
      <c r="F443" s="173"/>
      <c r="G443" s="173"/>
      <c r="H443" s="173"/>
      <c r="I443" s="174"/>
      <c r="L443" s="175"/>
      <c r="M443" s="175"/>
      <c r="P443" s="178"/>
      <c r="Q443" s="179"/>
      <c r="R443" s="175"/>
      <c r="U443" s="135"/>
      <c r="V443" s="175"/>
    </row>
    <row r="444">
      <c r="F444" s="173"/>
      <c r="G444" s="173"/>
      <c r="H444" s="173"/>
      <c r="I444" s="174"/>
      <c r="L444" s="175"/>
      <c r="M444" s="175"/>
      <c r="P444" s="178"/>
      <c r="Q444" s="179"/>
      <c r="R444" s="175"/>
      <c r="U444" s="135"/>
      <c r="V444" s="175"/>
    </row>
    <row r="445">
      <c r="F445" s="173"/>
      <c r="G445" s="173"/>
      <c r="H445" s="173"/>
      <c r="I445" s="174"/>
      <c r="L445" s="175"/>
      <c r="M445" s="175"/>
      <c r="P445" s="178"/>
      <c r="Q445" s="179"/>
      <c r="R445" s="175"/>
      <c r="U445" s="135"/>
      <c r="V445" s="175"/>
    </row>
    <row r="446">
      <c r="F446" s="173"/>
      <c r="G446" s="173"/>
      <c r="H446" s="173"/>
      <c r="I446" s="174"/>
      <c r="L446" s="175"/>
      <c r="M446" s="175"/>
      <c r="P446" s="178"/>
      <c r="Q446" s="179"/>
      <c r="R446" s="175"/>
      <c r="U446" s="135"/>
      <c r="V446" s="175"/>
    </row>
    <row r="447">
      <c r="F447" s="173"/>
      <c r="G447" s="173"/>
      <c r="H447" s="173"/>
      <c r="I447" s="174"/>
      <c r="L447" s="175"/>
      <c r="M447" s="175"/>
      <c r="P447" s="178"/>
      <c r="Q447" s="179"/>
      <c r="R447" s="175"/>
      <c r="U447" s="135"/>
      <c r="V447" s="175"/>
    </row>
    <row r="448">
      <c r="F448" s="173"/>
      <c r="G448" s="173"/>
      <c r="H448" s="173"/>
      <c r="I448" s="174"/>
      <c r="L448" s="175"/>
      <c r="M448" s="175"/>
      <c r="P448" s="178"/>
      <c r="Q448" s="179"/>
      <c r="R448" s="175"/>
      <c r="U448" s="135"/>
      <c r="V448" s="175"/>
    </row>
    <row r="449">
      <c r="F449" s="173"/>
      <c r="G449" s="173"/>
      <c r="H449" s="173"/>
      <c r="I449" s="174"/>
      <c r="L449" s="175"/>
      <c r="M449" s="175"/>
      <c r="P449" s="178"/>
      <c r="Q449" s="179"/>
      <c r="R449" s="175"/>
      <c r="U449" s="135"/>
      <c r="V449" s="175"/>
    </row>
    <row r="450">
      <c r="F450" s="173"/>
      <c r="G450" s="173"/>
      <c r="H450" s="173"/>
      <c r="I450" s="174"/>
      <c r="L450" s="175"/>
      <c r="M450" s="175"/>
      <c r="P450" s="178"/>
      <c r="Q450" s="179"/>
      <c r="R450" s="175"/>
      <c r="U450" s="135"/>
      <c r="V450" s="175"/>
    </row>
    <row r="451">
      <c r="F451" s="173"/>
      <c r="G451" s="173"/>
      <c r="H451" s="173"/>
      <c r="I451" s="174"/>
      <c r="L451" s="175"/>
      <c r="M451" s="175"/>
      <c r="P451" s="178"/>
      <c r="Q451" s="179"/>
      <c r="R451" s="175"/>
      <c r="U451" s="135"/>
      <c r="V451" s="175"/>
    </row>
    <row r="452">
      <c r="F452" s="173"/>
      <c r="G452" s="173"/>
      <c r="H452" s="173"/>
      <c r="I452" s="174"/>
      <c r="L452" s="175"/>
      <c r="M452" s="175"/>
      <c r="P452" s="178"/>
      <c r="Q452" s="179"/>
      <c r="R452" s="175"/>
      <c r="U452" s="135"/>
      <c r="V452" s="175"/>
    </row>
    <row r="453">
      <c r="F453" s="173"/>
      <c r="G453" s="173"/>
      <c r="H453" s="173"/>
      <c r="I453" s="174"/>
      <c r="L453" s="175"/>
      <c r="M453" s="175"/>
      <c r="P453" s="178"/>
      <c r="Q453" s="179"/>
      <c r="R453" s="175"/>
      <c r="U453" s="135"/>
      <c r="V453" s="175"/>
    </row>
    <row r="454">
      <c r="F454" s="173"/>
      <c r="G454" s="173"/>
      <c r="H454" s="173"/>
      <c r="I454" s="174"/>
      <c r="L454" s="175"/>
      <c r="M454" s="175"/>
      <c r="P454" s="178"/>
      <c r="Q454" s="179"/>
      <c r="R454" s="175"/>
      <c r="U454" s="135"/>
      <c r="V454" s="175"/>
    </row>
    <row r="455">
      <c r="F455" s="173"/>
      <c r="G455" s="173"/>
      <c r="H455" s="173"/>
      <c r="I455" s="174"/>
      <c r="L455" s="175"/>
      <c r="M455" s="175"/>
      <c r="P455" s="178"/>
      <c r="Q455" s="179"/>
      <c r="R455" s="175"/>
      <c r="U455" s="135"/>
      <c r="V455" s="175"/>
    </row>
    <row r="456">
      <c r="F456" s="173"/>
      <c r="G456" s="173"/>
      <c r="H456" s="173"/>
      <c r="I456" s="174"/>
      <c r="L456" s="175"/>
      <c r="M456" s="175"/>
      <c r="P456" s="178"/>
      <c r="Q456" s="179"/>
      <c r="R456" s="175"/>
      <c r="U456" s="135"/>
      <c r="V456" s="175"/>
    </row>
    <row r="457">
      <c r="F457" s="173"/>
      <c r="G457" s="173"/>
      <c r="H457" s="173"/>
      <c r="I457" s="174"/>
      <c r="L457" s="175"/>
      <c r="M457" s="175"/>
      <c r="P457" s="178"/>
      <c r="Q457" s="179"/>
      <c r="R457" s="175"/>
      <c r="U457" s="135"/>
      <c r="V457" s="175"/>
    </row>
    <row r="458">
      <c r="F458" s="173"/>
      <c r="G458" s="173"/>
      <c r="H458" s="173"/>
      <c r="I458" s="174"/>
      <c r="L458" s="175"/>
      <c r="M458" s="175"/>
      <c r="P458" s="178"/>
      <c r="Q458" s="179"/>
      <c r="R458" s="175"/>
      <c r="U458" s="135"/>
      <c r="V458" s="175"/>
    </row>
    <row r="459">
      <c r="F459" s="173"/>
      <c r="G459" s="173"/>
      <c r="H459" s="173"/>
      <c r="I459" s="174"/>
      <c r="L459" s="175"/>
      <c r="M459" s="175"/>
      <c r="P459" s="178"/>
      <c r="Q459" s="179"/>
      <c r="R459" s="175"/>
      <c r="U459" s="135"/>
      <c r="V459" s="175"/>
    </row>
    <row r="460">
      <c r="F460" s="173"/>
      <c r="G460" s="173"/>
      <c r="H460" s="173"/>
      <c r="I460" s="174"/>
      <c r="L460" s="175"/>
      <c r="M460" s="175"/>
      <c r="P460" s="178"/>
      <c r="Q460" s="179"/>
      <c r="R460" s="175"/>
      <c r="U460" s="135"/>
      <c r="V460" s="175"/>
    </row>
    <row r="461">
      <c r="F461" s="173"/>
      <c r="G461" s="173"/>
      <c r="H461" s="173"/>
      <c r="I461" s="174"/>
      <c r="L461" s="175"/>
      <c r="M461" s="175"/>
      <c r="P461" s="178"/>
      <c r="Q461" s="179"/>
      <c r="R461" s="175"/>
      <c r="U461" s="135"/>
      <c r="V461" s="175"/>
    </row>
    <row r="462">
      <c r="F462" s="173"/>
      <c r="G462" s="173"/>
      <c r="H462" s="173"/>
      <c r="I462" s="174"/>
      <c r="L462" s="175"/>
      <c r="M462" s="175"/>
      <c r="P462" s="178"/>
      <c r="Q462" s="179"/>
      <c r="R462" s="175"/>
      <c r="U462" s="135"/>
      <c r="V462" s="175"/>
    </row>
    <row r="463">
      <c r="F463" s="173"/>
      <c r="G463" s="173"/>
      <c r="H463" s="173"/>
      <c r="I463" s="174"/>
      <c r="L463" s="175"/>
      <c r="M463" s="175"/>
      <c r="P463" s="178"/>
      <c r="Q463" s="179"/>
      <c r="R463" s="175"/>
      <c r="U463" s="135"/>
      <c r="V463" s="175"/>
    </row>
    <row r="464">
      <c r="F464" s="173"/>
      <c r="G464" s="173"/>
      <c r="H464" s="173"/>
      <c r="I464" s="174"/>
      <c r="L464" s="175"/>
      <c r="M464" s="175"/>
      <c r="P464" s="178"/>
      <c r="Q464" s="179"/>
      <c r="R464" s="175"/>
      <c r="U464" s="135"/>
      <c r="V464" s="175"/>
    </row>
    <row r="465">
      <c r="F465" s="173"/>
      <c r="G465" s="173"/>
      <c r="H465" s="173"/>
      <c r="I465" s="174"/>
      <c r="L465" s="175"/>
      <c r="M465" s="175"/>
      <c r="P465" s="178"/>
      <c r="Q465" s="179"/>
      <c r="R465" s="175"/>
      <c r="U465" s="135"/>
      <c r="V465" s="175"/>
    </row>
    <row r="466">
      <c r="F466" s="173"/>
      <c r="G466" s="173"/>
      <c r="H466" s="173"/>
      <c r="I466" s="174"/>
      <c r="L466" s="175"/>
      <c r="M466" s="175"/>
      <c r="P466" s="178"/>
      <c r="Q466" s="179"/>
      <c r="R466" s="175"/>
      <c r="U466" s="135"/>
      <c r="V466" s="175"/>
    </row>
    <row r="467">
      <c r="F467" s="173"/>
      <c r="G467" s="173"/>
      <c r="H467" s="173"/>
      <c r="I467" s="174"/>
      <c r="L467" s="175"/>
      <c r="M467" s="175"/>
      <c r="P467" s="178"/>
      <c r="Q467" s="179"/>
      <c r="R467" s="175"/>
      <c r="U467" s="135"/>
      <c r="V467" s="175"/>
    </row>
    <row r="468">
      <c r="F468" s="173"/>
      <c r="G468" s="173"/>
      <c r="H468" s="173"/>
      <c r="I468" s="174"/>
      <c r="L468" s="175"/>
      <c r="M468" s="175"/>
      <c r="P468" s="178"/>
      <c r="Q468" s="179"/>
      <c r="R468" s="175"/>
      <c r="U468" s="135"/>
      <c r="V468" s="175"/>
    </row>
    <row r="469">
      <c r="F469" s="173"/>
      <c r="G469" s="173"/>
      <c r="H469" s="173"/>
      <c r="I469" s="174"/>
      <c r="L469" s="175"/>
      <c r="M469" s="175"/>
      <c r="P469" s="178"/>
      <c r="Q469" s="179"/>
      <c r="R469" s="175"/>
      <c r="U469" s="135"/>
      <c r="V469" s="175"/>
    </row>
    <row r="470">
      <c r="F470" s="173"/>
      <c r="G470" s="173"/>
      <c r="H470" s="173"/>
      <c r="I470" s="174"/>
      <c r="L470" s="175"/>
      <c r="M470" s="175"/>
      <c r="P470" s="178"/>
      <c r="Q470" s="179"/>
      <c r="R470" s="175"/>
      <c r="U470" s="135"/>
      <c r="V470" s="175"/>
    </row>
    <row r="471">
      <c r="F471" s="173"/>
      <c r="G471" s="173"/>
      <c r="H471" s="173"/>
      <c r="I471" s="174"/>
      <c r="L471" s="175"/>
      <c r="M471" s="175"/>
      <c r="P471" s="178"/>
      <c r="Q471" s="179"/>
      <c r="R471" s="175"/>
      <c r="U471" s="135"/>
      <c r="V471" s="175"/>
    </row>
    <row r="472">
      <c r="F472" s="173"/>
      <c r="G472" s="173"/>
      <c r="H472" s="173"/>
      <c r="I472" s="174"/>
      <c r="L472" s="175"/>
      <c r="M472" s="175"/>
      <c r="P472" s="178"/>
      <c r="Q472" s="179"/>
      <c r="R472" s="175"/>
      <c r="U472" s="135"/>
      <c r="V472" s="175"/>
    </row>
    <row r="473">
      <c r="F473" s="173"/>
      <c r="G473" s="173"/>
      <c r="H473" s="173"/>
      <c r="I473" s="174"/>
      <c r="L473" s="175"/>
      <c r="M473" s="175"/>
      <c r="P473" s="178"/>
      <c r="Q473" s="179"/>
      <c r="R473" s="175"/>
      <c r="U473" s="135"/>
      <c r="V473" s="175"/>
    </row>
    <row r="474">
      <c r="F474" s="173"/>
      <c r="G474" s="173"/>
      <c r="H474" s="173"/>
      <c r="I474" s="174"/>
      <c r="L474" s="175"/>
      <c r="M474" s="175"/>
      <c r="P474" s="178"/>
      <c r="Q474" s="179"/>
      <c r="R474" s="175"/>
      <c r="U474" s="135"/>
      <c r="V474" s="175"/>
    </row>
    <row r="475">
      <c r="F475" s="173"/>
      <c r="G475" s="173"/>
      <c r="H475" s="173"/>
      <c r="I475" s="174"/>
      <c r="L475" s="175"/>
      <c r="M475" s="175"/>
      <c r="P475" s="178"/>
      <c r="Q475" s="179"/>
      <c r="R475" s="175"/>
      <c r="U475" s="135"/>
      <c r="V475" s="175"/>
    </row>
    <row r="476">
      <c r="F476" s="173"/>
      <c r="G476" s="173"/>
      <c r="H476" s="173"/>
      <c r="I476" s="174"/>
      <c r="L476" s="175"/>
      <c r="M476" s="175"/>
      <c r="P476" s="178"/>
      <c r="Q476" s="179"/>
      <c r="R476" s="175"/>
      <c r="U476" s="135"/>
      <c r="V476" s="175"/>
    </row>
    <row r="477">
      <c r="F477" s="173"/>
      <c r="G477" s="173"/>
      <c r="H477" s="173"/>
      <c r="I477" s="174"/>
      <c r="L477" s="175"/>
      <c r="M477" s="175"/>
      <c r="P477" s="178"/>
      <c r="Q477" s="179"/>
      <c r="R477" s="175"/>
      <c r="U477" s="135"/>
      <c r="V477" s="175"/>
    </row>
    <row r="478">
      <c r="F478" s="173"/>
      <c r="G478" s="173"/>
      <c r="H478" s="173"/>
      <c r="I478" s="174"/>
      <c r="L478" s="175"/>
      <c r="M478" s="175"/>
      <c r="P478" s="178"/>
      <c r="Q478" s="179"/>
      <c r="R478" s="175"/>
      <c r="U478" s="135"/>
      <c r="V478" s="175"/>
    </row>
    <row r="479">
      <c r="F479" s="173"/>
      <c r="G479" s="173"/>
      <c r="H479" s="173"/>
      <c r="I479" s="174"/>
      <c r="L479" s="175"/>
      <c r="M479" s="175"/>
      <c r="P479" s="178"/>
      <c r="Q479" s="179"/>
      <c r="R479" s="175"/>
      <c r="U479" s="135"/>
      <c r="V479" s="175"/>
    </row>
    <row r="480">
      <c r="F480" s="173"/>
      <c r="G480" s="173"/>
      <c r="H480" s="173"/>
      <c r="I480" s="174"/>
      <c r="L480" s="175"/>
      <c r="M480" s="175"/>
      <c r="P480" s="178"/>
      <c r="Q480" s="179"/>
      <c r="R480" s="175"/>
      <c r="U480" s="135"/>
      <c r="V480" s="175"/>
    </row>
    <row r="481">
      <c r="F481" s="173"/>
      <c r="G481" s="173"/>
      <c r="H481" s="173"/>
      <c r="I481" s="174"/>
      <c r="L481" s="175"/>
      <c r="M481" s="175"/>
      <c r="P481" s="178"/>
      <c r="Q481" s="179"/>
      <c r="R481" s="175"/>
      <c r="U481" s="135"/>
      <c r="V481" s="175"/>
    </row>
    <row r="482">
      <c r="F482" s="173"/>
      <c r="G482" s="173"/>
      <c r="H482" s="173"/>
      <c r="I482" s="174"/>
      <c r="L482" s="175"/>
      <c r="M482" s="175"/>
      <c r="P482" s="178"/>
      <c r="Q482" s="179"/>
      <c r="R482" s="175"/>
      <c r="U482" s="135"/>
      <c r="V482" s="175"/>
    </row>
    <row r="483">
      <c r="F483" s="173"/>
      <c r="G483" s="173"/>
      <c r="H483" s="173"/>
      <c r="I483" s="174"/>
      <c r="L483" s="175"/>
      <c r="M483" s="175"/>
      <c r="P483" s="178"/>
      <c r="Q483" s="179"/>
      <c r="R483" s="175"/>
      <c r="U483" s="135"/>
      <c r="V483" s="175"/>
    </row>
    <row r="484">
      <c r="F484" s="173"/>
      <c r="G484" s="173"/>
      <c r="H484" s="173"/>
      <c r="I484" s="174"/>
      <c r="L484" s="175"/>
      <c r="M484" s="175"/>
      <c r="P484" s="178"/>
      <c r="Q484" s="179"/>
      <c r="R484" s="175"/>
      <c r="U484" s="135"/>
      <c r="V484" s="175"/>
    </row>
    <row r="485">
      <c r="F485" s="173"/>
      <c r="G485" s="173"/>
      <c r="H485" s="173"/>
      <c r="I485" s="174"/>
      <c r="L485" s="175"/>
      <c r="M485" s="175"/>
      <c r="P485" s="178"/>
      <c r="Q485" s="179"/>
      <c r="R485" s="175"/>
      <c r="U485" s="135"/>
      <c r="V485" s="175"/>
    </row>
    <row r="486">
      <c r="F486" s="173"/>
      <c r="G486" s="173"/>
      <c r="H486" s="173"/>
      <c r="I486" s="174"/>
      <c r="L486" s="175"/>
      <c r="M486" s="175"/>
      <c r="P486" s="178"/>
      <c r="Q486" s="179"/>
      <c r="R486" s="175"/>
      <c r="U486" s="135"/>
      <c r="V486" s="175"/>
    </row>
    <row r="487">
      <c r="F487" s="173"/>
      <c r="G487" s="173"/>
      <c r="H487" s="173"/>
      <c r="I487" s="174"/>
      <c r="L487" s="175"/>
      <c r="M487" s="175"/>
      <c r="P487" s="178"/>
      <c r="Q487" s="179"/>
      <c r="R487" s="175"/>
      <c r="U487" s="135"/>
      <c r="V487" s="175"/>
    </row>
    <row r="488">
      <c r="F488" s="173"/>
      <c r="G488" s="173"/>
      <c r="H488" s="173"/>
      <c r="I488" s="174"/>
      <c r="L488" s="175"/>
      <c r="M488" s="175"/>
      <c r="P488" s="178"/>
      <c r="Q488" s="179"/>
      <c r="R488" s="175"/>
      <c r="U488" s="135"/>
      <c r="V488" s="175"/>
    </row>
    <row r="489">
      <c r="F489" s="173"/>
      <c r="G489" s="173"/>
      <c r="H489" s="173"/>
      <c r="I489" s="174"/>
      <c r="L489" s="175"/>
      <c r="M489" s="175"/>
      <c r="P489" s="178"/>
      <c r="Q489" s="179"/>
      <c r="R489" s="175"/>
      <c r="U489" s="135"/>
      <c r="V489" s="175"/>
    </row>
    <row r="490">
      <c r="F490" s="173"/>
      <c r="G490" s="173"/>
      <c r="H490" s="173"/>
      <c r="I490" s="174"/>
      <c r="L490" s="175"/>
      <c r="M490" s="175"/>
      <c r="P490" s="178"/>
      <c r="Q490" s="179"/>
      <c r="R490" s="175"/>
      <c r="U490" s="135"/>
      <c r="V490" s="175"/>
    </row>
    <row r="491">
      <c r="F491" s="173"/>
      <c r="G491" s="173"/>
      <c r="H491" s="173"/>
      <c r="I491" s="174"/>
      <c r="L491" s="175"/>
      <c r="M491" s="175"/>
      <c r="P491" s="178"/>
      <c r="Q491" s="179"/>
      <c r="R491" s="175"/>
      <c r="U491" s="135"/>
      <c r="V491" s="175"/>
    </row>
    <row r="492">
      <c r="F492" s="173"/>
      <c r="G492" s="173"/>
      <c r="H492" s="173"/>
      <c r="I492" s="174"/>
      <c r="L492" s="175"/>
      <c r="M492" s="175"/>
      <c r="P492" s="178"/>
      <c r="Q492" s="179"/>
      <c r="R492" s="175"/>
      <c r="U492" s="135"/>
      <c r="V492" s="175"/>
    </row>
    <row r="493">
      <c r="F493" s="173"/>
      <c r="G493" s="173"/>
      <c r="H493" s="173"/>
      <c r="I493" s="174"/>
      <c r="L493" s="175"/>
      <c r="M493" s="175"/>
      <c r="P493" s="178"/>
      <c r="Q493" s="179"/>
      <c r="R493" s="175"/>
      <c r="U493" s="135"/>
      <c r="V493" s="175"/>
    </row>
    <row r="494">
      <c r="F494" s="173"/>
      <c r="G494" s="173"/>
      <c r="H494" s="173"/>
      <c r="I494" s="174"/>
      <c r="L494" s="175"/>
      <c r="M494" s="175"/>
      <c r="P494" s="178"/>
      <c r="Q494" s="179"/>
      <c r="R494" s="175"/>
      <c r="U494" s="135"/>
      <c r="V494" s="175"/>
    </row>
    <row r="495">
      <c r="F495" s="173"/>
      <c r="G495" s="173"/>
      <c r="H495" s="173"/>
      <c r="I495" s="174"/>
      <c r="L495" s="175"/>
      <c r="M495" s="175"/>
      <c r="P495" s="178"/>
      <c r="Q495" s="179"/>
      <c r="R495" s="175"/>
      <c r="U495" s="135"/>
      <c r="V495" s="175"/>
    </row>
    <row r="496">
      <c r="F496" s="173"/>
      <c r="G496" s="173"/>
      <c r="H496" s="173"/>
      <c r="I496" s="174"/>
      <c r="L496" s="175"/>
      <c r="M496" s="175"/>
      <c r="P496" s="178"/>
      <c r="Q496" s="179"/>
      <c r="R496" s="175"/>
      <c r="U496" s="135"/>
      <c r="V496" s="175"/>
    </row>
    <row r="497">
      <c r="F497" s="173"/>
      <c r="G497" s="173"/>
      <c r="H497" s="173"/>
      <c r="I497" s="174"/>
      <c r="L497" s="175"/>
      <c r="M497" s="175"/>
      <c r="P497" s="178"/>
      <c r="Q497" s="179"/>
      <c r="R497" s="175"/>
      <c r="U497" s="135"/>
      <c r="V497" s="175"/>
    </row>
    <row r="498">
      <c r="F498" s="173"/>
      <c r="G498" s="173"/>
      <c r="H498" s="173"/>
      <c r="I498" s="174"/>
      <c r="L498" s="175"/>
      <c r="M498" s="175"/>
      <c r="P498" s="178"/>
      <c r="Q498" s="179"/>
      <c r="R498" s="175"/>
      <c r="U498" s="135"/>
      <c r="V498" s="175"/>
    </row>
    <row r="499">
      <c r="F499" s="173"/>
      <c r="G499" s="173"/>
      <c r="H499" s="173"/>
      <c r="I499" s="174"/>
      <c r="L499" s="175"/>
      <c r="M499" s="175"/>
      <c r="P499" s="178"/>
      <c r="Q499" s="179"/>
      <c r="R499" s="175"/>
      <c r="U499" s="135"/>
      <c r="V499" s="175"/>
    </row>
    <row r="500">
      <c r="F500" s="173"/>
      <c r="G500" s="173"/>
      <c r="H500" s="173"/>
      <c r="I500" s="174"/>
      <c r="L500" s="175"/>
      <c r="M500" s="175"/>
      <c r="P500" s="178"/>
      <c r="Q500" s="179"/>
      <c r="R500" s="175"/>
      <c r="U500" s="135"/>
      <c r="V500" s="175"/>
    </row>
    <row r="501">
      <c r="F501" s="173"/>
      <c r="G501" s="173"/>
      <c r="H501" s="173"/>
      <c r="I501" s="174"/>
      <c r="L501" s="175"/>
      <c r="M501" s="175"/>
      <c r="P501" s="178"/>
      <c r="Q501" s="179"/>
      <c r="R501" s="175"/>
      <c r="U501" s="135"/>
      <c r="V501" s="175"/>
    </row>
    <row r="502">
      <c r="F502" s="173"/>
      <c r="G502" s="173"/>
      <c r="H502" s="173"/>
      <c r="I502" s="174"/>
      <c r="L502" s="175"/>
      <c r="M502" s="175"/>
      <c r="P502" s="178"/>
      <c r="Q502" s="179"/>
      <c r="R502" s="175"/>
      <c r="U502" s="135"/>
      <c r="V502" s="175"/>
    </row>
    <row r="503">
      <c r="F503" s="173"/>
      <c r="G503" s="173"/>
      <c r="H503" s="173"/>
      <c r="I503" s="174"/>
      <c r="L503" s="175"/>
      <c r="M503" s="175"/>
      <c r="P503" s="178"/>
      <c r="Q503" s="179"/>
      <c r="R503" s="175"/>
      <c r="U503" s="135"/>
      <c r="V503" s="175"/>
    </row>
    <row r="504">
      <c r="F504" s="173"/>
      <c r="G504" s="173"/>
      <c r="H504" s="173"/>
      <c r="I504" s="174"/>
      <c r="L504" s="175"/>
      <c r="M504" s="175"/>
      <c r="P504" s="178"/>
      <c r="Q504" s="179"/>
      <c r="R504" s="175"/>
      <c r="U504" s="135"/>
      <c r="V504" s="175"/>
    </row>
    <row r="505">
      <c r="F505" s="173"/>
      <c r="G505" s="173"/>
      <c r="H505" s="173"/>
      <c r="I505" s="174"/>
      <c r="L505" s="175"/>
      <c r="M505" s="175"/>
      <c r="P505" s="178"/>
      <c r="Q505" s="179"/>
      <c r="R505" s="175"/>
      <c r="U505" s="135"/>
      <c r="V505" s="175"/>
    </row>
    <row r="506">
      <c r="F506" s="173"/>
      <c r="G506" s="173"/>
      <c r="H506" s="173"/>
      <c r="I506" s="174"/>
      <c r="L506" s="175"/>
      <c r="M506" s="175"/>
      <c r="P506" s="178"/>
      <c r="Q506" s="179"/>
      <c r="R506" s="175"/>
      <c r="U506" s="135"/>
      <c r="V506" s="175"/>
    </row>
    <row r="507">
      <c r="F507" s="173"/>
      <c r="G507" s="173"/>
      <c r="H507" s="173"/>
      <c r="I507" s="174"/>
      <c r="L507" s="175"/>
      <c r="M507" s="175"/>
      <c r="P507" s="178"/>
      <c r="Q507" s="179"/>
      <c r="R507" s="175"/>
      <c r="U507" s="135"/>
      <c r="V507" s="175"/>
    </row>
    <row r="508">
      <c r="F508" s="173"/>
      <c r="G508" s="173"/>
      <c r="H508" s="173"/>
      <c r="I508" s="174"/>
      <c r="L508" s="175"/>
      <c r="M508" s="175"/>
      <c r="P508" s="178"/>
      <c r="Q508" s="179"/>
      <c r="R508" s="175"/>
      <c r="U508" s="135"/>
      <c r="V508" s="175"/>
    </row>
    <row r="509">
      <c r="F509" s="173"/>
      <c r="G509" s="173"/>
      <c r="H509" s="173"/>
      <c r="I509" s="174"/>
      <c r="L509" s="175"/>
      <c r="M509" s="175"/>
      <c r="P509" s="178"/>
      <c r="Q509" s="179"/>
      <c r="R509" s="175"/>
      <c r="U509" s="135"/>
      <c r="V509" s="175"/>
    </row>
    <row r="510">
      <c r="F510" s="173"/>
      <c r="G510" s="173"/>
      <c r="H510" s="173"/>
      <c r="I510" s="174"/>
      <c r="L510" s="175"/>
      <c r="M510" s="175"/>
      <c r="P510" s="178"/>
      <c r="Q510" s="179"/>
      <c r="R510" s="175"/>
      <c r="U510" s="135"/>
      <c r="V510" s="175"/>
    </row>
    <row r="511">
      <c r="F511" s="173"/>
      <c r="G511" s="173"/>
      <c r="H511" s="173"/>
      <c r="I511" s="174"/>
      <c r="L511" s="175"/>
      <c r="M511" s="175"/>
      <c r="P511" s="178"/>
      <c r="Q511" s="179"/>
      <c r="R511" s="175"/>
      <c r="U511" s="135"/>
      <c r="V511" s="175"/>
    </row>
    <row r="512">
      <c r="F512" s="173"/>
      <c r="G512" s="173"/>
      <c r="H512" s="173"/>
      <c r="I512" s="174"/>
      <c r="L512" s="175"/>
      <c r="M512" s="175"/>
      <c r="P512" s="178"/>
      <c r="Q512" s="179"/>
      <c r="R512" s="175"/>
      <c r="U512" s="135"/>
      <c r="V512" s="175"/>
    </row>
    <row r="513">
      <c r="F513" s="173"/>
      <c r="G513" s="173"/>
      <c r="H513" s="173"/>
      <c r="I513" s="174"/>
      <c r="L513" s="175"/>
      <c r="M513" s="175"/>
      <c r="P513" s="178"/>
      <c r="Q513" s="179"/>
      <c r="R513" s="175"/>
      <c r="U513" s="135"/>
      <c r="V513" s="175"/>
    </row>
    <row r="514">
      <c r="F514" s="173"/>
      <c r="G514" s="173"/>
      <c r="H514" s="173"/>
      <c r="I514" s="174"/>
      <c r="L514" s="175"/>
      <c r="M514" s="175"/>
      <c r="P514" s="178"/>
      <c r="Q514" s="179"/>
      <c r="R514" s="175"/>
      <c r="U514" s="135"/>
      <c r="V514" s="175"/>
    </row>
    <row r="515">
      <c r="F515" s="173"/>
      <c r="G515" s="173"/>
      <c r="H515" s="173"/>
      <c r="I515" s="174"/>
      <c r="L515" s="175"/>
      <c r="M515" s="175"/>
      <c r="P515" s="178"/>
      <c r="Q515" s="179"/>
      <c r="R515" s="175"/>
      <c r="U515" s="135"/>
      <c r="V515" s="175"/>
    </row>
    <row r="516">
      <c r="F516" s="173"/>
      <c r="G516" s="173"/>
      <c r="H516" s="173"/>
      <c r="I516" s="174"/>
      <c r="L516" s="175"/>
      <c r="M516" s="175"/>
      <c r="P516" s="178"/>
      <c r="Q516" s="179"/>
      <c r="R516" s="175"/>
      <c r="U516" s="135"/>
      <c r="V516" s="175"/>
    </row>
    <row r="517">
      <c r="F517" s="173"/>
      <c r="G517" s="173"/>
      <c r="H517" s="173"/>
      <c r="I517" s="174"/>
      <c r="L517" s="175"/>
      <c r="M517" s="175"/>
      <c r="P517" s="178"/>
      <c r="Q517" s="179"/>
      <c r="R517" s="175"/>
      <c r="U517" s="135"/>
      <c r="V517" s="175"/>
    </row>
    <row r="518">
      <c r="F518" s="173"/>
      <c r="G518" s="173"/>
      <c r="H518" s="173"/>
      <c r="I518" s="174"/>
      <c r="L518" s="175"/>
      <c r="M518" s="175"/>
      <c r="P518" s="178"/>
      <c r="Q518" s="179"/>
      <c r="R518" s="175"/>
      <c r="U518" s="135"/>
      <c r="V518" s="175"/>
    </row>
    <row r="519">
      <c r="F519" s="173"/>
      <c r="G519" s="173"/>
      <c r="H519" s="173"/>
      <c r="I519" s="174"/>
      <c r="L519" s="175"/>
      <c r="M519" s="175"/>
      <c r="P519" s="178"/>
      <c r="Q519" s="179"/>
      <c r="R519" s="175"/>
      <c r="U519" s="135"/>
      <c r="V519" s="175"/>
    </row>
    <row r="520">
      <c r="F520" s="173"/>
      <c r="G520" s="173"/>
      <c r="H520" s="173"/>
      <c r="I520" s="174"/>
      <c r="L520" s="175"/>
      <c r="M520" s="175"/>
      <c r="P520" s="178"/>
      <c r="Q520" s="179"/>
      <c r="R520" s="175"/>
      <c r="U520" s="135"/>
      <c r="V520" s="175"/>
    </row>
    <row r="521">
      <c r="F521" s="173"/>
      <c r="G521" s="173"/>
      <c r="H521" s="173"/>
      <c r="I521" s="174"/>
      <c r="L521" s="175"/>
      <c r="M521" s="175"/>
      <c r="P521" s="178"/>
      <c r="Q521" s="179"/>
      <c r="R521" s="175"/>
      <c r="U521" s="135"/>
      <c r="V521" s="175"/>
    </row>
    <row r="522">
      <c r="F522" s="173"/>
      <c r="G522" s="173"/>
      <c r="H522" s="173"/>
      <c r="I522" s="174"/>
      <c r="L522" s="175"/>
      <c r="M522" s="175"/>
      <c r="P522" s="178"/>
      <c r="Q522" s="179"/>
      <c r="R522" s="175"/>
      <c r="U522" s="135"/>
      <c r="V522" s="175"/>
    </row>
    <row r="523">
      <c r="F523" s="173"/>
      <c r="G523" s="173"/>
      <c r="H523" s="173"/>
      <c r="I523" s="174"/>
      <c r="L523" s="175"/>
      <c r="M523" s="175"/>
      <c r="P523" s="178"/>
      <c r="Q523" s="179"/>
      <c r="R523" s="175"/>
      <c r="U523" s="135"/>
      <c r="V523" s="175"/>
    </row>
    <row r="524">
      <c r="F524" s="173"/>
      <c r="G524" s="173"/>
      <c r="H524" s="173"/>
      <c r="I524" s="174"/>
      <c r="L524" s="175"/>
      <c r="M524" s="175"/>
      <c r="P524" s="178"/>
      <c r="Q524" s="179"/>
      <c r="R524" s="175"/>
      <c r="U524" s="135"/>
      <c r="V524" s="175"/>
    </row>
    <row r="525">
      <c r="F525" s="173"/>
      <c r="G525" s="173"/>
      <c r="H525" s="173"/>
      <c r="I525" s="174"/>
      <c r="L525" s="175"/>
      <c r="M525" s="175"/>
      <c r="P525" s="178"/>
      <c r="Q525" s="179"/>
      <c r="R525" s="175"/>
      <c r="U525" s="135"/>
      <c r="V525" s="175"/>
    </row>
    <row r="526">
      <c r="F526" s="173"/>
      <c r="G526" s="173"/>
      <c r="H526" s="173"/>
      <c r="I526" s="174"/>
      <c r="L526" s="175"/>
      <c r="M526" s="175"/>
      <c r="P526" s="178"/>
      <c r="Q526" s="179"/>
      <c r="R526" s="175"/>
      <c r="U526" s="135"/>
      <c r="V526" s="175"/>
    </row>
    <row r="527">
      <c r="F527" s="173"/>
      <c r="G527" s="173"/>
      <c r="H527" s="173"/>
      <c r="I527" s="174"/>
      <c r="L527" s="175"/>
      <c r="M527" s="175"/>
      <c r="P527" s="178"/>
      <c r="Q527" s="179"/>
      <c r="R527" s="175"/>
      <c r="U527" s="135"/>
      <c r="V527" s="175"/>
    </row>
    <row r="528">
      <c r="F528" s="173"/>
      <c r="G528" s="173"/>
      <c r="H528" s="173"/>
      <c r="I528" s="174"/>
      <c r="L528" s="175"/>
      <c r="M528" s="175"/>
      <c r="P528" s="178"/>
      <c r="Q528" s="179"/>
      <c r="R528" s="175"/>
      <c r="U528" s="135"/>
      <c r="V528" s="175"/>
    </row>
    <row r="529">
      <c r="F529" s="173"/>
      <c r="G529" s="173"/>
      <c r="H529" s="173"/>
      <c r="I529" s="174"/>
      <c r="L529" s="175"/>
      <c r="M529" s="175"/>
      <c r="P529" s="178"/>
      <c r="Q529" s="179"/>
      <c r="R529" s="175"/>
      <c r="U529" s="135"/>
      <c r="V529" s="175"/>
    </row>
    <row r="530">
      <c r="F530" s="173"/>
      <c r="G530" s="173"/>
      <c r="H530" s="173"/>
      <c r="I530" s="174"/>
      <c r="L530" s="175"/>
      <c r="M530" s="175"/>
      <c r="P530" s="178"/>
      <c r="Q530" s="179"/>
      <c r="R530" s="175"/>
      <c r="U530" s="135"/>
      <c r="V530" s="175"/>
    </row>
    <row r="531">
      <c r="F531" s="173"/>
      <c r="G531" s="173"/>
      <c r="H531" s="173"/>
      <c r="I531" s="174"/>
      <c r="L531" s="175"/>
      <c r="M531" s="175"/>
      <c r="P531" s="178"/>
      <c r="Q531" s="179"/>
      <c r="R531" s="175"/>
      <c r="U531" s="135"/>
      <c r="V531" s="175"/>
    </row>
    <row r="532">
      <c r="F532" s="173"/>
      <c r="G532" s="173"/>
      <c r="H532" s="173"/>
      <c r="I532" s="174"/>
      <c r="L532" s="175"/>
      <c r="M532" s="175"/>
      <c r="P532" s="178"/>
      <c r="Q532" s="179"/>
      <c r="R532" s="175"/>
      <c r="U532" s="135"/>
      <c r="V532" s="175"/>
    </row>
    <row r="533">
      <c r="F533" s="173"/>
      <c r="G533" s="173"/>
      <c r="H533" s="173"/>
      <c r="I533" s="174"/>
      <c r="L533" s="175"/>
      <c r="M533" s="175"/>
      <c r="P533" s="178"/>
      <c r="Q533" s="179"/>
      <c r="R533" s="175"/>
      <c r="U533" s="135"/>
      <c r="V533" s="175"/>
    </row>
    <row r="534">
      <c r="F534" s="173"/>
      <c r="G534" s="173"/>
      <c r="H534" s="173"/>
      <c r="I534" s="174"/>
      <c r="L534" s="175"/>
      <c r="M534" s="175"/>
      <c r="P534" s="178"/>
      <c r="Q534" s="179"/>
      <c r="R534" s="175"/>
      <c r="U534" s="135"/>
      <c r="V534" s="175"/>
    </row>
    <row r="535">
      <c r="F535" s="173"/>
      <c r="G535" s="173"/>
      <c r="H535" s="173"/>
      <c r="I535" s="174"/>
      <c r="L535" s="175"/>
      <c r="M535" s="175"/>
      <c r="P535" s="178"/>
      <c r="Q535" s="179"/>
      <c r="R535" s="175"/>
      <c r="U535" s="135"/>
      <c r="V535" s="175"/>
    </row>
    <row r="536">
      <c r="F536" s="173"/>
      <c r="G536" s="173"/>
      <c r="H536" s="173"/>
      <c r="I536" s="174"/>
      <c r="L536" s="175"/>
      <c r="M536" s="175"/>
      <c r="P536" s="178"/>
      <c r="Q536" s="179"/>
      <c r="R536" s="175"/>
      <c r="U536" s="135"/>
      <c r="V536" s="175"/>
    </row>
    <row r="537">
      <c r="F537" s="173"/>
      <c r="G537" s="173"/>
      <c r="H537" s="173"/>
      <c r="I537" s="174"/>
      <c r="L537" s="175"/>
      <c r="M537" s="175"/>
      <c r="P537" s="178"/>
      <c r="Q537" s="179"/>
      <c r="R537" s="175"/>
      <c r="U537" s="135"/>
      <c r="V537" s="175"/>
    </row>
    <row r="538">
      <c r="F538" s="173"/>
      <c r="G538" s="173"/>
      <c r="H538" s="173"/>
      <c r="I538" s="174"/>
      <c r="L538" s="175"/>
      <c r="M538" s="175"/>
      <c r="P538" s="178"/>
      <c r="Q538" s="179"/>
      <c r="R538" s="175"/>
      <c r="U538" s="135"/>
      <c r="V538" s="175"/>
    </row>
    <row r="539">
      <c r="F539" s="173"/>
      <c r="G539" s="173"/>
      <c r="H539" s="173"/>
      <c r="I539" s="174"/>
      <c r="L539" s="175"/>
      <c r="M539" s="175"/>
      <c r="P539" s="178"/>
      <c r="Q539" s="179"/>
      <c r="R539" s="175"/>
      <c r="U539" s="135"/>
      <c r="V539" s="175"/>
    </row>
    <row r="540">
      <c r="F540" s="173"/>
      <c r="G540" s="173"/>
      <c r="H540" s="173"/>
      <c r="I540" s="174"/>
      <c r="L540" s="175"/>
      <c r="M540" s="175"/>
      <c r="P540" s="178"/>
      <c r="Q540" s="179"/>
      <c r="R540" s="175"/>
      <c r="U540" s="135"/>
      <c r="V540" s="175"/>
    </row>
    <row r="541">
      <c r="F541" s="173"/>
      <c r="G541" s="173"/>
      <c r="H541" s="173"/>
      <c r="I541" s="174"/>
      <c r="L541" s="175"/>
      <c r="M541" s="175"/>
      <c r="P541" s="178"/>
      <c r="Q541" s="179"/>
      <c r="R541" s="175"/>
      <c r="U541" s="135"/>
      <c r="V541" s="175"/>
    </row>
    <row r="542">
      <c r="F542" s="173"/>
      <c r="G542" s="173"/>
      <c r="H542" s="173"/>
      <c r="I542" s="174"/>
      <c r="L542" s="175"/>
      <c r="M542" s="175"/>
      <c r="P542" s="178"/>
      <c r="Q542" s="179"/>
      <c r="R542" s="175"/>
      <c r="U542" s="135"/>
      <c r="V542" s="175"/>
    </row>
    <row r="543">
      <c r="F543" s="173"/>
      <c r="G543" s="173"/>
      <c r="H543" s="173"/>
      <c r="I543" s="174"/>
      <c r="L543" s="175"/>
      <c r="M543" s="175"/>
      <c r="P543" s="178"/>
      <c r="Q543" s="179"/>
      <c r="R543" s="175"/>
      <c r="U543" s="135"/>
      <c r="V543" s="175"/>
    </row>
    <row r="544">
      <c r="F544" s="173"/>
      <c r="G544" s="173"/>
      <c r="H544" s="173"/>
      <c r="I544" s="174"/>
      <c r="L544" s="175"/>
      <c r="M544" s="175"/>
      <c r="P544" s="178"/>
      <c r="Q544" s="179"/>
      <c r="R544" s="175"/>
      <c r="U544" s="135"/>
      <c r="V544" s="175"/>
    </row>
    <row r="545">
      <c r="F545" s="173"/>
      <c r="G545" s="173"/>
      <c r="H545" s="173"/>
      <c r="I545" s="174"/>
      <c r="L545" s="175"/>
      <c r="M545" s="175"/>
      <c r="P545" s="178"/>
      <c r="Q545" s="179"/>
      <c r="R545" s="175"/>
      <c r="U545" s="135"/>
      <c r="V545" s="175"/>
    </row>
    <row r="546">
      <c r="F546" s="173"/>
      <c r="G546" s="173"/>
      <c r="H546" s="173"/>
      <c r="I546" s="174"/>
      <c r="L546" s="175"/>
      <c r="M546" s="175"/>
      <c r="P546" s="178"/>
      <c r="Q546" s="179"/>
      <c r="R546" s="175"/>
      <c r="U546" s="135"/>
      <c r="V546" s="175"/>
    </row>
    <row r="547">
      <c r="F547" s="173"/>
      <c r="G547" s="173"/>
      <c r="H547" s="173"/>
      <c r="I547" s="174"/>
      <c r="L547" s="175"/>
      <c r="M547" s="175"/>
      <c r="P547" s="178"/>
      <c r="Q547" s="179"/>
      <c r="R547" s="175"/>
      <c r="U547" s="135"/>
      <c r="V547" s="175"/>
    </row>
    <row r="548">
      <c r="F548" s="173"/>
      <c r="G548" s="173"/>
      <c r="H548" s="173"/>
      <c r="I548" s="174"/>
      <c r="L548" s="175"/>
      <c r="M548" s="175"/>
      <c r="P548" s="178"/>
      <c r="Q548" s="179"/>
      <c r="R548" s="175"/>
      <c r="U548" s="135"/>
      <c r="V548" s="175"/>
    </row>
    <row r="549">
      <c r="F549" s="173"/>
      <c r="G549" s="173"/>
      <c r="H549" s="173"/>
      <c r="I549" s="174"/>
      <c r="L549" s="175"/>
      <c r="M549" s="175"/>
      <c r="P549" s="178"/>
      <c r="Q549" s="179"/>
      <c r="R549" s="175"/>
      <c r="U549" s="135"/>
      <c r="V549" s="175"/>
    </row>
    <row r="550">
      <c r="F550" s="173"/>
      <c r="G550" s="173"/>
      <c r="H550" s="173"/>
      <c r="I550" s="174"/>
      <c r="L550" s="175"/>
      <c r="M550" s="175"/>
      <c r="P550" s="178"/>
      <c r="Q550" s="179"/>
      <c r="R550" s="175"/>
      <c r="U550" s="135"/>
      <c r="V550" s="175"/>
    </row>
    <row r="551">
      <c r="F551" s="173"/>
      <c r="G551" s="173"/>
      <c r="H551" s="173"/>
      <c r="I551" s="174"/>
      <c r="L551" s="175"/>
      <c r="M551" s="175"/>
      <c r="P551" s="178"/>
      <c r="Q551" s="179"/>
      <c r="R551" s="175"/>
      <c r="U551" s="135"/>
      <c r="V551" s="175"/>
    </row>
    <row r="552">
      <c r="F552" s="173"/>
      <c r="G552" s="173"/>
      <c r="H552" s="173"/>
      <c r="I552" s="174"/>
      <c r="L552" s="175"/>
      <c r="M552" s="175"/>
      <c r="P552" s="178"/>
      <c r="Q552" s="179"/>
      <c r="R552" s="175"/>
      <c r="U552" s="135"/>
      <c r="V552" s="175"/>
    </row>
    <row r="553">
      <c r="F553" s="173"/>
      <c r="G553" s="173"/>
      <c r="H553" s="173"/>
      <c r="I553" s="174"/>
      <c r="L553" s="175"/>
      <c r="M553" s="175"/>
      <c r="P553" s="178"/>
      <c r="Q553" s="179"/>
      <c r="R553" s="175"/>
      <c r="U553" s="135"/>
      <c r="V553" s="175"/>
    </row>
    <row r="554">
      <c r="F554" s="173"/>
      <c r="G554" s="173"/>
      <c r="H554" s="173"/>
      <c r="I554" s="174"/>
      <c r="L554" s="175"/>
      <c r="M554" s="175"/>
      <c r="P554" s="178"/>
      <c r="Q554" s="179"/>
      <c r="R554" s="175"/>
      <c r="U554" s="135"/>
      <c r="V554" s="175"/>
    </row>
    <row r="555">
      <c r="F555" s="173"/>
      <c r="G555" s="173"/>
      <c r="H555" s="173"/>
      <c r="I555" s="174"/>
      <c r="L555" s="175"/>
      <c r="M555" s="175"/>
      <c r="P555" s="178"/>
      <c r="Q555" s="179"/>
      <c r="R555" s="175"/>
      <c r="U555" s="135"/>
      <c r="V555" s="175"/>
    </row>
    <row r="556">
      <c r="F556" s="173"/>
      <c r="G556" s="173"/>
      <c r="H556" s="173"/>
      <c r="I556" s="174"/>
      <c r="L556" s="175"/>
      <c r="M556" s="175"/>
      <c r="P556" s="178"/>
      <c r="Q556" s="179"/>
      <c r="R556" s="175"/>
      <c r="U556" s="135"/>
      <c r="V556" s="175"/>
    </row>
    <row r="557">
      <c r="F557" s="173"/>
      <c r="G557" s="173"/>
      <c r="H557" s="173"/>
      <c r="I557" s="174"/>
      <c r="L557" s="175"/>
      <c r="M557" s="175"/>
      <c r="P557" s="178"/>
      <c r="Q557" s="179"/>
      <c r="R557" s="175"/>
      <c r="U557" s="135"/>
      <c r="V557" s="175"/>
    </row>
    <row r="558">
      <c r="F558" s="173"/>
      <c r="G558" s="173"/>
      <c r="H558" s="173"/>
      <c r="I558" s="174"/>
      <c r="L558" s="175"/>
      <c r="M558" s="175"/>
      <c r="P558" s="178"/>
      <c r="Q558" s="179"/>
      <c r="R558" s="175"/>
      <c r="U558" s="135"/>
      <c r="V558" s="175"/>
    </row>
    <row r="559">
      <c r="F559" s="173"/>
      <c r="G559" s="173"/>
      <c r="H559" s="173"/>
      <c r="I559" s="174"/>
      <c r="L559" s="175"/>
      <c r="M559" s="175"/>
      <c r="P559" s="178"/>
      <c r="Q559" s="179"/>
      <c r="R559" s="175"/>
      <c r="U559" s="135"/>
      <c r="V559" s="175"/>
    </row>
    <row r="560">
      <c r="F560" s="173"/>
      <c r="G560" s="173"/>
      <c r="H560" s="173"/>
      <c r="I560" s="174"/>
      <c r="L560" s="175"/>
      <c r="M560" s="175"/>
      <c r="P560" s="178"/>
      <c r="Q560" s="179"/>
      <c r="R560" s="175"/>
      <c r="U560" s="135"/>
      <c r="V560" s="175"/>
    </row>
    <row r="561">
      <c r="F561" s="173"/>
      <c r="G561" s="173"/>
      <c r="H561" s="173"/>
      <c r="I561" s="174"/>
      <c r="L561" s="175"/>
      <c r="M561" s="175"/>
      <c r="P561" s="178"/>
      <c r="Q561" s="179"/>
      <c r="R561" s="175"/>
      <c r="U561" s="135"/>
      <c r="V561" s="175"/>
    </row>
    <row r="562">
      <c r="F562" s="173"/>
      <c r="G562" s="173"/>
      <c r="H562" s="173"/>
      <c r="I562" s="174"/>
      <c r="L562" s="175"/>
      <c r="M562" s="175"/>
      <c r="P562" s="178"/>
      <c r="Q562" s="179"/>
      <c r="R562" s="175"/>
      <c r="U562" s="135"/>
      <c r="V562" s="175"/>
    </row>
    <row r="563">
      <c r="F563" s="173"/>
      <c r="G563" s="173"/>
      <c r="H563" s="173"/>
      <c r="I563" s="174"/>
      <c r="L563" s="175"/>
      <c r="M563" s="175"/>
      <c r="P563" s="178"/>
      <c r="Q563" s="179"/>
      <c r="R563" s="175"/>
      <c r="U563" s="135"/>
      <c r="V563" s="175"/>
    </row>
    <row r="564">
      <c r="F564" s="173"/>
      <c r="G564" s="173"/>
      <c r="H564" s="173"/>
      <c r="I564" s="174"/>
      <c r="L564" s="175"/>
      <c r="M564" s="175"/>
      <c r="P564" s="178"/>
      <c r="Q564" s="179"/>
      <c r="R564" s="175"/>
      <c r="U564" s="135"/>
      <c r="V564" s="175"/>
    </row>
    <row r="565">
      <c r="F565" s="173"/>
      <c r="G565" s="173"/>
      <c r="H565" s="173"/>
      <c r="I565" s="174"/>
      <c r="L565" s="175"/>
      <c r="M565" s="175"/>
      <c r="P565" s="178"/>
      <c r="Q565" s="179"/>
      <c r="R565" s="175"/>
      <c r="U565" s="135"/>
      <c r="V565" s="175"/>
    </row>
    <row r="566">
      <c r="F566" s="173"/>
      <c r="G566" s="173"/>
      <c r="H566" s="173"/>
      <c r="I566" s="174"/>
      <c r="L566" s="175"/>
      <c r="M566" s="175"/>
      <c r="P566" s="178"/>
      <c r="Q566" s="179"/>
      <c r="R566" s="175"/>
      <c r="U566" s="135"/>
      <c r="V566" s="175"/>
    </row>
    <row r="567">
      <c r="F567" s="173"/>
      <c r="G567" s="173"/>
      <c r="H567" s="173"/>
      <c r="I567" s="174"/>
      <c r="L567" s="175"/>
      <c r="M567" s="175"/>
      <c r="P567" s="178"/>
      <c r="Q567" s="179"/>
      <c r="R567" s="175"/>
      <c r="U567" s="135"/>
      <c r="V567" s="175"/>
    </row>
    <row r="568">
      <c r="F568" s="173"/>
      <c r="G568" s="173"/>
      <c r="H568" s="173"/>
      <c r="I568" s="174"/>
      <c r="L568" s="175"/>
      <c r="M568" s="175"/>
      <c r="P568" s="178"/>
      <c r="Q568" s="179"/>
      <c r="R568" s="175"/>
      <c r="U568" s="135"/>
      <c r="V568" s="175"/>
    </row>
    <row r="569">
      <c r="F569" s="173"/>
      <c r="G569" s="173"/>
      <c r="H569" s="173"/>
      <c r="I569" s="174"/>
      <c r="L569" s="175"/>
      <c r="M569" s="175"/>
      <c r="P569" s="178"/>
      <c r="Q569" s="179"/>
      <c r="R569" s="175"/>
      <c r="U569" s="135"/>
      <c r="V569" s="175"/>
    </row>
    <row r="570">
      <c r="F570" s="173"/>
      <c r="G570" s="173"/>
      <c r="H570" s="173"/>
      <c r="I570" s="174"/>
      <c r="L570" s="175"/>
      <c r="M570" s="175"/>
      <c r="P570" s="178"/>
      <c r="Q570" s="179"/>
      <c r="R570" s="175"/>
      <c r="U570" s="135"/>
      <c r="V570" s="175"/>
    </row>
    <row r="571">
      <c r="F571" s="173"/>
      <c r="G571" s="173"/>
      <c r="H571" s="173"/>
      <c r="I571" s="174"/>
      <c r="L571" s="175"/>
      <c r="M571" s="175"/>
      <c r="P571" s="178"/>
      <c r="Q571" s="179"/>
      <c r="R571" s="175"/>
      <c r="U571" s="135"/>
      <c r="V571" s="175"/>
    </row>
    <row r="572">
      <c r="F572" s="173"/>
      <c r="G572" s="173"/>
      <c r="H572" s="173"/>
      <c r="I572" s="174"/>
      <c r="L572" s="175"/>
      <c r="M572" s="175"/>
      <c r="P572" s="178"/>
      <c r="Q572" s="179"/>
      <c r="R572" s="175"/>
      <c r="U572" s="135"/>
      <c r="V572" s="175"/>
    </row>
    <row r="573">
      <c r="F573" s="173"/>
      <c r="G573" s="173"/>
      <c r="H573" s="173"/>
      <c r="I573" s="174"/>
      <c r="L573" s="175"/>
      <c r="M573" s="175"/>
      <c r="P573" s="178"/>
      <c r="Q573" s="179"/>
      <c r="R573" s="175"/>
      <c r="U573" s="135"/>
      <c r="V573" s="175"/>
    </row>
    <row r="574">
      <c r="F574" s="173"/>
      <c r="G574" s="173"/>
      <c r="H574" s="173"/>
      <c r="I574" s="174"/>
      <c r="L574" s="175"/>
      <c r="M574" s="175"/>
      <c r="P574" s="178"/>
      <c r="Q574" s="179"/>
      <c r="R574" s="175"/>
      <c r="U574" s="135"/>
      <c r="V574" s="175"/>
    </row>
    <row r="575">
      <c r="F575" s="173"/>
      <c r="G575" s="173"/>
      <c r="H575" s="173"/>
      <c r="I575" s="174"/>
      <c r="L575" s="175"/>
      <c r="M575" s="175"/>
      <c r="P575" s="178"/>
      <c r="Q575" s="179"/>
      <c r="R575" s="175"/>
      <c r="U575" s="135"/>
      <c r="V575" s="175"/>
    </row>
    <row r="576">
      <c r="F576" s="173"/>
      <c r="G576" s="173"/>
      <c r="H576" s="173"/>
      <c r="I576" s="174"/>
      <c r="L576" s="175"/>
      <c r="M576" s="175"/>
      <c r="P576" s="178"/>
      <c r="Q576" s="179"/>
      <c r="R576" s="175"/>
      <c r="U576" s="135"/>
      <c r="V576" s="175"/>
    </row>
    <row r="577">
      <c r="F577" s="173"/>
      <c r="G577" s="173"/>
      <c r="H577" s="173"/>
      <c r="I577" s="174"/>
      <c r="L577" s="175"/>
      <c r="M577" s="175"/>
      <c r="P577" s="178"/>
      <c r="Q577" s="179"/>
      <c r="R577" s="175"/>
      <c r="U577" s="135"/>
      <c r="V577" s="175"/>
    </row>
    <row r="578">
      <c r="F578" s="173"/>
      <c r="G578" s="173"/>
      <c r="H578" s="173"/>
      <c r="I578" s="174"/>
      <c r="L578" s="175"/>
      <c r="M578" s="175"/>
      <c r="P578" s="178"/>
      <c r="Q578" s="179"/>
      <c r="R578" s="175"/>
      <c r="U578" s="135"/>
      <c r="V578" s="175"/>
    </row>
    <row r="579">
      <c r="F579" s="173"/>
      <c r="G579" s="173"/>
      <c r="H579" s="173"/>
      <c r="I579" s="174"/>
      <c r="L579" s="175"/>
      <c r="M579" s="175"/>
      <c r="P579" s="178"/>
      <c r="Q579" s="179"/>
      <c r="R579" s="175"/>
      <c r="U579" s="135"/>
      <c r="V579" s="175"/>
    </row>
    <row r="580">
      <c r="F580" s="173"/>
      <c r="G580" s="173"/>
      <c r="H580" s="173"/>
      <c r="I580" s="174"/>
      <c r="L580" s="175"/>
      <c r="M580" s="175"/>
      <c r="P580" s="178"/>
      <c r="Q580" s="179"/>
      <c r="R580" s="175"/>
      <c r="U580" s="135"/>
      <c r="V580" s="175"/>
    </row>
    <row r="581">
      <c r="F581" s="173"/>
      <c r="G581" s="173"/>
      <c r="H581" s="173"/>
      <c r="I581" s="174"/>
      <c r="L581" s="175"/>
      <c r="M581" s="175"/>
      <c r="P581" s="178"/>
      <c r="Q581" s="179"/>
      <c r="R581" s="175"/>
      <c r="U581" s="135"/>
      <c r="V581" s="175"/>
    </row>
    <row r="582">
      <c r="F582" s="173"/>
      <c r="G582" s="173"/>
      <c r="H582" s="173"/>
      <c r="I582" s="174"/>
      <c r="L582" s="175"/>
      <c r="M582" s="175"/>
      <c r="P582" s="178"/>
      <c r="Q582" s="179"/>
      <c r="R582" s="175"/>
      <c r="U582" s="135"/>
      <c r="V582" s="175"/>
    </row>
    <row r="583">
      <c r="F583" s="173"/>
      <c r="G583" s="173"/>
      <c r="H583" s="173"/>
      <c r="I583" s="174"/>
      <c r="L583" s="175"/>
      <c r="M583" s="175"/>
      <c r="P583" s="178"/>
      <c r="Q583" s="179"/>
      <c r="R583" s="175"/>
      <c r="U583" s="135"/>
      <c r="V583" s="175"/>
    </row>
    <row r="584">
      <c r="F584" s="173"/>
      <c r="G584" s="173"/>
      <c r="H584" s="173"/>
      <c r="I584" s="174"/>
      <c r="L584" s="175"/>
      <c r="M584" s="175"/>
      <c r="P584" s="178"/>
      <c r="Q584" s="179"/>
      <c r="R584" s="175"/>
      <c r="U584" s="135"/>
      <c r="V584" s="175"/>
    </row>
    <row r="585">
      <c r="F585" s="173"/>
      <c r="G585" s="173"/>
      <c r="H585" s="173"/>
      <c r="I585" s="174"/>
      <c r="L585" s="175"/>
      <c r="M585" s="175"/>
      <c r="P585" s="178"/>
      <c r="Q585" s="179"/>
      <c r="R585" s="175"/>
      <c r="U585" s="135"/>
      <c r="V585" s="175"/>
    </row>
    <row r="586">
      <c r="F586" s="173"/>
      <c r="G586" s="173"/>
      <c r="H586" s="173"/>
      <c r="I586" s="174"/>
      <c r="L586" s="175"/>
      <c r="M586" s="175"/>
      <c r="P586" s="178"/>
      <c r="Q586" s="179"/>
      <c r="R586" s="175"/>
      <c r="U586" s="135"/>
      <c r="V586" s="175"/>
    </row>
    <row r="587">
      <c r="F587" s="173"/>
      <c r="G587" s="173"/>
      <c r="H587" s="173"/>
      <c r="I587" s="174"/>
      <c r="L587" s="175"/>
      <c r="M587" s="175"/>
      <c r="P587" s="178"/>
      <c r="Q587" s="179"/>
      <c r="R587" s="175"/>
      <c r="U587" s="135"/>
      <c r="V587" s="175"/>
    </row>
    <row r="588">
      <c r="F588" s="173"/>
      <c r="G588" s="173"/>
      <c r="H588" s="173"/>
      <c r="I588" s="174"/>
      <c r="L588" s="175"/>
      <c r="M588" s="175"/>
      <c r="P588" s="178"/>
      <c r="Q588" s="179"/>
      <c r="R588" s="175"/>
      <c r="U588" s="135"/>
      <c r="V588" s="175"/>
    </row>
    <row r="589">
      <c r="F589" s="173"/>
      <c r="G589" s="173"/>
      <c r="H589" s="173"/>
      <c r="I589" s="174"/>
      <c r="L589" s="175"/>
      <c r="M589" s="175"/>
      <c r="P589" s="178"/>
      <c r="Q589" s="179"/>
      <c r="R589" s="175"/>
      <c r="U589" s="135"/>
      <c r="V589" s="175"/>
    </row>
    <row r="590">
      <c r="F590" s="173"/>
      <c r="G590" s="173"/>
      <c r="H590" s="173"/>
      <c r="I590" s="174"/>
      <c r="L590" s="175"/>
      <c r="M590" s="175"/>
      <c r="P590" s="178"/>
      <c r="Q590" s="179"/>
      <c r="R590" s="175"/>
      <c r="U590" s="135"/>
      <c r="V590" s="175"/>
    </row>
    <row r="591">
      <c r="F591" s="173"/>
      <c r="G591" s="173"/>
      <c r="H591" s="173"/>
      <c r="I591" s="174"/>
      <c r="L591" s="175"/>
      <c r="M591" s="175"/>
      <c r="P591" s="178"/>
      <c r="Q591" s="179"/>
      <c r="R591" s="175"/>
      <c r="U591" s="135"/>
      <c r="V591" s="175"/>
    </row>
    <row r="592">
      <c r="F592" s="173"/>
      <c r="G592" s="173"/>
      <c r="H592" s="173"/>
      <c r="I592" s="174"/>
      <c r="L592" s="175"/>
      <c r="M592" s="175"/>
      <c r="P592" s="178"/>
      <c r="Q592" s="179"/>
      <c r="R592" s="175"/>
      <c r="U592" s="135"/>
      <c r="V592" s="175"/>
    </row>
    <row r="593">
      <c r="F593" s="173"/>
      <c r="G593" s="173"/>
      <c r="H593" s="173"/>
      <c r="I593" s="174"/>
      <c r="L593" s="175"/>
      <c r="M593" s="175"/>
      <c r="P593" s="178"/>
      <c r="Q593" s="179"/>
      <c r="R593" s="175"/>
      <c r="U593" s="135"/>
      <c r="V593" s="175"/>
    </row>
    <row r="594">
      <c r="F594" s="173"/>
      <c r="G594" s="173"/>
      <c r="H594" s="173"/>
      <c r="I594" s="174"/>
      <c r="L594" s="175"/>
      <c r="M594" s="175"/>
      <c r="P594" s="178"/>
      <c r="Q594" s="179"/>
      <c r="R594" s="175"/>
      <c r="U594" s="135"/>
      <c r="V594" s="175"/>
    </row>
    <row r="595">
      <c r="F595" s="173"/>
      <c r="G595" s="173"/>
      <c r="H595" s="173"/>
      <c r="I595" s="174"/>
      <c r="L595" s="175"/>
      <c r="M595" s="175"/>
      <c r="P595" s="178"/>
      <c r="Q595" s="179"/>
      <c r="R595" s="175"/>
      <c r="U595" s="135"/>
      <c r="V595" s="175"/>
    </row>
    <row r="596">
      <c r="F596" s="173"/>
      <c r="G596" s="173"/>
      <c r="H596" s="173"/>
      <c r="I596" s="174"/>
      <c r="L596" s="175"/>
      <c r="M596" s="175"/>
      <c r="P596" s="178"/>
      <c r="Q596" s="179"/>
      <c r="R596" s="175"/>
      <c r="U596" s="135"/>
      <c r="V596" s="175"/>
    </row>
    <row r="597">
      <c r="F597" s="173"/>
      <c r="G597" s="173"/>
      <c r="H597" s="173"/>
      <c r="I597" s="174"/>
      <c r="L597" s="175"/>
      <c r="M597" s="175"/>
      <c r="P597" s="178"/>
      <c r="Q597" s="179"/>
      <c r="R597" s="175"/>
      <c r="U597" s="135"/>
      <c r="V597" s="175"/>
    </row>
    <row r="598">
      <c r="F598" s="173"/>
      <c r="G598" s="173"/>
      <c r="H598" s="173"/>
      <c r="I598" s="174"/>
      <c r="L598" s="175"/>
      <c r="M598" s="175"/>
      <c r="P598" s="178"/>
      <c r="Q598" s="179"/>
      <c r="R598" s="175"/>
      <c r="U598" s="135"/>
      <c r="V598" s="175"/>
    </row>
    <row r="599">
      <c r="F599" s="173"/>
      <c r="G599" s="173"/>
      <c r="H599" s="173"/>
      <c r="I599" s="174"/>
      <c r="L599" s="175"/>
      <c r="M599" s="175"/>
      <c r="P599" s="178"/>
      <c r="Q599" s="179"/>
      <c r="R599" s="175"/>
      <c r="U599" s="135"/>
      <c r="V599" s="175"/>
    </row>
    <row r="600">
      <c r="F600" s="173"/>
      <c r="G600" s="173"/>
      <c r="H600" s="173"/>
      <c r="I600" s="174"/>
      <c r="L600" s="175"/>
      <c r="M600" s="175"/>
      <c r="P600" s="178"/>
      <c r="Q600" s="179"/>
      <c r="R600" s="175"/>
      <c r="U600" s="135"/>
      <c r="V600" s="175"/>
    </row>
    <row r="601">
      <c r="F601" s="173"/>
      <c r="G601" s="173"/>
      <c r="H601" s="173"/>
      <c r="I601" s="174"/>
      <c r="L601" s="175"/>
      <c r="M601" s="175"/>
      <c r="P601" s="178"/>
      <c r="Q601" s="179"/>
      <c r="R601" s="175"/>
      <c r="U601" s="135"/>
      <c r="V601" s="175"/>
    </row>
    <row r="602">
      <c r="F602" s="173"/>
      <c r="G602" s="173"/>
      <c r="H602" s="173"/>
      <c r="I602" s="174"/>
      <c r="L602" s="175"/>
      <c r="M602" s="175"/>
      <c r="P602" s="178"/>
      <c r="Q602" s="179"/>
      <c r="R602" s="175"/>
      <c r="U602" s="135"/>
      <c r="V602" s="175"/>
    </row>
    <row r="603">
      <c r="F603" s="173"/>
      <c r="G603" s="173"/>
      <c r="H603" s="173"/>
      <c r="I603" s="174"/>
      <c r="L603" s="175"/>
      <c r="M603" s="175"/>
      <c r="P603" s="178"/>
      <c r="Q603" s="179"/>
      <c r="R603" s="175"/>
      <c r="U603" s="135"/>
      <c r="V603" s="175"/>
    </row>
    <row r="604">
      <c r="F604" s="173"/>
      <c r="G604" s="173"/>
      <c r="H604" s="173"/>
      <c r="I604" s="174"/>
      <c r="L604" s="175"/>
      <c r="M604" s="175"/>
      <c r="P604" s="178"/>
      <c r="Q604" s="179"/>
      <c r="R604" s="175"/>
      <c r="U604" s="135"/>
      <c r="V604" s="175"/>
    </row>
    <row r="605">
      <c r="F605" s="173"/>
      <c r="G605" s="173"/>
      <c r="H605" s="173"/>
      <c r="I605" s="174"/>
      <c r="L605" s="175"/>
      <c r="M605" s="175"/>
      <c r="P605" s="178"/>
      <c r="Q605" s="179"/>
      <c r="R605" s="175"/>
      <c r="U605" s="135"/>
      <c r="V605" s="175"/>
    </row>
    <row r="606">
      <c r="F606" s="173"/>
      <c r="G606" s="173"/>
      <c r="H606" s="173"/>
      <c r="I606" s="174"/>
      <c r="L606" s="175"/>
      <c r="M606" s="175"/>
      <c r="P606" s="178"/>
      <c r="Q606" s="179"/>
      <c r="R606" s="175"/>
      <c r="U606" s="135"/>
      <c r="V606" s="175"/>
    </row>
    <row r="607">
      <c r="F607" s="173"/>
      <c r="G607" s="173"/>
      <c r="H607" s="173"/>
      <c r="I607" s="174"/>
      <c r="L607" s="175"/>
      <c r="M607" s="175"/>
      <c r="P607" s="178"/>
      <c r="Q607" s="179"/>
      <c r="R607" s="175"/>
      <c r="U607" s="135"/>
      <c r="V607" s="175"/>
    </row>
    <row r="608">
      <c r="F608" s="173"/>
      <c r="G608" s="173"/>
      <c r="H608" s="173"/>
      <c r="I608" s="174"/>
      <c r="L608" s="175"/>
      <c r="M608" s="175"/>
      <c r="P608" s="178"/>
      <c r="Q608" s="179"/>
      <c r="R608" s="175"/>
      <c r="U608" s="135"/>
      <c r="V608" s="175"/>
    </row>
    <row r="609">
      <c r="F609" s="173"/>
      <c r="G609" s="173"/>
      <c r="H609" s="173"/>
      <c r="I609" s="174"/>
      <c r="L609" s="175"/>
      <c r="M609" s="175"/>
      <c r="P609" s="178"/>
      <c r="Q609" s="179"/>
      <c r="R609" s="175"/>
      <c r="U609" s="135"/>
      <c r="V609" s="175"/>
    </row>
    <row r="610">
      <c r="F610" s="173"/>
      <c r="G610" s="173"/>
      <c r="H610" s="173"/>
      <c r="I610" s="174"/>
      <c r="L610" s="175"/>
      <c r="M610" s="175"/>
      <c r="P610" s="178"/>
      <c r="Q610" s="179"/>
      <c r="R610" s="175"/>
      <c r="U610" s="135"/>
      <c r="V610" s="175"/>
    </row>
    <row r="611">
      <c r="F611" s="173"/>
      <c r="G611" s="173"/>
      <c r="H611" s="173"/>
      <c r="I611" s="174"/>
      <c r="L611" s="175"/>
      <c r="M611" s="175"/>
      <c r="P611" s="178"/>
      <c r="Q611" s="179"/>
      <c r="R611" s="175"/>
      <c r="U611" s="135"/>
      <c r="V611" s="175"/>
    </row>
    <row r="612">
      <c r="F612" s="173"/>
      <c r="G612" s="173"/>
      <c r="H612" s="173"/>
      <c r="I612" s="174"/>
      <c r="L612" s="175"/>
      <c r="M612" s="175"/>
      <c r="P612" s="178"/>
      <c r="Q612" s="179"/>
      <c r="R612" s="175"/>
      <c r="U612" s="135"/>
      <c r="V612" s="175"/>
    </row>
    <row r="613">
      <c r="F613" s="173"/>
      <c r="G613" s="173"/>
      <c r="H613" s="173"/>
      <c r="I613" s="174"/>
      <c r="L613" s="175"/>
      <c r="M613" s="175"/>
      <c r="P613" s="178"/>
      <c r="Q613" s="179"/>
      <c r="R613" s="175"/>
      <c r="U613" s="135"/>
      <c r="V613" s="175"/>
    </row>
    <row r="614">
      <c r="F614" s="173"/>
      <c r="G614" s="173"/>
      <c r="H614" s="173"/>
      <c r="I614" s="174"/>
      <c r="L614" s="175"/>
      <c r="M614" s="175"/>
      <c r="P614" s="178"/>
      <c r="Q614" s="179"/>
      <c r="R614" s="175"/>
      <c r="U614" s="135"/>
      <c r="V614" s="175"/>
    </row>
    <row r="615">
      <c r="F615" s="173"/>
      <c r="G615" s="173"/>
      <c r="H615" s="173"/>
      <c r="I615" s="174"/>
      <c r="L615" s="175"/>
      <c r="M615" s="175"/>
      <c r="P615" s="178"/>
      <c r="Q615" s="179"/>
      <c r="R615" s="175"/>
      <c r="U615" s="135"/>
      <c r="V615" s="175"/>
    </row>
    <row r="616">
      <c r="F616" s="173"/>
      <c r="G616" s="173"/>
      <c r="H616" s="173"/>
      <c r="I616" s="174"/>
      <c r="L616" s="175"/>
      <c r="M616" s="175"/>
      <c r="P616" s="178"/>
      <c r="Q616" s="179"/>
      <c r="R616" s="175"/>
      <c r="U616" s="135"/>
      <c r="V616" s="175"/>
    </row>
    <row r="617">
      <c r="F617" s="173"/>
      <c r="G617" s="173"/>
      <c r="H617" s="173"/>
      <c r="I617" s="174"/>
      <c r="L617" s="175"/>
      <c r="M617" s="175"/>
      <c r="P617" s="178"/>
      <c r="Q617" s="179"/>
      <c r="R617" s="175"/>
      <c r="U617" s="135"/>
      <c r="V617" s="175"/>
    </row>
    <row r="618">
      <c r="F618" s="173"/>
      <c r="G618" s="173"/>
      <c r="H618" s="173"/>
      <c r="I618" s="174"/>
      <c r="L618" s="175"/>
      <c r="M618" s="175"/>
      <c r="P618" s="178"/>
      <c r="Q618" s="179"/>
      <c r="R618" s="175"/>
      <c r="U618" s="135"/>
      <c r="V618" s="175"/>
    </row>
    <row r="619">
      <c r="F619" s="173"/>
      <c r="G619" s="173"/>
      <c r="H619" s="173"/>
      <c r="I619" s="174"/>
      <c r="L619" s="175"/>
      <c r="M619" s="175"/>
      <c r="P619" s="178"/>
      <c r="Q619" s="179"/>
      <c r="R619" s="175"/>
      <c r="U619" s="135"/>
      <c r="V619" s="175"/>
    </row>
    <row r="620">
      <c r="F620" s="173"/>
      <c r="G620" s="173"/>
      <c r="H620" s="173"/>
      <c r="I620" s="174"/>
      <c r="L620" s="175"/>
      <c r="M620" s="175"/>
      <c r="P620" s="178"/>
      <c r="Q620" s="179"/>
      <c r="R620" s="175"/>
      <c r="U620" s="135"/>
      <c r="V620" s="175"/>
    </row>
    <row r="621">
      <c r="F621" s="173"/>
      <c r="G621" s="173"/>
      <c r="H621" s="173"/>
      <c r="I621" s="174"/>
      <c r="L621" s="175"/>
      <c r="M621" s="175"/>
      <c r="P621" s="178"/>
      <c r="Q621" s="179"/>
      <c r="R621" s="175"/>
      <c r="U621" s="135"/>
      <c r="V621" s="175"/>
    </row>
    <row r="622">
      <c r="F622" s="173"/>
      <c r="G622" s="173"/>
      <c r="H622" s="173"/>
      <c r="I622" s="174"/>
      <c r="L622" s="175"/>
      <c r="M622" s="175"/>
      <c r="P622" s="178"/>
      <c r="Q622" s="179"/>
      <c r="R622" s="175"/>
      <c r="U622" s="135"/>
      <c r="V622" s="175"/>
    </row>
    <row r="623">
      <c r="F623" s="173"/>
      <c r="G623" s="173"/>
      <c r="H623" s="173"/>
      <c r="I623" s="174"/>
      <c r="L623" s="175"/>
      <c r="M623" s="175"/>
      <c r="P623" s="178"/>
      <c r="Q623" s="179"/>
      <c r="R623" s="175"/>
      <c r="U623" s="135"/>
      <c r="V623" s="175"/>
    </row>
    <row r="624">
      <c r="F624" s="173"/>
      <c r="G624" s="173"/>
      <c r="H624" s="173"/>
      <c r="I624" s="174"/>
      <c r="L624" s="175"/>
      <c r="M624" s="175"/>
      <c r="P624" s="178"/>
      <c r="Q624" s="179"/>
      <c r="R624" s="175"/>
      <c r="U624" s="135"/>
      <c r="V624" s="175"/>
    </row>
    <row r="625">
      <c r="F625" s="173"/>
      <c r="G625" s="173"/>
      <c r="H625" s="173"/>
      <c r="I625" s="174"/>
      <c r="L625" s="175"/>
      <c r="M625" s="175"/>
      <c r="P625" s="178"/>
      <c r="Q625" s="179"/>
      <c r="R625" s="175"/>
      <c r="U625" s="135"/>
      <c r="V625" s="175"/>
    </row>
    <row r="626">
      <c r="F626" s="173"/>
      <c r="G626" s="173"/>
      <c r="H626" s="173"/>
      <c r="I626" s="174"/>
      <c r="L626" s="175"/>
      <c r="M626" s="175"/>
      <c r="P626" s="178"/>
      <c r="Q626" s="179"/>
      <c r="R626" s="175"/>
      <c r="U626" s="135"/>
      <c r="V626" s="175"/>
    </row>
    <row r="627">
      <c r="F627" s="173"/>
      <c r="G627" s="173"/>
      <c r="H627" s="173"/>
      <c r="I627" s="174"/>
      <c r="L627" s="175"/>
      <c r="M627" s="175"/>
      <c r="P627" s="178"/>
      <c r="Q627" s="179"/>
      <c r="R627" s="175"/>
      <c r="U627" s="135"/>
      <c r="V627" s="175"/>
    </row>
    <row r="628">
      <c r="F628" s="173"/>
      <c r="G628" s="173"/>
      <c r="H628" s="173"/>
      <c r="I628" s="174"/>
      <c r="L628" s="175"/>
      <c r="M628" s="175"/>
      <c r="P628" s="178"/>
      <c r="Q628" s="179"/>
      <c r="R628" s="175"/>
      <c r="U628" s="135"/>
      <c r="V628" s="175"/>
    </row>
    <row r="629">
      <c r="F629" s="173"/>
      <c r="G629" s="173"/>
      <c r="H629" s="173"/>
      <c r="I629" s="174"/>
      <c r="L629" s="175"/>
      <c r="M629" s="175"/>
      <c r="P629" s="178"/>
      <c r="Q629" s="179"/>
      <c r="R629" s="175"/>
      <c r="U629" s="135"/>
      <c r="V629" s="175"/>
    </row>
    <row r="630">
      <c r="F630" s="173"/>
      <c r="G630" s="173"/>
      <c r="H630" s="173"/>
      <c r="I630" s="174"/>
      <c r="L630" s="175"/>
      <c r="M630" s="175"/>
      <c r="P630" s="178"/>
      <c r="Q630" s="179"/>
      <c r="R630" s="175"/>
      <c r="U630" s="135"/>
      <c r="V630" s="175"/>
    </row>
    <row r="631">
      <c r="F631" s="173"/>
      <c r="G631" s="173"/>
      <c r="H631" s="173"/>
      <c r="I631" s="174"/>
      <c r="L631" s="175"/>
      <c r="M631" s="175"/>
      <c r="P631" s="178"/>
      <c r="Q631" s="179"/>
      <c r="R631" s="175"/>
      <c r="U631" s="135"/>
      <c r="V631" s="175"/>
    </row>
    <row r="632">
      <c r="F632" s="173"/>
      <c r="G632" s="173"/>
      <c r="H632" s="173"/>
      <c r="I632" s="174"/>
      <c r="L632" s="175"/>
      <c r="M632" s="175"/>
      <c r="P632" s="178"/>
      <c r="Q632" s="179"/>
      <c r="R632" s="175"/>
      <c r="U632" s="135"/>
      <c r="V632" s="175"/>
    </row>
    <row r="633">
      <c r="F633" s="173"/>
      <c r="G633" s="173"/>
      <c r="H633" s="173"/>
      <c r="I633" s="174"/>
      <c r="L633" s="175"/>
      <c r="M633" s="175"/>
      <c r="P633" s="178"/>
      <c r="Q633" s="179"/>
      <c r="R633" s="175"/>
      <c r="U633" s="135"/>
      <c r="V633" s="175"/>
    </row>
    <row r="634">
      <c r="F634" s="173"/>
      <c r="G634" s="173"/>
      <c r="H634" s="173"/>
      <c r="I634" s="174"/>
      <c r="L634" s="175"/>
      <c r="M634" s="175"/>
      <c r="P634" s="178"/>
      <c r="Q634" s="179"/>
      <c r="R634" s="175"/>
      <c r="U634" s="135"/>
      <c r="V634" s="175"/>
    </row>
    <row r="635">
      <c r="F635" s="173"/>
      <c r="G635" s="173"/>
      <c r="H635" s="173"/>
      <c r="I635" s="174"/>
      <c r="L635" s="175"/>
      <c r="M635" s="175"/>
      <c r="P635" s="178"/>
      <c r="Q635" s="179"/>
      <c r="R635" s="175"/>
      <c r="U635" s="135"/>
      <c r="V635" s="175"/>
    </row>
    <row r="636">
      <c r="F636" s="173"/>
      <c r="G636" s="173"/>
      <c r="H636" s="173"/>
      <c r="I636" s="174"/>
      <c r="L636" s="175"/>
      <c r="M636" s="175"/>
      <c r="P636" s="178"/>
      <c r="Q636" s="179"/>
      <c r="R636" s="175"/>
      <c r="U636" s="135"/>
      <c r="V636" s="175"/>
    </row>
    <row r="637">
      <c r="F637" s="173"/>
      <c r="G637" s="173"/>
      <c r="H637" s="173"/>
      <c r="I637" s="174"/>
      <c r="L637" s="175"/>
      <c r="M637" s="175"/>
      <c r="P637" s="178"/>
      <c r="Q637" s="179"/>
      <c r="R637" s="175"/>
      <c r="U637" s="135"/>
      <c r="V637" s="175"/>
    </row>
    <row r="638">
      <c r="F638" s="173"/>
      <c r="G638" s="173"/>
      <c r="H638" s="173"/>
      <c r="I638" s="174"/>
      <c r="L638" s="175"/>
      <c r="M638" s="175"/>
      <c r="P638" s="178"/>
      <c r="Q638" s="179"/>
      <c r="R638" s="175"/>
      <c r="U638" s="135"/>
      <c r="V638" s="175"/>
    </row>
    <row r="639">
      <c r="F639" s="173"/>
      <c r="G639" s="173"/>
      <c r="H639" s="173"/>
      <c r="I639" s="174"/>
      <c r="L639" s="175"/>
      <c r="M639" s="175"/>
      <c r="P639" s="178"/>
      <c r="Q639" s="179"/>
      <c r="R639" s="175"/>
      <c r="U639" s="135"/>
      <c r="V639" s="175"/>
    </row>
    <row r="640">
      <c r="F640" s="173"/>
      <c r="G640" s="173"/>
      <c r="H640" s="173"/>
      <c r="I640" s="174"/>
      <c r="L640" s="175"/>
      <c r="M640" s="175"/>
      <c r="P640" s="178"/>
      <c r="Q640" s="179"/>
      <c r="R640" s="175"/>
      <c r="U640" s="135"/>
      <c r="V640" s="175"/>
    </row>
    <row r="641">
      <c r="F641" s="173"/>
      <c r="G641" s="173"/>
      <c r="H641" s="173"/>
      <c r="I641" s="174"/>
      <c r="L641" s="175"/>
      <c r="M641" s="175"/>
      <c r="P641" s="178"/>
      <c r="Q641" s="179"/>
      <c r="R641" s="175"/>
      <c r="U641" s="135"/>
      <c r="V641" s="175"/>
    </row>
    <row r="642">
      <c r="F642" s="173"/>
      <c r="G642" s="173"/>
      <c r="H642" s="173"/>
      <c r="I642" s="174"/>
      <c r="L642" s="175"/>
      <c r="M642" s="175"/>
      <c r="P642" s="178"/>
      <c r="Q642" s="179"/>
      <c r="R642" s="175"/>
      <c r="U642" s="135"/>
      <c r="V642" s="175"/>
    </row>
    <row r="643">
      <c r="F643" s="173"/>
      <c r="G643" s="173"/>
      <c r="H643" s="173"/>
      <c r="I643" s="174"/>
      <c r="L643" s="175"/>
      <c r="M643" s="175"/>
      <c r="P643" s="178"/>
      <c r="Q643" s="179"/>
      <c r="R643" s="175"/>
      <c r="U643" s="135"/>
      <c r="V643" s="175"/>
    </row>
    <row r="644">
      <c r="F644" s="173"/>
      <c r="G644" s="173"/>
      <c r="H644" s="173"/>
      <c r="I644" s="174"/>
      <c r="L644" s="175"/>
      <c r="M644" s="175"/>
      <c r="P644" s="178"/>
      <c r="Q644" s="179"/>
      <c r="R644" s="175"/>
      <c r="U644" s="135"/>
      <c r="V644" s="175"/>
    </row>
    <row r="645">
      <c r="F645" s="173"/>
      <c r="G645" s="173"/>
      <c r="H645" s="173"/>
      <c r="I645" s="174"/>
      <c r="L645" s="175"/>
      <c r="M645" s="175"/>
      <c r="P645" s="178"/>
      <c r="Q645" s="179"/>
      <c r="R645" s="175"/>
      <c r="U645" s="135"/>
      <c r="V645" s="175"/>
    </row>
    <row r="646">
      <c r="F646" s="173"/>
      <c r="G646" s="173"/>
      <c r="H646" s="173"/>
      <c r="I646" s="174"/>
      <c r="L646" s="175"/>
      <c r="M646" s="175"/>
      <c r="P646" s="178"/>
      <c r="Q646" s="179"/>
      <c r="R646" s="175"/>
      <c r="U646" s="135"/>
      <c r="V646" s="175"/>
    </row>
    <row r="647">
      <c r="F647" s="173"/>
      <c r="G647" s="173"/>
      <c r="H647" s="173"/>
      <c r="I647" s="174"/>
      <c r="L647" s="175"/>
      <c r="M647" s="175"/>
      <c r="P647" s="178"/>
      <c r="Q647" s="179"/>
      <c r="R647" s="175"/>
      <c r="U647" s="135"/>
      <c r="V647" s="175"/>
    </row>
    <row r="648">
      <c r="F648" s="173"/>
      <c r="G648" s="173"/>
      <c r="H648" s="173"/>
      <c r="I648" s="174"/>
      <c r="L648" s="175"/>
      <c r="M648" s="175"/>
      <c r="P648" s="178"/>
      <c r="Q648" s="179"/>
      <c r="R648" s="175"/>
      <c r="U648" s="135"/>
      <c r="V648" s="175"/>
    </row>
    <row r="649">
      <c r="F649" s="173"/>
      <c r="G649" s="173"/>
      <c r="H649" s="173"/>
      <c r="I649" s="174"/>
      <c r="L649" s="175"/>
      <c r="M649" s="175"/>
      <c r="P649" s="178"/>
      <c r="Q649" s="179"/>
      <c r="R649" s="175"/>
      <c r="U649" s="135"/>
      <c r="V649" s="175"/>
    </row>
    <row r="650">
      <c r="F650" s="173"/>
      <c r="G650" s="173"/>
      <c r="H650" s="173"/>
      <c r="I650" s="174"/>
      <c r="L650" s="175"/>
      <c r="M650" s="175"/>
      <c r="P650" s="178"/>
      <c r="Q650" s="179"/>
      <c r="R650" s="175"/>
      <c r="U650" s="135"/>
      <c r="V650" s="175"/>
    </row>
    <row r="651">
      <c r="F651" s="173"/>
      <c r="G651" s="173"/>
      <c r="H651" s="173"/>
      <c r="I651" s="174"/>
      <c r="L651" s="175"/>
      <c r="M651" s="175"/>
      <c r="P651" s="178"/>
      <c r="Q651" s="179"/>
      <c r="R651" s="175"/>
      <c r="U651" s="135"/>
      <c r="V651" s="175"/>
    </row>
    <row r="652">
      <c r="F652" s="173"/>
      <c r="G652" s="173"/>
      <c r="H652" s="173"/>
      <c r="I652" s="174"/>
      <c r="L652" s="175"/>
      <c r="M652" s="175"/>
      <c r="P652" s="178"/>
      <c r="Q652" s="179"/>
      <c r="R652" s="175"/>
      <c r="U652" s="135"/>
      <c r="V652" s="175"/>
    </row>
    <row r="653">
      <c r="F653" s="173"/>
      <c r="G653" s="173"/>
      <c r="H653" s="173"/>
      <c r="I653" s="174"/>
      <c r="L653" s="175"/>
      <c r="M653" s="175"/>
      <c r="P653" s="178"/>
      <c r="Q653" s="179"/>
      <c r="R653" s="175"/>
      <c r="U653" s="135"/>
      <c r="V653" s="175"/>
    </row>
    <row r="654">
      <c r="F654" s="173"/>
      <c r="G654" s="173"/>
      <c r="H654" s="173"/>
      <c r="I654" s="174"/>
      <c r="L654" s="175"/>
      <c r="M654" s="175"/>
      <c r="P654" s="178"/>
      <c r="Q654" s="179"/>
      <c r="R654" s="175"/>
      <c r="U654" s="135"/>
      <c r="V654" s="175"/>
    </row>
    <row r="655">
      <c r="F655" s="173"/>
      <c r="G655" s="173"/>
      <c r="H655" s="173"/>
      <c r="I655" s="174"/>
      <c r="L655" s="175"/>
      <c r="M655" s="175"/>
      <c r="P655" s="178"/>
      <c r="Q655" s="179"/>
      <c r="R655" s="175"/>
      <c r="U655" s="135"/>
      <c r="V655" s="175"/>
    </row>
    <row r="656">
      <c r="F656" s="173"/>
      <c r="G656" s="173"/>
      <c r="H656" s="173"/>
      <c r="I656" s="174"/>
      <c r="L656" s="175"/>
      <c r="M656" s="175"/>
      <c r="P656" s="178"/>
      <c r="Q656" s="179"/>
      <c r="R656" s="175"/>
      <c r="U656" s="135"/>
      <c r="V656" s="175"/>
    </row>
    <row r="657">
      <c r="F657" s="173"/>
      <c r="G657" s="173"/>
      <c r="H657" s="173"/>
      <c r="I657" s="174"/>
      <c r="L657" s="175"/>
      <c r="M657" s="175"/>
      <c r="P657" s="178"/>
      <c r="Q657" s="179"/>
      <c r="R657" s="175"/>
      <c r="U657" s="135"/>
      <c r="V657" s="175"/>
    </row>
    <row r="658">
      <c r="F658" s="173"/>
      <c r="G658" s="173"/>
      <c r="H658" s="173"/>
      <c r="I658" s="174"/>
      <c r="L658" s="175"/>
      <c r="M658" s="175"/>
      <c r="P658" s="178"/>
      <c r="Q658" s="179"/>
      <c r="R658" s="175"/>
      <c r="U658" s="135"/>
      <c r="V658" s="175"/>
    </row>
    <row r="659">
      <c r="F659" s="173"/>
      <c r="G659" s="173"/>
      <c r="H659" s="173"/>
      <c r="I659" s="174"/>
      <c r="L659" s="175"/>
      <c r="M659" s="175"/>
      <c r="P659" s="178"/>
      <c r="Q659" s="179"/>
      <c r="R659" s="175"/>
      <c r="U659" s="135"/>
      <c r="V659" s="175"/>
    </row>
    <row r="660">
      <c r="F660" s="173"/>
      <c r="G660" s="173"/>
      <c r="H660" s="173"/>
      <c r="I660" s="174"/>
      <c r="L660" s="175"/>
      <c r="M660" s="175"/>
      <c r="P660" s="178"/>
      <c r="Q660" s="179"/>
      <c r="R660" s="175"/>
      <c r="U660" s="135"/>
      <c r="V660" s="175"/>
    </row>
    <row r="661">
      <c r="F661" s="173"/>
      <c r="G661" s="173"/>
      <c r="H661" s="173"/>
      <c r="I661" s="174"/>
      <c r="L661" s="175"/>
      <c r="M661" s="175"/>
      <c r="P661" s="178"/>
      <c r="Q661" s="179"/>
      <c r="R661" s="175"/>
      <c r="U661" s="135"/>
      <c r="V661" s="175"/>
    </row>
    <row r="662">
      <c r="F662" s="173"/>
      <c r="G662" s="173"/>
      <c r="H662" s="173"/>
      <c r="I662" s="174"/>
      <c r="L662" s="175"/>
      <c r="M662" s="175"/>
      <c r="P662" s="178"/>
      <c r="Q662" s="179"/>
      <c r="R662" s="175"/>
      <c r="U662" s="135"/>
      <c r="V662" s="175"/>
    </row>
    <row r="663">
      <c r="F663" s="173"/>
      <c r="G663" s="173"/>
      <c r="H663" s="173"/>
      <c r="I663" s="174"/>
      <c r="L663" s="175"/>
      <c r="M663" s="175"/>
      <c r="P663" s="178"/>
      <c r="Q663" s="179"/>
      <c r="R663" s="175"/>
      <c r="U663" s="135"/>
      <c r="V663" s="175"/>
    </row>
    <row r="664">
      <c r="F664" s="173"/>
      <c r="G664" s="173"/>
      <c r="H664" s="173"/>
      <c r="I664" s="174"/>
      <c r="L664" s="175"/>
      <c r="M664" s="175"/>
      <c r="P664" s="178"/>
      <c r="Q664" s="179"/>
      <c r="R664" s="175"/>
      <c r="U664" s="135"/>
      <c r="V664" s="175"/>
    </row>
    <row r="665">
      <c r="F665" s="173"/>
      <c r="G665" s="173"/>
      <c r="H665" s="173"/>
      <c r="I665" s="174"/>
      <c r="L665" s="175"/>
      <c r="M665" s="175"/>
      <c r="P665" s="178"/>
      <c r="Q665" s="179"/>
      <c r="R665" s="175"/>
      <c r="U665" s="135"/>
      <c r="V665" s="175"/>
    </row>
    <row r="666">
      <c r="F666" s="173"/>
      <c r="G666" s="173"/>
      <c r="H666" s="173"/>
      <c r="I666" s="174"/>
      <c r="L666" s="175"/>
      <c r="M666" s="175"/>
      <c r="P666" s="178"/>
      <c r="Q666" s="179"/>
      <c r="R666" s="175"/>
      <c r="U666" s="135"/>
      <c r="V666" s="175"/>
    </row>
    <row r="667">
      <c r="F667" s="173"/>
      <c r="G667" s="173"/>
      <c r="H667" s="173"/>
      <c r="I667" s="174"/>
      <c r="L667" s="175"/>
      <c r="M667" s="175"/>
      <c r="P667" s="178"/>
      <c r="Q667" s="179"/>
      <c r="R667" s="175"/>
      <c r="U667" s="135"/>
      <c r="V667" s="175"/>
    </row>
    <row r="668">
      <c r="F668" s="173"/>
      <c r="G668" s="173"/>
      <c r="H668" s="173"/>
      <c r="I668" s="174"/>
      <c r="L668" s="175"/>
      <c r="M668" s="175"/>
      <c r="P668" s="178"/>
      <c r="Q668" s="179"/>
      <c r="R668" s="175"/>
      <c r="U668" s="135"/>
      <c r="V668" s="175"/>
    </row>
    <row r="669">
      <c r="F669" s="173"/>
      <c r="G669" s="173"/>
      <c r="H669" s="173"/>
      <c r="I669" s="174"/>
      <c r="L669" s="175"/>
      <c r="M669" s="175"/>
      <c r="P669" s="178"/>
      <c r="Q669" s="179"/>
      <c r="R669" s="175"/>
      <c r="U669" s="135"/>
      <c r="V669" s="175"/>
    </row>
    <row r="670">
      <c r="F670" s="173"/>
      <c r="G670" s="173"/>
      <c r="H670" s="173"/>
      <c r="I670" s="174"/>
      <c r="L670" s="175"/>
      <c r="M670" s="175"/>
      <c r="P670" s="178"/>
      <c r="Q670" s="179"/>
      <c r="R670" s="175"/>
      <c r="U670" s="135"/>
      <c r="V670" s="175"/>
    </row>
    <row r="671">
      <c r="F671" s="173"/>
      <c r="G671" s="173"/>
      <c r="H671" s="173"/>
      <c r="I671" s="174"/>
      <c r="L671" s="175"/>
      <c r="M671" s="175"/>
      <c r="P671" s="178"/>
      <c r="Q671" s="179"/>
      <c r="R671" s="175"/>
      <c r="U671" s="135"/>
      <c r="V671" s="175"/>
    </row>
    <row r="672">
      <c r="F672" s="173"/>
      <c r="G672" s="173"/>
      <c r="H672" s="173"/>
      <c r="I672" s="174"/>
      <c r="L672" s="175"/>
      <c r="M672" s="175"/>
      <c r="P672" s="178"/>
      <c r="Q672" s="179"/>
      <c r="R672" s="175"/>
      <c r="U672" s="135"/>
      <c r="V672" s="175"/>
    </row>
    <row r="673">
      <c r="F673" s="173"/>
      <c r="G673" s="173"/>
      <c r="H673" s="173"/>
      <c r="I673" s="174"/>
      <c r="L673" s="175"/>
      <c r="M673" s="175"/>
      <c r="P673" s="178"/>
      <c r="Q673" s="179"/>
      <c r="R673" s="175"/>
      <c r="U673" s="135"/>
      <c r="V673" s="175"/>
    </row>
    <row r="674">
      <c r="F674" s="173"/>
      <c r="G674" s="173"/>
      <c r="H674" s="173"/>
      <c r="I674" s="174"/>
      <c r="L674" s="175"/>
      <c r="M674" s="175"/>
      <c r="P674" s="178"/>
      <c r="Q674" s="179"/>
      <c r="R674" s="175"/>
      <c r="U674" s="135"/>
      <c r="V674" s="175"/>
    </row>
    <row r="675">
      <c r="F675" s="173"/>
      <c r="G675" s="173"/>
      <c r="H675" s="173"/>
      <c r="I675" s="174"/>
      <c r="L675" s="175"/>
      <c r="M675" s="175"/>
      <c r="P675" s="178"/>
      <c r="Q675" s="179"/>
      <c r="R675" s="175"/>
      <c r="U675" s="135"/>
      <c r="V675" s="175"/>
    </row>
    <row r="676">
      <c r="F676" s="173"/>
      <c r="G676" s="173"/>
      <c r="H676" s="173"/>
      <c r="I676" s="174"/>
      <c r="L676" s="175"/>
      <c r="M676" s="175"/>
      <c r="P676" s="178"/>
      <c r="Q676" s="179"/>
      <c r="R676" s="175"/>
      <c r="U676" s="135"/>
      <c r="V676" s="175"/>
    </row>
    <row r="677">
      <c r="F677" s="173"/>
      <c r="G677" s="173"/>
      <c r="H677" s="173"/>
      <c r="I677" s="174"/>
      <c r="L677" s="175"/>
      <c r="M677" s="175"/>
      <c r="P677" s="178"/>
      <c r="Q677" s="179"/>
      <c r="R677" s="175"/>
      <c r="U677" s="135"/>
      <c r="V677" s="175"/>
    </row>
    <row r="678">
      <c r="F678" s="173"/>
      <c r="G678" s="173"/>
      <c r="H678" s="173"/>
      <c r="I678" s="174"/>
      <c r="L678" s="175"/>
      <c r="M678" s="175"/>
      <c r="P678" s="178"/>
      <c r="Q678" s="179"/>
      <c r="R678" s="175"/>
      <c r="U678" s="135"/>
      <c r="V678" s="175"/>
    </row>
    <row r="679">
      <c r="F679" s="173"/>
      <c r="G679" s="173"/>
      <c r="H679" s="173"/>
      <c r="I679" s="174"/>
      <c r="L679" s="175"/>
      <c r="M679" s="175"/>
      <c r="P679" s="178"/>
      <c r="Q679" s="179"/>
      <c r="R679" s="175"/>
      <c r="U679" s="135"/>
      <c r="V679" s="175"/>
    </row>
    <row r="680">
      <c r="F680" s="173"/>
      <c r="G680" s="173"/>
      <c r="H680" s="173"/>
      <c r="I680" s="174"/>
      <c r="L680" s="175"/>
      <c r="M680" s="175"/>
      <c r="P680" s="178"/>
      <c r="Q680" s="179"/>
      <c r="R680" s="175"/>
      <c r="U680" s="135"/>
      <c r="V680" s="175"/>
    </row>
    <row r="681">
      <c r="F681" s="173"/>
      <c r="G681" s="173"/>
      <c r="H681" s="173"/>
      <c r="I681" s="174"/>
      <c r="L681" s="175"/>
      <c r="M681" s="175"/>
      <c r="P681" s="178"/>
      <c r="Q681" s="179"/>
      <c r="R681" s="175"/>
      <c r="U681" s="135"/>
      <c r="V681" s="175"/>
    </row>
    <row r="682">
      <c r="F682" s="173"/>
      <c r="G682" s="173"/>
      <c r="H682" s="173"/>
      <c r="I682" s="174"/>
      <c r="L682" s="175"/>
      <c r="M682" s="175"/>
      <c r="P682" s="178"/>
      <c r="Q682" s="179"/>
      <c r="R682" s="175"/>
      <c r="U682" s="135"/>
      <c r="V682" s="175"/>
    </row>
    <row r="683">
      <c r="F683" s="173"/>
      <c r="G683" s="173"/>
      <c r="H683" s="173"/>
      <c r="I683" s="174"/>
      <c r="L683" s="175"/>
      <c r="M683" s="175"/>
      <c r="P683" s="178"/>
      <c r="Q683" s="179"/>
      <c r="R683" s="175"/>
      <c r="U683" s="135"/>
      <c r="V683" s="175"/>
    </row>
    <row r="684">
      <c r="F684" s="173"/>
      <c r="G684" s="173"/>
      <c r="H684" s="173"/>
      <c r="I684" s="174"/>
      <c r="L684" s="175"/>
      <c r="M684" s="175"/>
      <c r="P684" s="178"/>
      <c r="Q684" s="179"/>
      <c r="R684" s="175"/>
      <c r="U684" s="135"/>
      <c r="V684" s="175"/>
    </row>
    <row r="685">
      <c r="F685" s="173"/>
      <c r="G685" s="173"/>
      <c r="H685" s="173"/>
      <c r="I685" s="174"/>
      <c r="L685" s="175"/>
      <c r="M685" s="175"/>
      <c r="P685" s="178"/>
      <c r="Q685" s="179"/>
      <c r="R685" s="175"/>
      <c r="U685" s="135"/>
      <c r="V685" s="175"/>
    </row>
    <row r="686">
      <c r="F686" s="173"/>
      <c r="G686" s="173"/>
      <c r="H686" s="173"/>
      <c r="I686" s="174"/>
      <c r="L686" s="175"/>
      <c r="M686" s="175"/>
      <c r="P686" s="178"/>
      <c r="Q686" s="179"/>
      <c r="R686" s="175"/>
      <c r="U686" s="135"/>
      <c r="V686" s="175"/>
    </row>
    <row r="687">
      <c r="F687" s="173"/>
      <c r="G687" s="173"/>
      <c r="H687" s="173"/>
      <c r="I687" s="174"/>
      <c r="L687" s="175"/>
      <c r="M687" s="175"/>
      <c r="P687" s="178"/>
      <c r="Q687" s="179"/>
      <c r="R687" s="175"/>
      <c r="U687" s="135"/>
      <c r="V687" s="175"/>
    </row>
    <row r="688">
      <c r="F688" s="173"/>
      <c r="G688" s="173"/>
      <c r="H688" s="173"/>
      <c r="I688" s="174"/>
      <c r="L688" s="175"/>
      <c r="M688" s="175"/>
      <c r="P688" s="178"/>
      <c r="Q688" s="179"/>
      <c r="R688" s="175"/>
      <c r="U688" s="135"/>
      <c r="V688" s="175"/>
    </row>
    <row r="689">
      <c r="F689" s="173"/>
      <c r="G689" s="173"/>
      <c r="H689" s="173"/>
      <c r="I689" s="174"/>
      <c r="L689" s="175"/>
      <c r="M689" s="175"/>
      <c r="P689" s="178"/>
      <c r="Q689" s="179"/>
      <c r="R689" s="175"/>
      <c r="U689" s="135"/>
      <c r="V689" s="175"/>
    </row>
    <row r="690">
      <c r="F690" s="173"/>
      <c r="G690" s="173"/>
      <c r="H690" s="173"/>
      <c r="I690" s="174"/>
      <c r="L690" s="175"/>
      <c r="M690" s="175"/>
      <c r="P690" s="178"/>
      <c r="Q690" s="179"/>
      <c r="R690" s="175"/>
      <c r="U690" s="135"/>
      <c r="V690" s="175"/>
    </row>
    <row r="691">
      <c r="F691" s="173"/>
      <c r="G691" s="173"/>
      <c r="H691" s="173"/>
      <c r="I691" s="174"/>
      <c r="L691" s="175"/>
      <c r="M691" s="175"/>
      <c r="P691" s="178"/>
      <c r="Q691" s="179"/>
      <c r="R691" s="175"/>
      <c r="U691" s="135"/>
      <c r="V691" s="175"/>
    </row>
    <row r="692">
      <c r="F692" s="173"/>
      <c r="G692" s="173"/>
      <c r="H692" s="173"/>
      <c r="I692" s="174"/>
      <c r="L692" s="175"/>
      <c r="M692" s="175"/>
      <c r="P692" s="178"/>
      <c r="Q692" s="179"/>
      <c r="R692" s="175"/>
      <c r="U692" s="135"/>
      <c r="V692" s="175"/>
    </row>
    <row r="693">
      <c r="F693" s="173"/>
      <c r="G693" s="173"/>
      <c r="H693" s="173"/>
      <c r="I693" s="174"/>
      <c r="L693" s="175"/>
      <c r="M693" s="175"/>
      <c r="P693" s="178"/>
      <c r="Q693" s="179"/>
      <c r="R693" s="175"/>
      <c r="U693" s="135"/>
      <c r="V693" s="175"/>
    </row>
    <row r="694">
      <c r="F694" s="173"/>
      <c r="G694" s="173"/>
      <c r="H694" s="173"/>
      <c r="I694" s="174"/>
      <c r="L694" s="175"/>
      <c r="M694" s="175"/>
      <c r="P694" s="178"/>
      <c r="Q694" s="179"/>
      <c r="R694" s="175"/>
      <c r="U694" s="135"/>
      <c r="V694" s="175"/>
    </row>
    <row r="695">
      <c r="F695" s="173"/>
      <c r="G695" s="173"/>
      <c r="H695" s="173"/>
      <c r="I695" s="174"/>
      <c r="L695" s="175"/>
      <c r="M695" s="175"/>
      <c r="P695" s="178"/>
      <c r="Q695" s="179"/>
      <c r="R695" s="175"/>
      <c r="U695" s="135"/>
      <c r="V695" s="175"/>
    </row>
    <row r="696">
      <c r="F696" s="173"/>
      <c r="G696" s="173"/>
      <c r="H696" s="173"/>
      <c r="I696" s="174"/>
      <c r="L696" s="175"/>
      <c r="M696" s="175"/>
      <c r="P696" s="178"/>
      <c r="Q696" s="179"/>
      <c r="R696" s="175"/>
      <c r="U696" s="135"/>
      <c r="V696" s="175"/>
    </row>
    <row r="697">
      <c r="F697" s="173"/>
      <c r="G697" s="173"/>
      <c r="H697" s="173"/>
      <c r="I697" s="174"/>
      <c r="L697" s="175"/>
      <c r="M697" s="175"/>
      <c r="P697" s="178"/>
      <c r="Q697" s="179"/>
      <c r="R697" s="175"/>
      <c r="U697" s="135"/>
      <c r="V697" s="175"/>
    </row>
    <row r="698">
      <c r="F698" s="173"/>
      <c r="G698" s="173"/>
      <c r="H698" s="173"/>
      <c r="I698" s="174"/>
      <c r="L698" s="175"/>
      <c r="M698" s="175"/>
      <c r="P698" s="178"/>
      <c r="Q698" s="179"/>
      <c r="R698" s="175"/>
      <c r="U698" s="135"/>
      <c r="V698" s="175"/>
    </row>
    <row r="699">
      <c r="F699" s="173"/>
      <c r="G699" s="173"/>
      <c r="H699" s="173"/>
      <c r="I699" s="174"/>
      <c r="L699" s="175"/>
      <c r="M699" s="175"/>
      <c r="P699" s="178"/>
      <c r="Q699" s="179"/>
      <c r="R699" s="175"/>
      <c r="U699" s="135"/>
      <c r="V699" s="175"/>
    </row>
    <row r="700">
      <c r="F700" s="173"/>
      <c r="G700" s="173"/>
      <c r="H700" s="173"/>
      <c r="I700" s="174"/>
      <c r="L700" s="175"/>
      <c r="M700" s="175"/>
      <c r="P700" s="178"/>
      <c r="Q700" s="179"/>
      <c r="R700" s="175"/>
      <c r="U700" s="135"/>
      <c r="V700" s="175"/>
    </row>
    <row r="701">
      <c r="F701" s="173"/>
      <c r="G701" s="173"/>
      <c r="H701" s="173"/>
      <c r="I701" s="174"/>
      <c r="L701" s="175"/>
      <c r="M701" s="175"/>
      <c r="P701" s="178"/>
      <c r="Q701" s="179"/>
      <c r="R701" s="175"/>
      <c r="U701" s="135"/>
      <c r="V701" s="175"/>
    </row>
    <row r="702">
      <c r="F702" s="173"/>
      <c r="G702" s="173"/>
      <c r="H702" s="173"/>
      <c r="I702" s="174"/>
      <c r="L702" s="175"/>
      <c r="M702" s="175"/>
      <c r="P702" s="178"/>
      <c r="Q702" s="179"/>
      <c r="R702" s="175"/>
      <c r="U702" s="135"/>
      <c r="V702" s="175"/>
    </row>
    <row r="703">
      <c r="F703" s="173"/>
      <c r="G703" s="173"/>
      <c r="H703" s="173"/>
      <c r="I703" s="174"/>
      <c r="L703" s="175"/>
      <c r="M703" s="175"/>
      <c r="P703" s="178"/>
      <c r="Q703" s="179"/>
      <c r="R703" s="175"/>
      <c r="U703" s="135"/>
      <c r="V703" s="175"/>
    </row>
    <row r="704">
      <c r="F704" s="173"/>
      <c r="G704" s="173"/>
      <c r="H704" s="173"/>
      <c r="I704" s="174"/>
      <c r="L704" s="175"/>
      <c r="M704" s="175"/>
      <c r="P704" s="178"/>
      <c r="Q704" s="179"/>
      <c r="R704" s="175"/>
      <c r="U704" s="135"/>
      <c r="V704" s="175"/>
    </row>
    <row r="705">
      <c r="F705" s="173"/>
      <c r="G705" s="173"/>
      <c r="H705" s="173"/>
      <c r="I705" s="174"/>
      <c r="L705" s="175"/>
      <c r="M705" s="175"/>
      <c r="P705" s="178"/>
      <c r="Q705" s="179"/>
      <c r="R705" s="175"/>
      <c r="U705" s="135"/>
      <c r="V705" s="175"/>
    </row>
    <row r="706">
      <c r="F706" s="173"/>
      <c r="G706" s="173"/>
      <c r="H706" s="173"/>
      <c r="I706" s="174"/>
      <c r="L706" s="175"/>
      <c r="M706" s="175"/>
      <c r="P706" s="178"/>
      <c r="Q706" s="179"/>
      <c r="R706" s="175"/>
      <c r="U706" s="135"/>
      <c r="V706" s="175"/>
    </row>
    <row r="707">
      <c r="F707" s="173"/>
      <c r="G707" s="173"/>
      <c r="H707" s="173"/>
      <c r="I707" s="174"/>
      <c r="L707" s="175"/>
      <c r="M707" s="175"/>
      <c r="P707" s="178"/>
      <c r="Q707" s="179"/>
      <c r="R707" s="175"/>
      <c r="U707" s="135"/>
      <c r="V707" s="175"/>
    </row>
    <row r="708">
      <c r="F708" s="173"/>
      <c r="G708" s="173"/>
      <c r="H708" s="173"/>
      <c r="I708" s="174"/>
      <c r="L708" s="175"/>
      <c r="M708" s="175"/>
      <c r="P708" s="178"/>
      <c r="Q708" s="179"/>
      <c r="R708" s="175"/>
      <c r="U708" s="135"/>
      <c r="V708" s="175"/>
    </row>
    <row r="709">
      <c r="F709" s="173"/>
      <c r="G709" s="173"/>
      <c r="H709" s="173"/>
      <c r="I709" s="174"/>
      <c r="L709" s="175"/>
      <c r="M709" s="175"/>
      <c r="P709" s="178"/>
      <c r="Q709" s="179"/>
      <c r="R709" s="175"/>
      <c r="U709" s="135"/>
      <c r="V709" s="175"/>
    </row>
    <row r="710">
      <c r="F710" s="173"/>
      <c r="G710" s="173"/>
      <c r="H710" s="173"/>
      <c r="I710" s="174"/>
      <c r="L710" s="175"/>
      <c r="M710" s="175"/>
      <c r="P710" s="178"/>
      <c r="Q710" s="179"/>
      <c r="R710" s="175"/>
      <c r="U710" s="135"/>
      <c r="V710" s="175"/>
    </row>
    <row r="711">
      <c r="F711" s="173"/>
      <c r="G711" s="173"/>
      <c r="H711" s="173"/>
      <c r="I711" s="174"/>
      <c r="L711" s="175"/>
      <c r="M711" s="175"/>
      <c r="P711" s="178"/>
      <c r="Q711" s="179"/>
      <c r="R711" s="175"/>
      <c r="U711" s="135"/>
      <c r="V711" s="175"/>
    </row>
    <row r="712">
      <c r="F712" s="173"/>
      <c r="G712" s="173"/>
      <c r="H712" s="173"/>
      <c r="I712" s="174"/>
      <c r="L712" s="175"/>
      <c r="M712" s="175"/>
      <c r="P712" s="178"/>
      <c r="Q712" s="179"/>
      <c r="R712" s="175"/>
      <c r="U712" s="135"/>
      <c r="V712" s="175"/>
    </row>
    <row r="713">
      <c r="F713" s="173"/>
      <c r="G713" s="173"/>
      <c r="H713" s="173"/>
      <c r="I713" s="174"/>
      <c r="L713" s="175"/>
      <c r="M713" s="175"/>
      <c r="P713" s="178"/>
      <c r="Q713" s="179"/>
      <c r="R713" s="175"/>
      <c r="U713" s="135"/>
      <c r="V713" s="175"/>
    </row>
    <row r="714">
      <c r="F714" s="173"/>
      <c r="G714" s="173"/>
      <c r="H714" s="173"/>
      <c r="I714" s="174"/>
      <c r="L714" s="175"/>
      <c r="M714" s="175"/>
      <c r="P714" s="178"/>
      <c r="Q714" s="179"/>
      <c r="R714" s="175"/>
      <c r="U714" s="135"/>
      <c r="V714" s="175"/>
    </row>
    <row r="715">
      <c r="F715" s="173"/>
      <c r="G715" s="173"/>
      <c r="H715" s="173"/>
      <c r="I715" s="174"/>
      <c r="L715" s="175"/>
      <c r="M715" s="175"/>
      <c r="P715" s="178"/>
      <c r="Q715" s="179"/>
      <c r="R715" s="175"/>
      <c r="U715" s="135"/>
      <c r="V715" s="175"/>
    </row>
    <row r="716">
      <c r="F716" s="173"/>
      <c r="G716" s="173"/>
      <c r="H716" s="173"/>
      <c r="I716" s="174"/>
      <c r="L716" s="175"/>
      <c r="M716" s="175"/>
      <c r="P716" s="178"/>
      <c r="Q716" s="179"/>
      <c r="R716" s="175"/>
      <c r="U716" s="135"/>
      <c r="V716" s="175"/>
    </row>
    <row r="717">
      <c r="F717" s="173"/>
      <c r="G717" s="173"/>
      <c r="H717" s="173"/>
      <c r="I717" s="174"/>
      <c r="L717" s="175"/>
      <c r="M717" s="175"/>
      <c r="P717" s="178"/>
      <c r="Q717" s="179"/>
      <c r="R717" s="175"/>
      <c r="U717" s="135"/>
      <c r="V717" s="175"/>
    </row>
    <row r="718">
      <c r="F718" s="173"/>
      <c r="G718" s="173"/>
      <c r="H718" s="173"/>
      <c r="I718" s="174"/>
      <c r="L718" s="175"/>
      <c r="M718" s="175"/>
      <c r="P718" s="178"/>
      <c r="Q718" s="179"/>
      <c r="R718" s="175"/>
      <c r="U718" s="135"/>
      <c r="V718" s="175"/>
    </row>
    <row r="719">
      <c r="F719" s="173"/>
      <c r="G719" s="173"/>
      <c r="H719" s="173"/>
      <c r="I719" s="174"/>
      <c r="L719" s="175"/>
      <c r="M719" s="175"/>
      <c r="P719" s="178"/>
      <c r="Q719" s="179"/>
      <c r="R719" s="175"/>
      <c r="U719" s="135"/>
      <c r="V719" s="175"/>
    </row>
    <row r="720">
      <c r="F720" s="173"/>
      <c r="G720" s="173"/>
      <c r="H720" s="173"/>
      <c r="I720" s="174"/>
      <c r="L720" s="175"/>
      <c r="M720" s="175"/>
      <c r="P720" s="178"/>
      <c r="Q720" s="179"/>
      <c r="R720" s="175"/>
      <c r="U720" s="135"/>
      <c r="V720" s="175"/>
    </row>
    <row r="721">
      <c r="F721" s="173"/>
      <c r="G721" s="173"/>
      <c r="H721" s="173"/>
      <c r="I721" s="174"/>
      <c r="L721" s="175"/>
      <c r="M721" s="175"/>
      <c r="P721" s="178"/>
      <c r="Q721" s="179"/>
      <c r="R721" s="175"/>
      <c r="U721" s="135"/>
      <c r="V721" s="175"/>
    </row>
    <row r="722">
      <c r="F722" s="173"/>
      <c r="G722" s="173"/>
      <c r="H722" s="173"/>
      <c r="I722" s="174"/>
      <c r="L722" s="175"/>
      <c r="M722" s="175"/>
      <c r="P722" s="178"/>
      <c r="Q722" s="179"/>
      <c r="R722" s="175"/>
      <c r="U722" s="135"/>
      <c r="V722" s="175"/>
    </row>
    <row r="723">
      <c r="F723" s="173"/>
      <c r="G723" s="173"/>
      <c r="H723" s="173"/>
      <c r="I723" s="174"/>
      <c r="L723" s="175"/>
      <c r="M723" s="175"/>
      <c r="P723" s="178"/>
      <c r="Q723" s="179"/>
      <c r="R723" s="175"/>
      <c r="U723" s="135"/>
      <c r="V723" s="175"/>
    </row>
    <row r="724">
      <c r="F724" s="173"/>
      <c r="G724" s="173"/>
      <c r="H724" s="173"/>
      <c r="I724" s="174"/>
      <c r="L724" s="175"/>
      <c r="M724" s="175"/>
      <c r="P724" s="178"/>
      <c r="Q724" s="179"/>
      <c r="R724" s="175"/>
      <c r="U724" s="135"/>
      <c r="V724" s="175"/>
    </row>
    <row r="725">
      <c r="F725" s="173"/>
      <c r="G725" s="173"/>
      <c r="H725" s="173"/>
      <c r="I725" s="174"/>
      <c r="L725" s="175"/>
      <c r="M725" s="175"/>
      <c r="P725" s="178"/>
      <c r="Q725" s="179"/>
      <c r="R725" s="175"/>
      <c r="U725" s="135"/>
      <c r="V725" s="175"/>
    </row>
    <row r="726">
      <c r="F726" s="173"/>
      <c r="G726" s="173"/>
      <c r="H726" s="173"/>
      <c r="I726" s="174"/>
      <c r="L726" s="175"/>
      <c r="M726" s="175"/>
      <c r="P726" s="178"/>
      <c r="Q726" s="179"/>
      <c r="R726" s="175"/>
      <c r="U726" s="135"/>
      <c r="V726" s="175"/>
    </row>
    <row r="727">
      <c r="F727" s="173"/>
      <c r="G727" s="173"/>
      <c r="H727" s="173"/>
      <c r="I727" s="174"/>
      <c r="L727" s="175"/>
      <c r="M727" s="175"/>
      <c r="P727" s="178"/>
      <c r="Q727" s="179"/>
      <c r="R727" s="175"/>
      <c r="U727" s="135"/>
      <c r="V727" s="175"/>
    </row>
    <row r="728">
      <c r="F728" s="173"/>
      <c r="G728" s="173"/>
      <c r="H728" s="173"/>
      <c r="I728" s="174"/>
      <c r="L728" s="175"/>
      <c r="M728" s="175"/>
      <c r="P728" s="178"/>
      <c r="Q728" s="179"/>
      <c r="R728" s="175"/>
      <c r="U728" s="135"/>
      <c r="V728" s="175"/>
    </row>
    <row r="729">
      <c r="F729" s="173"/>
      <c r="G729" s="173"/>
      <c r="H729" s="173"/>
      <c r="I729" s="174"/>
      <c r="L729" s="175"/>
      <c r="M729" s="175"/>
      <c r="P729" s="178"/>
      <c r="Q729" s="179"/>
      <c r="R729" s="175"/>
      <c r="U729" s="135"/>
      <c r="V729" s="175"/>
    </row>
    <row r="730">
      <c r="F730" s="173"/>
      <c r="G730" s="173"/>
      <c r="H730" s="173"/>
      <c r="I730" s="174"/>
      <c r="L730" s="175"/>
      <c r="M730" s="175"/>
      <c r="P730" s="178"/>
      <c r="Q730" s="179"/>
      <c r="R730" s="175"/>
      <c r="U730" s="135"/>
      <c r="V730" s="175"/>
    </row>
    <row r="731">
      <c r="F731" s="173"/>
      <c r="G731" s="173"/>
      <c r="H731" s="173"/>
      <c r="I731" s="174"/>
      <c r="L731" s="175"/>
      <c r="M731" s="175"/>
      <c r="P731" s="178"/>
      <c r="Q731" s="179"/>
      <c r="R731" s="175"/>
      <c r="U731" s="135"/>
      <c r="V731" s="175"/>
    </row>
    <row r="732">
      <c r="F732" s="173"/>
      <c r="G732" s="173"/>
      <c r="H732" s="173"/>
      <c r="I732" s="174"/>
      <c r="L732" s="175"/>
      <c r="M732" s="175"/>
      <c r="P732" s="178"/>
      <c r="Q732" s="179"/>
      <c r="R732" s="175"/>
      <c r="U732" s="135"/>
      <c r="V732" s="175"/>
    </row>
    <row r="733">
      <c r="F733" s="173"/>
      <c r="G733" s="173"/>
      <c r="H733" s="173"/>
      <c r="I733" s="174"/>
      <c r="L733" s="175"/>
      <c r="M733" s="175"/>
      <c r="P733" s="178"/>
      <c r="Q733" s="179"/>
      <c r="R733" s="175"/>
      <c r="U733" s="135"/>
      <c r="V733" s="175"/>
    </row>
    <row r="734">
      <c r="F734" s="173"/>
      <c r="G734" s="173"/>
      <c r="H734" s="173"/>
      <c r="I734" s="174"/>
      <c r="L734" s="175"/>
      <c r="M734" s="175"/>
      <c r="P734" s="178"/>
      <c r="Q734" s="179"/>
      <c r="R734" s="175"/>
      <c r="U734" s="135"/>
      <c r="V734" s="175"/>
    </row>
    <row r="735">
      <c r="F735" s="173"/>
      <c r="G735" s="173"/>
      <c r="H735" s="173"/>
      <c r="I735" s="174"/>
      <c r="L735" s="175"/>
      <c r="M735" s="175"/>
      <c r="P735" s="178"/>
      <c r="Q735" s="179"/>
      <c r="R735" s="175"/>
      <c r="U735" s="135"/>
      <c r="V735" s="175"/>
    </row>
    <row r="736">
      <c r="F736" s="173"/>
      <c r="G736" s="173"/>
      <c r="H736" s="173"/>
      <c r="I736" s="174"/>
      <c r="L736" s="175"/>
      <c r="M736" s="175"/>
      <c r="P736" s="178"/>
      <c r="Q736" s="179"/>
      <c r="R736" s="175"/>
      <c r="U736" s="135"/>
      <c r="V736" s="175"/>
    </row>
    <row r="737">
      <c r="F737" s="173"/>
      <c r="G737" s="173"/>
      <c r="H737" s="173"/>
      <c r="I737" s="174"/>
      <c r="L737" s="175"/>
      <c r="M737" s="175"/>
      <c r="P737" s="178"/>
      <c r="Q737" s="179"/>
      <c r="R737" s="175"/>
      <c r="U737" s="135"/>
      <c r="V737" s="175"/>
    </row>
    <row r="738">
      <c r="F738" s="173"/>
      <c r="G738" s="173"/>
      <c r="H738" s="173"/>
      <c r="I738" s="174"/>
      <c r="L738" s="175"/>
      <c r="M738" s="175"/>
      <c r="P738" s="178"/>
      <c r="Q738" s="179"/>
      <c r="R738" s="175"/>
      <c r="U738" s="135"/>
      <c r="V738" s="175"/>
    </row>
    <row r="739">
      <c r="F739" s="173"/>
      <c r="G739" s="173"/>
      <c r="H739" s="173"/>
      <c r="I739" s="174"/>
      <c r="L739" s="175"/>
      <c r="M739" s="175"/>
      <c r="P739" s="178"/>
      <c r="Q739" s="179"/>
      <c r="R739" s="175"/>
      <c r="U739" s="135"/>
      <c r="V739" s="175"/>
    </row>
    <row r="740">
      <c r="F740" s="173"/>
      <c r="G740" s="173"/>
      <c r="H740" s="173"/>
      <c r="I740" s="174"/>
      <c r="L740" s="175"/>
      <c r="M740" s="175"/>
      <c r="P740" s="178"/>
      <c r="Q740" s="179"/>
      <c r="R740" s="175"/>
      <c r="U740" s="135"/>
      <c r="V740" s="175"/>
    </row>
    <row r="741">
      <c r="F741" s="173"/>
      <c r="G741" s="173"/>
      <c r="H741" s="173"/>
      <c r="I741" s="174"/>
      <c r="L741" s="175"/>
      <c r="M741" s="175"/>
      <c r="P741" s="178"/>
      <c r="Q741" s="179"/>
      <c r="R741" s="175"/>
      <c r="U741" s="135"/>
      <c r="V741" s="175"/>
    </row>
    <row r="742">
      <c r="F742" s="173"/>
      <c r="G742" s="173"/>
      <c r="H742" s="173"/>
      <c r="I742" s="174"/>
      <c r="L742" s="175"/>
      <c r="M742" s="175"/>
      <c r="P742" s="178"/>
      <c r="Q742" s="179"/>
      <c r="R742" s="175"/>
      <c r="U742" s="135"/>
      <c r="V742" s="175"/>
    </row>
    <row r="743">
      <c r="F743" s="173"/>
      <c r="G743" s="173"/>
      <c r="H743" s="173"/>
      <c r="I743" s="174"/>
      <c r="L743" s="175"/>
      <c r="M743" s="175"/>
      <c r="P743" s="178"/>
      <c r="Q743" s="179"/>
      <c r="R743" s="175"/>
      <c r="U743" s="135"/>
      <c r="V743" s="175"/>
    </row>
    <row r="744">
      <c r="F744" s="173"/>
      <c r="G744" s="173"/>
      <c r="H744" s="173"/>
      <c r="I744" s="174"/>
      <c r="L744" s="175"/>
      <c r="M744" s="175"/>
      <c r="P744" s="178"/>
      <c r="Q744" s="179"/>
      <c r="R744" s="175"/>
      <c r="U744" s="135"/>
      <c r="V744" s="175"/>
    </row>
    <row r="745">
      <c r="F745" s="173"/>
      <c r="G745" s="173"/>
      <c r="H745" s="173"/>
      <c r="I745" s="174"/>
      <c r="L745" s="175"/>
      <c r="M745" s="175"/>
      <c r="P745" s="178"/>
      <c r="Q745" s="179"/>
      <c r="R745" s="175"/>
      <c r="U745" s="135"/>
      <c r="V745" s="175"/>
    </row>
    <row r="746">
      <c r="F746" s="173"/>
      <c r="G746" s="173"/>
      <c r="H746" s="173"/>
      <c r="I746" s="174"/>
      <c r="L746" s="175"/>
      <c r="M746" s="175"/>
      <c r="P746" s="178"/>
      <c r="Q746" s="179"/>
      <c r="R746" s="175"/>
      <c r="U746" s="135"/>
      <c r="V746" s="175"/>
    </row>
    <row r="747">
      <c r="F747" s="173"/>
      <c r="G747" s="173"/>
      <c r="H747" s="173"/>
      <c r="I747" s="174"/>
      <c r="L747" s="175"/>
      <c r="M747" s="175"/>
      <c r="P747" s="178"/>
      <c r="Q747" s="179"/>
      <c r="R747" s="175"/>
      <c r="U747" s="135"/>
      <c r="V747" s="175"/>
    </row>
    <row r="748">
      <c r="F748" s="173"/>
      <c r="G748" s="173"/>
      <c r="H748" s="173"/>
      <c r="I748" s="174"/>
      <c r="L748" s="175"/>
      <c r="M748" s="175"/>
      <c r="P748" s="178"/>
      <c r="Q748" s="179"/>
      <c r="R748" s="175"/>
      <c r="U748" s="135"/>
      <c r="V748" s="175"/>
    </row>
    <row r="749">
      <c r="F749" s="173"/>
      <c r="G749" s="173"/>
      <c r="H749" s="173"/>
      <c r="I749" s="174"/>
      <c r="L749" s="175"/>
      <c r="M749" s="175"/>
      <c r="P749" s="178"/>
      <c r="Q749" s="179"/>
      <c r="R749" s="175"/>
      <c r="U749" s="135"/>
      <c r="V749" s="175"/>
    </row>
    <row r="750">
      <c r="F750" s="173"/>
      <c r="G750" s="173"/>
      <c r="H750" s="173"/>
      <c r="I750" s="174"/>
      <c r="L750" s="175"/>
      <c r="M750" s="175"/>
      <c r="P750" s="178"/>
      <c r="Q750" s="179"/>
      <c r="R750" s="175"/>
      <c r="U750" s="135"/>
      <c r="V750" s="175"/>
    </row>
    <row r="751">
      <c r="F751" s="173"/>
      <c r="G751" s="173"/>
      <c r="H751" s="173"/>
      <c r="I751" s="174"/>
      <c r="L751" s="175"/>
      <c r="M751" s="175"/>
      <c r="P751" s="178"/>
      <c r="Q751" s="179"/>
      <c r="R751" s="175"/>
      <c r="U751" s="135"/>
      <c r="V751" s="175"/>
    </row>
    <row r="752">
      <c r="F752" s="173"/>
      <c r="G752" s="173"/>
      <c r="H752" s="173"/>
      <c r="I752" s="174"/>
      <c r="L752" s="175"/>
      <c r="M752" s="175"/>
      <c r="P752" s="178"/>
      <c r="Q752" s="179"/>
      <c r="R752" s="175"/>
      <c r="U752" s="135"/>
      <c r="V752" s="175"/>
    </row>
    <row r="753">
      <c r="F753" s="173"/>
      <c r="G753" s="173"/>
      <c r="H753" s="173"/>
      <c r="I753" s="174"/>
      <c r="L753" s="175"/>
      <c r="M753" s="175"/>
      <c r="P753" s="178"/>
      <c r="Q753" s="179"/>
      <c r="R753" s="175"/>
      <c r="U753" s="135"/>
      <c r="V753" s="175"/>
    </row>
    <row r="754">
      <c r="F754" s="173"/>
      <c r="G754" s="173"/>
      <c r="H754" s="173"/>
      <c r="I754" s="174"/>
      <c r="L754" s="175"/>
      <c r="M754" s="175"/>
      <c r="P754" s="178"/>
      <c r="Q754" s="179"/>
      <c r="R754" s="175"/>
      <c r="U754" s="135"/>
      <c r="V754" s="175"/>
    </row>
    <row r="755">
      <c r="F755" s="173"/>
      <c r="G755" s="173"/>
      <c r="H755" s="173"/>
      <c r="I755" s="174"/>
      <c r="L755" s="175"/>
      <c r="M755" s="175"/>
      <c r="P755" s="178"/>
      <c r="Q755" s="179"/>
      <c r="R755" s="175"/>
      <c r="U755" s="135"/>
      <c r="V755" s="175"/>
    </row>
    <row r="756">
      <c r="F756" s="173"/>
      <c r="G756" s="173"/>
      <c r="H756" s="173"/>
      <c r="I756" s="174"/>
      <c r="L756" s="175"/>
      <c r="M756" s="175"/>
      <c r="P756" s="178"/>
      <c r="Q756" s="179"/>
      <c r="R756" s="175"/>
      <c r="U756" s="135"/>
      <c r="V756" s="175"/>
    </row>
    <row r="757">
      <c r="F757" s="173"/>
      <c r="G757" s="173"/>
      <c r="H757" s="173"/>
      <c r="I757" s="174"/>
      <c r="L757" s="175"/>
      <c r="M757" s="175"/>
      <c r="P757" s="178"/>
      <c r="Q757" s="179"/>
      <c r="R757" s="175"/>
      <c r="U757" s="135"/>
      <c r="V757" s="175"/>
    </row>
    <row r="758">
      <c r="F758" s="173"/>
      <c r="G758" s="173"/>
      <c r="H758" s="173"/>
      <c r="I758" s="174"/>
      <c r="L758" s="175"/>
      <c r="M758" s="175"/>
      <c r="P758" s="178"/>
      <c r="Q758" s="179"/>
      <c r="R758" s="175"/>
      <c r="U758" s="135"/>
      <c r="V758" s="175"/>
    </row>
    <row r="759">
      <c r="F759" s="173"/>
      <c r="G759" s="173"/>
      <c r="H759" s="173"/>
      <c r="I759" s="174"/>
      <c r="L759" s="175"/>
      <c r="M759" s="175"/>
      <c r="P759" s="178"/>
      <c r="Q759" s="179"/>
      <c r="R759" s="175"/>
      <c r="U759" s="135"/>
      <c r="V759" s="175"/>
    </row>
    <row r="760">
      <c r="F760" s="173"/>
      <c r="G760" s="173"/>
      <c r="H760" s="173"/>
      <c r="I760" s="174"/>
      <c r="L760" s="175"/>
      <c r="M760" s="175"/>
      <c r="P760" s="178"/>
      <c r="Q760" s="179"/>
      <c r="R760" s="175"/>
      <c r="U760" s="135"/>
      <c r="V760" s="175"/>
    </row>
    <row r="761">
      <c r="F761" s="173"/>
      <c r="G761" s="173"/>
      <c r="H761" s="173"/>
      <c r="I761" s="174"/>
      <c r="L761" s="175"/>
      <c r="M761" s="175"/>
      <c r="P761" s="178"/>
      <c r="Q761" s="179"/>
      <c r="R761" s="175"/>
      <c r="U761" s="135"/>
      <c r="V761" s="175"/>
    </row>
    <row r="762">
      <c r="F762" s="173"/>
      <c r="G762" s="173"/>
      <c r="H762" s="173"/>
      <c r="I762" s="174"/>
      <c r="L762" s="175"/>
      <c r="M762" s="175"/>
      <c r="P762" s="178"/>
      <c r="Q762" s="179"/>
      <c r="R762" s="175"/>
      <c r="U762" s="135"/>
      <c r="V762" s="175"/>
    </row>
    <row r="763">
      <c r="F763" s="173"/>
      <c r="G763" s="173"/>
      <c r="H763" s="173"/>
      <c r="I763" s="174"/>
      <c r="L763" s="175"/>
      <c r="M763" s="175"/>
      <c r="P763" s="178"/>
      <c r="Q763" s="179"/>
      <c r="R763" s="175"/>
      <c r="U763" s="135"/>
      <c r="V763" s="175"/>
    </row>
    <row r="764">
      <c r="F764" s="173"/>
      <c r="G764" s="173"/>
      <c r="H764" s="173"/>
      <c r="I764" s="174"/>
      <c r="L764" s="175"/>
      <c r="M764" s="175"/>
      <c r="P764" s="178"/>
      <c r="Q764" s="179"/>
      <c r="R764" s="175"/>
      <c r="U764" s="135"/>
      <c r="V764" s="175"/>
    </row>
    <row r="765">
      <c r="F765" s="173"/>
      <c r="G765" s="173"/>
      <c r="H765" s="173"/>
      <c r="I765" s="174"/>
      <c r="L765" s="175"/>
      <c r="M765" s="175"/>
      <c r="P765" s="178"/>
      <c r="Q765" s="179"/>
      <c r="R765" s="175"/>
      <c r="U765" s="135"/>
      <c r="V765" s="175"/>
    </row>
    <row r="766">
      <c r="F766" s="173"/>
      <c r="G766" s="173"/>
      <c r="H766" s="173"/>
      <c r="I766" s="174"/>
      <c r="L766" s="175"/>
      <c r="M766" s="175"/>
      <c r="P766" s="178"/>
      <c r="Q766" s="179"/>
      <c r="R766" s="175"/>
      <c r="U766" s="135"/>
      <c r="V766" s="175"/>
    </row>
    <row r="767">
      <c r="F767" s="173"/>
      <c r="G767" s="173"/>
      <c r="H767" s="173"/>
      <c r="I767" s="174"/>
      <c r="L767" s="175"/>
      <c r="M767" s="175"/>
      <c r="P767" s="178"/>
      <c r="Q767" s="179"/>
      <c r="R767" s="175"/>
      <c r="U767" s="135"/>
      <c r="V767" s="175"/>
    </row>
    <row r="768">
      <c r="F768" s="173"/>
      <c r="G768" s="173"/>
      <c r="H768" s="173"/>
      <c r="I768" s="174"/>
      <c r="L768" s="175"/>
      <c r="M768" s="175"/>
      <c r="P768" s="178"/>
      <c r="Q768" s="179"/>
      <c r="R768" s="175"/>
      <c r="U768" s="135"/>
      <c r="V768" s="175"/>
    </row>
    <row r="769">
      <c r="F769" s="173"/>
      <c r="G769" s="173"/>
      <c r="H769" s="173"/>
      <c r="I769" s="174"/>
      <c r="L769" s="175"/>
      <c r="M769" s="175"/>
      <c r="P769" s="178"/>
      <c r="Q769" s="179"/>
      <c r="R769" s="175"/>
      <c r="U769" s="135"/>
      <c r="V769" s="175"/>
    </row>
    <row r="770">
      <c r="F770" s="173"/>
      <c r="G770" s="173"/>
      <c r="H770" s="173"/>
      <c r="I770" s="174"/>
      <c r="L770" s="175"/>
      <c r="M770" s="175"/>
      <c r="P770" s="178"/>
      <c r="Q770" s="179"/>
      <c r="R770" s="175"/>
      <c r="U770" s="135"/>
      <c r="V770" s="175"/>
    </row>
    <row r="771">
      <c r="F771" s="173"/>
      <c r="G771" s="173"/>
      <c r="H771" s="173"/>
      <c r="I771" s="174"/>
      <c r="L771" s="175"/>
      <c r="M771" s="175"/>
      <c r="P771" s="178"/>
      <c r="Q771" s="179"/>
      <c r="R771" s="175"/>
      <c r="U771" s="135"/>
      <c r="V771" s="175"/>
    </row>
    <row r="772">
      <c r="F772" s="173"/>
      <c r="G772" s="173"/>
      <c r="H772" s="173"/>
      <c r="I772" s="174"/>
      <c r="L772" s="175"/>
      <c r="M772" s="175"/>
      <c r="P772" s="178"/>
      <c r="Q772" s="179"/>
      <c r="R772" s="175"/>
      <c r="U772" s="135"/>
      <c r="V772" s="175"/>
    </row>
    <row r="773">
      <c r="F773" s="173"/>
      <c r="G773" s="173"/>
      <c r="H773" s="173"/>
      <c r="I773" s="174"/>
      <c r="L773" s="175"/>
      <c r="M773" s="175"/>
      <c r="P773" s="178"/>
      <c r="Q773" s="179"/>
      <c r="R773" s="175"/>
      <c r="U773" s="135"/>
      <c r="V773" s="175"/>
    </row>
    <row r="774">
      <c r="F774" s="173"/>
      <c r="G774" s="173"/>
      <c r="H774" s="173"/>
      <c r="I774" s="174"/>
      <c r="L774" s="175"/>
      <c r="M774" s="175"/>
      <c r="P774" s="178"/>
      <c r="Q774" s="179"/>
      <c r="R774" s="175"/>
      <c r="U774" s="135"/>
      <c r="V774" s="175"/>
    </row>
    <row r="775">
      <c r="F775" s="173"/>
      <c r="G775" s="173"/>
      <c r="H775" s="173"/>
      <c r="I775" s="174"/>
      <c r="L775" s="175"/>
      <c r="M775" s="175"/>
      <c r="P775" s="178"/>
      <c r="Q775" s="179"/>
      <c r="R775" s="175"/>
      <c r="U775" s="135"/>
      <c r="V775" s="175"/>
    </row>
    <row r="776">
      <c r="F776" s="173"/>
      <c r="G776" s="173"/>
      <c r="H776" s="173"/>
      <c r="I776" s="174"/>
      <c r="L776" s="175"/>
      <c r="M776" s="175"/>
      <c r="P776" s="178"/>
      <c r="Q776" s="179"/>
      <c r="R776" s="175"/>
      <c r="U776" s="135"/>
      <c r="V776" s="175"/>
    </row>
    <row r="777">
      <c r="F777" s="173"/>
      <c r="G777" s="173"/>
      <c r="H777" s="173"/>
      <c r="I777" s="174"/>
      <c r="L777" s="175"/>
      <c r="M777" s="175"/>
      <c r="P777" s="178"/>
      <c r="Q777" s="179"/>
      <c r="R777" s="175"/>
      <c r="U777" s="135"/>
      <c r="V777" s="175"/>
    </row>
    <row r="778">
      <c r="F778" s="173"/>
      <c r="G778" s="173"/>
      <c r="H778" s="173"/>
      <c r="I778" s="174"/>
      <c r="L778" s="175"/>
      <c r="M778" s="175"/>
      <c r="P778" s="178"/>
      <c r="Q778" s="179"/>
      <c r="R778" s="175"/>
      <c r="U778" s="135"/>
      <c r="V778" s="175"/>
    </row>
    <row r="779">
      <c r="F779" s="173"/>
      <c r="G779" s="173"/>
      <c r="H779" s="173"/>
      <c r="I779" s="174"/>
      <c r="L779" s="175"/>
      <c r="M779" s="175"/>
      <c r="P779" s="178"/>
      <c r="Q779" s="179"/>
      <c r="R779" s="175"/>
      <c r="U779" s="135"/>
      <c r="V779" s="175"/>
    </row>
    <row r="780">
      <c r="F780" s="173"/>
      <c r="G780" s="173"/>
      <c r="H780" s="173"/>
      <c r="I780" s="174"/>
      <c r="L780" s="175"/>
      <c r="M780" s="175"/>
      <c r="P780" s="178"/>
      <c r="Q780" s="179"/>
      <c r="R780" s="175"/>
      <c r="U780" s="135"/>
      <c r="V780" s="175"/>
    </row>
    <row r="781">
      <c r="F781" s="173"/>
      <c r="G781" s="173"/>
      <c r="H781" s="173"/>
      <c r="I781" s="174"/>
      <c r="L781" s="175"/>
      <c r="M781" s="175"/>
      <c r="P781" s="178"/>
      <c r="Q781" s="179"/>
      <c r="R781" s="175"/>
      <c r="U781" s="135"/>
      <c r="V781" s="175"/>
    </row>
    <row r="782">
      <c r="F782" s="173"/>
      <c r="G782" s="173"/>
      <c r="H782" s="173"/>
      <c r="I782" s="174"/>
      <c r="L782" s="175"/>
      <c r="M782" s="175"/>
      <c r="P782" s="178"/>
      <c r="Q782" s="179"/>
      <c r="R782" s="175"/>
      <c r="U782" s="135"/>
      <c r="V782" s="175"/>
    </row>
    <row r="783">
      <c r="F783" s="173"/>
      <c r="G783" s="173"/>
      <c r="H783" s="173"/>
      <c r="I783" s="174"/>
      <c r="L783" s="175"/>
      <c r="M783" s="175"/>
      <c r="P783" s="178"/>
      <c r="Q783" s="179"/>
      <c r="R783" s="175"/>
      <c r="U783" s="135"/>
      <c r="V783" s="175"/>
    </row>
    <row r="784">
      <c r="F784" s="173"/>
      <c r="G784" s="173"/>
      <c r="H784" s="173"/>
      <c r="I784" s="174"/>
      <c r="L784" s="175"/>
      <c r="M784" s="175"/>
      <c r="P784" s="178"/>
      <c r="Q784" s="179"/>
      <c r="R784" s="175"/>
      <c r="U784" s="135"/>
      <c r="V784" s="175"/>
    </row>
    <row r="785">
      <c r="F785" s="173"/>
      <c r="G785" s="173"/>
      <c r="H785" s="173"/>
      <c r="I785" s="174"/>
      <c r="L785" s="175"/>
      <c r="M785" s="175"/>
      <c r="P785" s="178"/>
      <c r="Q785" s="179"/>
      <c r="R785" s="175"/>
      <c r="U785" s="135"/>
      <c r="V785" s="175"/>
    </row>
    <row r="786">
      <c r="F786" s="173"/>
      <c r="G786" s="173"/>
      <c r="H786" s="173"/>
      <c r="I786" s="174"/>
      <c r="L786" s="175"/>
      <c r="M786" s="175"/>
      <c r="P786" s="178"/>
      <c r="Q786" s="179"/>
      <c r="R786" s="175"/>
      <c r="U786" s="135"/>
      <c r="V786" s="175"/>
    </row>
    <row r="787">
      <c r="F787" s="173"/>
      <c r="G787" s="173"/>
      <c r="H787" s="173"/>
      <c r="I787" s="174"/>
      <c r="L787" s="175"/>
      <c r="M787" s="175"/>
      <c r="P787" s="178"/>
      <c r="Q787" s="179"/>
      <c r="R787" s="175"/>
      <c r="U787" s="135"/>
      <c r="V787" s="175"/>
    </row>
    <row r="788">
      <c r="F788" s="173"/>
      <c r="G788" s="173"/>
      <c r="H788" s="173"/>
      <c r="I788" s="174"/>
      <c r="L788" s="175"/>
      <c r="M788" s="175"/>
      <c r="P788" s="178"/>
      <c r="Q788" s="179"/>
      <c r="R788" s="175"/>
      <c r="U788" s="135"/>
      <c r="V788" s="175"/>
    </row>
    <row r="789">
      <c r="F789" s="173"/>
      <c r="G789" s="173"/>
      <c r="H789" s="173"/>
      <c r="I789" s="174"/>
      <c r="L789" s="175"/>
      <c r="M789" s="175"/>
      <c r="P789" s="178"/>
      <c r="Q789" s="179"/>
      <c r="R789" s="175"/>
      <c r="U789" s="135"/>
      <c r="V789" s="175"/>
    </row>
    <row r="790">
      <c r="F790" s="173"/>
      <c r="G790" s="173"/>
      <c r="H790" s="173"/>
      <c r="I790" s="174"/>
      <c r="L790" s="175"/>
      <c r="M790" s="175"/>
      <c r="P790" s="178"/>
      <c r="Q790" s="179"/>
      <c r="R790" s="175"/>
      <c r="U790" s="135"/>
      <c r="V790" s="175"/>
    </row>
    <row r="791">
      <c r="F791" s="173"/>
      <c r="G791" s="173"/>
      <c r="H791" s="173"/>
      <c r="I791" s="174"/>
      <c r="L791" s="175"/>
      <c r="M791" s="175"/>
      <c r="P791" s="178"/>
      <c r="Q791" s="179"/>
      <c r="R791" s="175"/>
      <c r="U791" s="135"/>
      <c r="V791" s="175"/>
    </row>
    <row r="792">
      <c r="F792" s="173"/>
      <c r="G792" s="173"/>
      <c r="H792" s="173"/>
      <c r="I792" s="174"/>
      <c r="L792" s="175"/>
      <c r="M792" s="175"/>
      <c r="P792" s="178"/>
      <c r="Q792" s="179"/>
      <c r="R792" s="175"/>
      <c r="U792" s="135"/>
      <c r="V792" s="175"/>
    </row>
    <row r="793">
      <c r="F793" s="173"/>
      <c r="G793" s="173"/>
      <c r="H793" s="173"/>
      <c r="I793" s="174"/>
      <c r="L793" s="175"/>
      <c r="M793" s="175"/>
      <c r="P793" s="178"/>
      <c r="Q793" s="179"/>
      <c r="R793" s="175"/>
      <c r="U793" s="135"/>
      <c r="V793" s="175"/>
    </row>
    <row r="794">
      <c r="F794" s="173"/>
      <c r="G794" s="173"/>
      <c r="H794" s="173"/>
      <c r="I794" s="174"/>
      <c r="L794" s="175"/>
      <c r="M794" s="175"/>
      <c r="P794" s="178"/>
      <c r="Q794" s="179"/>
      <c r="R794" s="175"/>
      <c r="U794" s="135"/>
      <c r="V794" s="175"/>
    </row>
    <row r="795">
      <c r="F795" s="173"/>
      <c r="G795" s="173"/>
      <c r="H795" s="173"/>
      <c r="I795" s="174"/>
      <c r="L795" s="175"/>
      <c r="M795" s="175"/>
      <c r="P795" s="178"/>
      <c r="Q795" s="179"/>
      <c r="R795" s="175"/>
      <c r="U795" s="135"/>
      <c r="V795" s="175"/>
    </row>
    <row r="796">
      <c r="F796" s="173"/>
      <c r="G796" s="173"/>
      <c r="H796" s="173"/>
      <c r="I796" s="174"/>
      <c r="L796" s="175"/>
      <c r="M796" s="175"/>
      <c r="P796" s="178"/>
      <c r="Q796" s="179"/>
      <c r="R796" s="175"/>
      <c r="U796" s="135"/>
      <c r="V796" s="175"/>
    </row>
    <row r="797">
      <c r="F797" s="173"/>
      <c r="G797" s="173"/>
      <c r="H797" s="173"/>
      <c r="I797" s="174"/>
      <c r="L797" s="175"/>
      <c r="M797" s="175"/>
      <c r="P797" s="178"/>
      <c r="Q797" s="179"/>
      <c r="R797" s="175"/>
      <c r="U797" s="135"/>
      <c r="V797" s="175"/>
    </row>
    <row r="798">
      <c r="F798" s="173"/>
      <c r="G798" s="173"/>
      <c r="H798" s="173"/>
      <c r="I798" s="174"/>
      <c r="L798" s="175"/>
      <c r="M798" s="175"/>
      <c r="P798" s="178"/>
      <c r="Q798" s="179"/>
      <c r="R798" s="175"/>
      <c r="U798" s="135"/>
      <c r="V798" s="175"/>
    </row>
    <row r="799">
      <c r="F799" s="173"/>
      <c r="G799" s="173"/>
      <c r="H799" s="173"/>
      <c r="I799" s="174"/>
      <c r="L799" s="175"/>
      <c r="M799" s="175"/>
      <c r="P799" s="178"/>
      <c r="Q799" s="179"/>
      <c r="R799" s="175"/>
      <c r="U799" s="135"/>
      <c r="V799" s="175"/>
    </row>
    <row r="800">
      <c r="F800" s="173"/>
      <c r="G800" s="173"/>
      <c r="H800" s="173"/>
      <c r="I800" s="174"/>
      <c r="L800" s="175"/>
      <c r="M800" s="175"/>
      <c r="P800" s="178"/>
      <c r="Q800" s="179"/>
      <c r="R800" s="175"/>
      <c r="U800" s="135"/>
      <c r="V800" s="175"/>
    </row>
    <row r="801">
      <c r="F801" s="173"/>
      <c r="G801" s="173"/>
      <c r="H801" s="173"/>
      <c r="I801" s="174"/>
      <c r="L801" s="175"/>
      <c r="M801" s="175"/>
      <c r="P801" s="178"/>
      <c r="Q801" s="179"/>
      <c r="R801" s="175"/>
      <c r="U801" s="135"/>
      <c r="V801" s="175"/>
    </row>
    <row r="802">
      <c r="F802" s="173"/>
      <c r="G802" s="173"/>
      <c r="H802" s="173"/>
      <c r="I802" s="174"/>
      <c r="L802" s="175"/>
      <c r="M802" s="175"/>
      <c r="P802" s="178"/>
      <c r="Q802" s="179"/>
      <c r="R802" s="175"/>
      <c r="U802" s="135"/>
      <c r="V802" s="175"/>
    </row>
    <row r="803">
      <c r="F803" s="173"/>
      <c r="G803" s="173"/>
      <c r="H803" s="173"/>
      <c r="I803" s="174"/>
      <c r="L803" s="175"/>
      <c r="M803" s="175"/>
      <c r="P803" s="178"/>
      <c r="Q803" s="179"/>
      <c r="R803" s="175"/>
      <c r="U803" s="135"/>
      <c r="V803" s="175"/>
    </row>
    <row r="804">
      <c r="F804" s="173"/>
      <c r="G804" s="173"/>
      <c r="H804" s="173"/>
      <c r="I804" s="174"/>
      <c r="L804" s="175"/>
      <c r="M804" s="175"/>
      <c r="P804" s="178"/>
      <c r="Q804" s="179"/>
      <c r="R804" s="175"/>
      <c r="U804" s="135"/>
      <c r="V804" s="175"/>
    </row>
    <row r="805">
      <c r="F805" s="173"/>
      <c r="G805" s="173"/>
      <c r="H805" s="173"/>
      <c r="I805" s="174"/>
      <c r="L805" s="175"/>
      <c r="M805" s="175"/>
      <c r="P805" s="178"/>
      <c r="Q805" s="179"/>
      <c r="R805" s="175"/>
      <c r="U805" s="135"/>
      <c r="V805" s="175"/>
    </row>
    <row r="806">
      <c r="F806" s="173"/>
      <c r="G806" s="173"/>
      <c r="H806" s="173"/>
      <c r="I806" s="174"/>
      <c r="L806" s="175"/>
      <c r="M806" s="175"/>
      <c r="P806" s="178"/>
      <c r="Q806" s="179"/>
      <c r="R806" s="175"/>
      <c r="U806" s="135"/>
      <c r="V806" s="175"/>
    </row>
    <row r="807">
      <c r="F807" s="173"/>
      <c r="G807" s="173"/>
      <c r="H807" s="173"/>
      <c r="I807" s="174"/>
      <c r="L807" s="175"/>
      <c r="M807" s="175"/>
      <c r="P807" s="178"/>
      <c r="Q807" s="179"/>
      <c r="R807" s="175"/>
      <c r="U807" s="135"/>
      <c r="V807" s="175"/>
    </row>
    <row r="808">
      <c r="F808" s="173"/>
      <c r="G808" s="173"/>
      <c r="H808" s="173"/>
      <c r="I808" s="174"/>
      <c r="L808" s="175"/>
      <c r="M808" s="175"/>
      <c r="P808" s="178"/>
      <c r="Q808" s="179"/>
      <c r="R808" s="175"/>
      <c r="U808" s="135"/>
      <c r="V808" s="175"/>
    </row>
    <row r="809">
      <c r="F809" s="173"/>
      <c r="G809" s="173"/>
      <c r="H809" s="173"/>
      <c r="I809" s="174"/>
      <c r="L809" s="175"/>
      <c r="M809" s="175"/>
      <c r="P809" s="178"/>
      <c r="Q809" s="179"/>
      <c r="R809" s="175"/>
      <c r="U809" s="135"/>
      <c r="V809" s="175"/>
    </row>
    <row r="810">
      <c r="F810" s="173"/>
      <c r="G810" s="173"/>
      <c r="H810" s="173"/>
      <c r="I810" s="174"/>
      <c r="L810" s="175"/>
      <c r="M810" s="175"/>
      <c r="P810" s="178"/>
      <c r="Q810" s="179"/>
      <c r="R810" s="175"/>
      <c r="U810" s="135"/>
      <c r="V810" s="175"/>
    </row>
    <row r="811">
      <c r="F811" s="173"/>
      <c r="G811" s="173"/>
      <c r="H811" s="173"/>
      <c r="I811" s="174"/>
      <c r="L811" s="175"/>
      <c r="M811" s="175"/>
      <c r="P811" s="178"/>
      <c r="Q811" s="179"/>
      <c r="R811" s="175"/>
      <c r="U811" s="135"/>
      <c r="V811" s="175"/>
    </row>
    <row r="812">
      <c r="F812" s="173"/>
      <c r="G812" s="173"/>
      <c r="H812" s="173"/>
      <c r="I812" s="174"/>
      <c r="L812" s="175"/>
      <c r="M812" s="175"/>
      <c r="P812" s="178"/>
      <c r="Q812" s="179"/>
      <c r="R812" s="175"/>
      <c r="U812" s="135"/>
      <c r="V812" s="175"/>
    </row>
    <row r="813">
      <c r="F813" s="173"/>
      <c r="G813" s="173"/>
      <c r="H813" s="173"/>
      <c r="I813" s="174"/>
      <c r="L813" s="175"/>
      <c r="M813" s="175"/>
      <c r="P813" s="178"/>
      <c r="Q813" s="179"/>
      <c r="R813" s="175"/>
      <c r="U813" s="135"/>
      <c r="V813" s="175"/>
    </row>
    <row r="814">
      <c r="F814" s="173"/>
      <c r="G814" s="173"/>
      <c r="H814" s="173"/>
      <c r="I814" s="174"/>
      <c r="L814" s="175"/>
      <c r="M814" s="175"/>
      <c r="P814" s="178"/>
      <c r="Q814" s="179"/>
      <c r="R814" s="175"/>
      <c r="U814" s="135"/>
      <c r="V814" s="175"/>
    </row>
    <row r="815">
      <c r="F815" s="173"/>
      <c r="G815" s="173"/>
      <c r="H815" s="173"/>
      <c r="I815" s="174"/>
      <c r="L815" s="175"/>
      <c r="M815" s="175"/>
      <c r="P815" s="178"/>
      <c r="Q815" s="179"/>
      <c r="R815" s="175"/>
      <c r="U815" s="135"/>
      <c r="V815" s="175"/>
    </row>
    <row r="816">
      <c r="F816" s="173"/>
      <c r="G816" s="173"/>
      <c r="H816" s="173"/>
      <c r="I816" s="174"/>
      <c r="L816" s="175"/>
      <c r="M816" s="175"/>
      <c r="P816" s="178"/>
      <c r="Q816" s="179"/>
      <c r="R816" s="175"/>
      <c r="U816" s="135"/>
      <c r="V816" s="175"/>
    </row>
    <row r="817">
      <c r="F817" s="173"/>
      <c r="G817" s="173"/>
      <c r="H817" s="173"/>
      <c r="I817" s="174"/>
      <c r="L817" s="175"/>
      <c r="M817" s="175"/>
      <c r="P817" s="178"/>
      <c r="Q817" s="179"/>
      <c r="R817" s="175"/>
      <c r="U817" s="135"/>
      <c r="V817" s="175"/>
    </row>
    <row r="818">
      <c r="F818" s="173"/>
      <c r="G818" s="173"/>
      <c r="H818" s="173"/>
      <c r="I818" s="174"/>
      <c r="L818" s="175"/>
      <c r="M818" s="175"/>
      <c r="P818" s="178"/>
      <c r="Q818" s="179"/>
      <c r="R818" s="175"/>
      <c r="U818" s="135"/>
      <c r="V818" s="175"/>
    </row>
    <row r="819">
      <c r="F819" s="173"/>
      <c r="G819" s="173"/>
      <c r="H819" s="173"/>
      <c r="I819" s="174"/>
      <c r="L819" s="175"/>
      <c r="M819" s="175"/>
      <c r="P819" s="178"/>
      <c r="Q819" s="179"/>
      <c r="R819" s="175"/>
      <c r="U819" s="135"/>
      <c r="V819" s="175"/>
    </row>
    <row r="820">
      <c r="F820" s="173"/>
      <c r="G820" s="173"/>
      <c r="H820" s="173"/>
      <c r="I820" s="174"/>
      <c r="L820" s="175"/>
      <c r="M820" s="175"/>
      <c r="P820" s="178"/>
      <c r="Q820" s="179"/>
      <c r="R820" s="175"/>
      <c r="U820" s="135"/>
      <c r="V820" s="175"/>
    </row>
    <row r="821">
      <c r="F821" s="173"/>
      <c r="G821" s="173"/>
      <c r="H821" s="173"/>
      <c r="I821" s="174"/>
      <c r="L821" s="175"/>
      <c r="M821" s="175"/>
      <c r="P821" s="178"/>
      <c r="Q821" s="179"/>
      <c r="R821" s="175"/>
      <c r="U821" s="135"/>
      <c r="V821" s="175"/>
    </row>
    <row r="822">
      <c r="F822" s="173"/>
      <c r="G822" s="173"/>
      <c r="H822" s="173"/>
      <c r="I822" s="174"/>
      <c r="L822" s="175"/>
      <c r="M822" s="175"/>
      <c r="P822" s="178"/>
      <c r="Q822" s="179"/>
      <c r="R822" s="175"/>
      <c r="U822" s="135"/>
      <c r="V822" s="175"/>
    </row>
    <row r="823">
      <c r="F823" s="173"/>
      <c r="G823" s="173"/>
      <c r="H823" s="173"/>
      <c r="I823" s="174"/>
      <c r="L823" s="175"/>
      <c r="M823" s="175"/>
      <c r="P823" s="178"/>
      <c r="Q823" s="179"/>
      <c r="R823" s="175"/>
      <c r="U823" s="135"/>
      <c r="V823" s="175"/>
    </row>
    <row r="824">
      <c r="F824" s="173"/>
      <c r="G824" s="173"/>
      <c r="H824" s="173"/>
      <c r="I824" s="174"/>
      <c r="L824" s="175"/>
      <c r="M824" s="175"/>
      <c r="P824" s="178"/>
      <c r="Q824" s="179"/>
      <c r="R824" s="175"/>
      <c r="U824" s="135"/>
      <c r="V824" s="175"/>
    </row>
    <row r="825">
      <c r="F825" s="173"/>
      <c r="G825" s="173"/>
      <c r="H825" s="173"/>
      <c r="I825" s="174"/>
      <c r="L825" s="175"/>
      <c r="M825" s="175"/>
      <c r="P825" s="178"/>
      <c r="Q825" s="179"/>
      <c r="R825" s="175"/>
      <c r="U825" s="135"/>
      <c r="V825" s="175"/>
    </row>
    <row r="826">
      <c r="F826" s="173"/>
      <c r="G826" s="173"/>
      <c r="H826" s="173"/>
      <c r="I826" s="174"/>
      <c r="L826" s="175"/>
      <c r="M826" s="175"/>
      <c r="P826" s="178"/>
      <c r="Q826" s="179"/>
      <c r="R826" s="175"/>
      <c r="U826" s="135"/>
      <c r="V826" s="175"/>
    </row>
    <row r="827">
      <c r="F827" s="173"/>
      <c r="G827" s="173"/>
      <c r="H827" s="173"/>
      <c r="I827" s="174"/>
      <c r="L827" s="175"/>
      <c r="M827" s="175"/>
      <c r="P827" s="178"/>
      <c r="Q827" s="179"/>
      <c r="R827" s="175"/>
      <c r="U827" s="135"/>
      <c r="V827" s="175"/>
    </row>
    <row r="828">
      <c r="F828" s="173"/>
      <c r="G828" s="173"/>
      <c r="H828" s="173"/>
      <c r="I828" s="174"/>
      <c r="L828" s="175"/>
      <c r="M828" s="175"/>
      <c r="P828" s="178"/>
      <c r="Q828" s="179"/>
      <c r="R828" s="175"/>
      <c r="U828" s="135"/>
      <c r="V828" s="175"/>
    </row>
    <row r="829">
      <c r="F829" s="173"/>
      <c r="G829" s="173"/>
      <c r="H829" s="173"/>
      <c r="I829" s="174"/>
      <c r="L829" s="175"/>
      <c r="M829" s="175"/>
      <c r="P829" s="178"/>
      <c r="Q829" s="179"/>
      <c r="R829" s="175"/>
      <c r="U829" s="135"/>
      <c r="V829" s="175"/>
    </row>
    <row r="830">
      <c r="F830" s="173"/>
      <c r="G830" s="173"/>
      <c r="H830" s="173"/>
      <c r="I830" s="174"/>
      <c r="L830" s="175"/>
      <c r="M830" s="175"/>
      <c r="P830" s="178"/>
      <c r="Q830" s="179"/>
      <c r="R830" s="175"/>
      <c r="U830" s="135"/>
      <c r="V830" s="175"/>
    </row>
    <row r="831">
      <c r="F831" s="173"/>
      <c r="G831" s="173"/>
      <c r="H831" s="173"/>
      <c r="I831" s="174"/>
      <c r="L831" s="175"/>
      <c r="M831" s="175"/>
      <c r="P831" s="178"/>
      <c r="Q831" s="179"/>
      <c r="R831" s="175"/>
      <c r="U831" s="135"/>
      <c r="V831" s="175"/>
    </row>
    <row r="832">
      <c r="F832" s="173"/>
      <c r="G832" s="173"/>
      <c r="H832" s="173"/>
      <c r="I832" s="174"/>
      <c r="L832" s="175"/>
      <c r="M832" s="175"/>
      <c r="P832" s="178"/>
      <c r="Q832" s="179"/>
      <c r="R832" s="175"/>
      <c r="U832" s="135"/>
      <c r="V832" s="175"/>
    </row>
    <row r="833">
      <c r="F833" s="173"/>
      <c r="G833" s="173"/>
      <c r="H833" s="173"/>
      <c r="I833" s="174"/>
      <c r="L833" s="175"/>
      <c r="M833" s="175"/>
      <c r="P833" s="178"/>
      <c r="Q833" s="179"/>
      <c r="R833" s="175"/>
      <c r="U833" s="135"/>
      <c r="V833" s="175"/>
    </row>
    <row r="834">
      <c r="F834" s="173"/>
      <c r="G834" s="173"/>
      <c r="H834" s="173"/>
      <c r="I834" s="174"/>
      <c r="L834" s="175"/>
      <c r="M834" s="175"/>
      <c r="P834" s="178"/>
      <c r="Q834" s="179"/>
      <c r="R834" s="175"/>
      <c r="U834" s="135"/>
      <c r="V834" s="175"/>
    </row>
    <row r="835">
      <c r="F835" s="173"/>
      <c r="G835" s="173"/>
      <c r="H835" s="173"/>
      <c r="I835" s="174"/>
      <c r="L835" s="175"/>
      <c r="M835" s="175"/>
      <c r="P835" s="178"/>
      <c r="Q835" s="179"/>
      <c r="R835" s="175"/>
      <c r="U835" s="135"/>
      <c r="V835" s="175"/>
    </row>
    <row r="836">
      <c r="F836" s="173"/>
      <c r="G836" s="173"/>
      <c r="H836" s="173"/>
      <c r="I836" s="174"/>
      <c r="L836" s="175"/>
      <c r="M836" s="175"/>
      <c r="P836" s="178"/>
      <c r="Q836" s="179"/>
      <c r="R836" s="175"/>
      <c r="U836" s="135"/>
      <c r="V836" s="175"/>
    </row>
    <row r="837">
      <c r="F837" s="173"/>
      <c r="G837" s="173"/>
      <c r="H837" s="173"/>
      <c r="I837" s="174"/>
      <c r="L837" s="175"/>
      <c r="M837" s="175"/>
      <c r="P837" s="178"/>
      <c r="Q837" s="179"/>
      <c r="R837" s="175"/>
      <c r="U837" s="135"/>
      <c r="V837" s="175"/>
    </row>
    <row r="838">
      <c r="F838" s="173"/>
      <c r="G838" s="173"/>
      <c r="H838" s="173"/>
      <c r="I838" s="174"/>
      <c r="L838" s="175"/>
      <c r="M838" s="175"/>
      <c r="P838" s="178"/>
      <c r="Q838" s="179"/>
      <c r="R838" s="175"/>
      <c r="U838" s="135"/>
      <c r="V838" s="175"/>
    </row>
    <row r="839">
      <c r="F839" s="173"/>
      <c r="G839" s="173"/>
      <c r="H839" s="173"/>
      <c r="I839" s="174"/>
      <c r="L839" s="175"/>
      <c r="M839" s="175"/>
      <c r="P839" s="178"/>
      <c r="Q839" s="179"/>
      <c r="R839" s="175"/>
      <c r="U839" s="135"/>
      <c r="V839" s="175"/>
    </row>
    <row r="840">
      <c r="F840" s="173"/>
      <c r="G840" s="173"/>
      <c r="H840" s="173"/>
      <c r="I840" s="174"/>
      <c r="L840" s="175"/>
      <c r="M840" s="175"/>
      <c r="P840" s="178"/>
      <c r="Q840" s="179"/>
      <c r="R840" s="175"/>
      <c r="U840" s="135"/>
      <c r="V840" s="175"/>
    </row>
    <row r="841">
      <c r="F841" s="173"/>
      <c r="G841" s="173"/>
      <c r="H841" s="173"/>
      <c r="I841" s="174"/>
      <c r="L841" s="175"/>
      <c r="M841" s="175"/>
      <c r="P841" s="178"/>
      <c r="Q841" s="179"/>
      <c r="R841" s="175"/>
      <c r="U841" s="135"/>
      <c r="V841" s="175"/>
    </row>
    <row r="842">
      <c r="F842" s="173"/>
      <c r="G842" s="173"/>
      <c r="H842" s="173"/>
      <c r="I842" s="174"/>
      <c r="L842" s="175"/>
      <c r="M842" s="175"/>
      <c r="P842" s="178"/>
      <c r="Q842" s="179"/>
      <c r="R842" s="175"/>
      <c r="U842" s="135"/>
      <c r="V842" s="175"/>
    </row>
    <row r="843">
      <c r="F843" s="173"/>
      <c r="G843" s="173"/>
      <c r="H843" s="173"/>
      <c r="I843" s="174"/>
      <c r="L843" s="175"/>
      <c r="M843" s="175"/>
      <c r="P843" s="178"/>
      <c r="Q843" s="179"/>
      <c r="R843" s="175"/>
      <c r="U843" s="135"/>
      <c r="V843" s="175"/>
    </row>
    <row r="844">
      <c r="F844" s="173"/>
      <c r="G844" s="173"/>
      <c r="H844" s="173"/>
      <c r="I844" s="174"/>
      <c r="L844" s="175"/>
      <c r="M844" s="175"/>
      <c r="P844" s="178"/>
      <c r="Q844" s="179"/>
      <c r="R844" s="175"/>
      <c r="U844" s="135"/>
      <c r="V844" s="175"/>
    </row>
    <row r="845">
      <c r="F845" s="173"/>
      <c r="G845" s="173"/>
      <c r="H845" s="173"/>
      <c r="I845" s="174"/>
      <c r="L845" s="175"/>
      <c r="M845" s="175"/>
      <c r="P845" s="178"/>
      <c r="Q845" s="179"/>
      <c r="R845" s="175"/>
      <c r="U845" s="135"/>
      <c r="V845" s="175"/>
    </row>
    <row r="846">
      <c r="F846" s="173"/>
      <c r="G846" s="173"/>
      <c r="H846" s="173"/>
      <c r="I846" s="174"/>
      <c r="L846" s="175"/>
      <c r="M846" s="175"/>
      <c r="P846" s="178"/>
      <c r="Q846" s="179"/>
      <c r="R846" s="175"/>
      <c r="U846" s="135"/>
      <c r="V846" s="175"/>
    </row>
    <row r="847">
      <c r="F847" s="173"/>
      <c r="G847" s="173"/>
      <c r="H847" s="173"/>
      <c r="I847" s="174"/>
      <c r="L847" s="175"/>
      <c r="M847" s="175"/>
      <c r="P847" s="178"/>
      <c r="Q847" s="179"/>
      <c r="R847" s="175"/>
      <c r="U847" s="135"/>
      <c r="V847" s="175"/>
    </row>
    <row r="848">
      <c r="F848" s="173"/>
      <c r="G848" s="173"/>
      <c r="H848" s="173"/>
      <c r="I848" s="174"/>
      <c r="L848" s="175"/>
      <c r="M848" s="175"/>
      <c r="P848" s="178"/>
      <c r="Q848" s="179"/>
      <c r="R848" s="175"/>
      <c r="U848" s="135"/>
      <c r="V848" s="175"/>
    </row>
    <row r="849">
      <c r="F849" s="173"/>
      <c r="G849" s="173"/>
      <c r="H849" s="173"/>
      <c r="I849" s="174"/>
      <c r="L849" s="175"/>
      <c r="M849" s="175"/>
      <c r="P849" s="178"/>
      <c r="Q849" s="179"/>
      <c r="R849" s="175"/>
      <c r="U849" s="135"/>
      <c r="V849" s="175"/>
    </row>
    <row r="850">
      <c r="F850" s="173"/>
      <c r="G850" s="173"/>
      <c r="H850" s="173"/>
      <c r="I850" s="174"/>
      <c r="L850" s="175"/>
      <c r="M850" s="175"/>
      <c r="P850" s="178"/>
      <c r="Q850" s="179"/>
      <c r="R850" s="175"/>
      <c r="U850" s="135"/>
      <c r="V850" s="175"/>
    </row>
    <row r="851">
      <c r="F851" s="173"/>
      <c r="G851" s="173"/>
      <c r="H851" s="173"/>
      <c r="I851" s="174"/>
      <c r="L851" s="175"/>
      <c r="M851" s="175"/>
      <c r="P851" s="178"/>
      <c r="Q851" s="179"/>
      <c r="R851" s="175"/>
      <c r="U851" s="135"/>
      <c r="V851" s="175"/>
    </row>
    <row r="852">
      <c r="F852" s="173"/>
      <c r="G852" s="173"/>
      <c r="H852" s="173"/>
      <c r="I852" s="174"/>
      <c r="L852" s="175"/>
      <c r="M852" s="175"/>
      <c r="P852" s="178"/>
      <c r="Q852" s="179"/>
      <c r="R852" s="175"/>
      <c r="U852" s="135"/>
      <c r="V852" s="175"/>
    </row>
    <row r="853">
      <c r="F853" s="173"/>
      <c r="G853" s="173"/>
      <c r="H853" s="173"/>
      <c r="I853" s="174"/>
      <c r="L853" s="175"/>
      <c r="M853" s="175"/>
      <c r="P853" s="178"/>
      <c r="Q853" s="179"/>
      <c r="R853" s="175"/>
      <c r="U853" s="135"/>
      <c r="V853" s="175"/>
    </row>
    <row r="854">
      <c r="F854" s="173"/>
      <c r="G854" s="173"/>
      <c r="H854" s="173"/>
      <c r="I854" s="174"/>
      <c r="L854" s="175"/>
      <c r="M854" s="175"/>
      <c r="P854" s="178"/>
      <c r="Q854" s="179"/>
      <c r="R854" s="175"/>
      <c r="U854" s="135"/>
      <c r="V854" s="175"/>
    </row>
    <row r="855">
      <c r="F855" s="173"/>
      <c r="G855" s="173"/>
      <c r="H855" s="173"/>
      <c r="I855" s="174"/>
      <c r="L855" s="175"/>
      <c r="M855" s="175"/>
      <c r="P855" s="178"/>
      <c r="Q855" s="179"/>
      <c r="R855" s="175"/>
      <c r="U855" s="135"/>
      <c r="V855" s="175"/>
    </row>
    <row r="856">
      <c r="F856" s="173"/>
      <c r="G856" s="173"/>
      <c r="H856" s="173"/>
      <c r="I856" s="174"/>
      <c r="L856" s="175"/>
      <c r="M856" s="175"/>
      <c r="P856" s="178"/>
      <c r="Q856" s="179"/>
      <c r="R856" s="175"/>
      <c r="U856" s="135"/>
      <c r="V856" s="175"/>
    </row>
    <row r="857">
      <c r="F857" s="173"/>
      <c r="G857" s="173"/>
      <c r="H857" s="173"/>
      <c r="I857" s="174"/>
      <c r="L857" s="175"/>
      <c r="M857" s="175"/>
      <c r="P857" s="178"/>
      <c r="Q857" s="179"/>
      <c r="R857" s="175"/>
      <c r="U857" s="135"/>
      <c r="V857" s="175"/>
    </row>
    <row r="858">
      <c r="F858" s="173"/>
      <c r="G858" s="173"/>
      <c r="H858" s="173"/>
      <c r="I858" s="174"/>
      <c r="L858" s="175"/>
      <c r="M858" s="175"/>
      <c r="P858" s="178"/>
      <c r="Q858" s="179"/>
      <c r="R858" s="175"/>
      <c r="U858" s="135"/>
      <c r="V858" s="175"/>
    </row>
    <row r="859">
      <c r="F859" s="173"/>
      <c r="G859" s="173"/>
      <c r="H859" s="173"/>
      <c r="I859" s="174"/>
      <c r="L859" s="175"/>
      <c r="M859" s="175"/>
      <c r="P859" s="178"/>
      <c r="Q859" s="179"/>
      <c r="R859" s="175"/>
      <c r="U859" s="135"/>
      <c r="V859" s="175"/>
    </row>
    <row r="860">
      <c r="F860" s="173"/>
      <c r="G860" s="173"/>
      <c r="H860" s="173"/>
      <c r="I860" s="174"/>
      <c r="L860" s="175"/>
      <c r="M860" s="175"/>
      <c r="P860" s="178"/>
      <c r="Q860" s="179"/>
      <c r="R860" s="175"/>
      <c r="U860" s="135"/>
      <c r="V860" s="175"/>
    </row>
    <row r="861">
      <c r="F861" s="173"/>
      <c r="G861" s="173"/>
      <c r="H861" s="173"/>
      <c r="I861" s="174"/>
      <c r="L861" s="175"/>
      <c r="M861" s="175"/>
      <c r="P861" s="178"/>
      <c r="Q861" s="179"/>
      <c r="R861" s="175"/>
      <c r="U861" s="135"/>
      <c r="V861" s="175"/>
    </row>
    <row r="862">
      <c r="F862" s="173"/>
      <c r="G862" s="173"/>
      <c r="H862" s="173"/>
      <c r="I862" s="174"/>
      <c r="L862" s="175"/>
      <c r="M862" s="175"/>
      <c r="P862" s="178"/>
      <c r="Q862" s="179"/>
      <c r="R862" s="175"/>
      <c r="U862" s="135"/>
      <c r="V862" s="175"/>
    </row>
    <row r="863">
      <c r="F863" s="173"/>
      <c r="G863" s="173"/>
      <c r="H863" s="173"/>
      <c r="I863" s="174"/>
      <c r="L863" s="175"/>
      <c r="M863" s="175"/>
      <c r="P863" s="178"/>
      <c r="Q863" s="179"/>
      <c r="R863" s="175"/>
      <c r="U863" s="135"/>
      <c r="V863" s="175"/>
    </row>
    <row r="864">
      <c r="F864" s="173"/>
      <c r="G864" s="173"/>
      <c r="H864" s="173"/>
      <c r="I864" s="174"/>
      <c r="L864" s="175"/>
      <c r="M864" s="175"/>
      <c r="P864" s="178"/>
      <c r="Q864" s="179"/>
      <c r="R864" s="175"/>
      <c r="U864" s="135"/>
      <c r="V864" s="175"/>
    </row>
    <row r="865">
      <c r="F865" s="173"/>
      <c r="G865" s="173"/>
      <c r="H865" s="173"/>
      <c r="I865" s="174"/>
      <c r="L865" s="175"/>
      <c r="M865" s="175"/>
      <c r="P865" s="178"/>
      <c r="Q865" s="179"/>
      <c r="R865" s="175"/>
      <c r="U865" s="135"/>
      <c r="V865" s="175"/>
    </row>
    <row r="866">
      <c r="F866" s="173"/>
      <c r="G866" s="173"/>
      <c r="H866" s="173"/>
      <c r="I866" s="174"/>
      <c r="L866" s="175"/>
      <c r="M866" s="175"/>
      <c r="P866" s="178"/>
      <c r="Q866" s="179"/>
      <c r="R866" s="175"/>
      <c r="U866" s="135"/>
      <c r="V866" s="175"/>
    </row>
    <row r="867">
      <c r="F867" s="173"/>
      <c r="G867" s="173"/>
      <c r="H867" s="173"/>
      <c r="I867" s="174"/>
      <c r="L867" s="175"/>
      <c r="M867" s="175"/>
      <c r="P867" s="178"/>
      <c r="Q867" s="179"/>
      <c r="R867" s="175"/>
      <c r="U867" s="135"/>
      <c r="V867" s="175"/>
    </row>
    <row r="868">
      <c r="F868" s="173"/>
      <c r="G868" s="173"/>
      <c r="H868" s="173"/>
      <c r="I868" s="174"/>
      <c r="L868" s="175"/>
      <c r="M868" s="175"/>
      <c r="P868" s="178"/>
      <c r="Q868" s="179"/>
      <c r="R868" s="175"/>
      <c r="U868" s="135"/>
      <c r="V868" s="175"/>
    </row>
    <row r="869">
      <c r="F869" s="173"/>
      <c r="G869" s="173"/>
      <c r="H869" s="173"/>
      <c r="I869" s="174"/>
      <c r="L869" s="175"/>
      <c r="M869" s="175"/>
      <c r="P869" s="178"/>
      <c r="Q869" s="179"/>
      <c r="R869" s="175"/>
      <c r="U869" s="135"/>
      <c r="V869" s="175"/>
    </row>
    <row r="870">
      <c r="F870" s="173"/>
      <c r="G870" s="173"/>
      <c r="H870" s="173"/>
      <c r="I870" s="174"/>
      <c r="L870" s="175"/>
      <c r="M870" s="175"/>
      <c r="P870" s="178"/>
      <c r="Q870" s="179"/>
      <c r="R870" s="175"/>
      <c r="U870" s="135"/>
      <c r="V870" s="175"/>
    </row>
    <row r="871">
      <c r="F871" s="173"/>
      <c r="G871" s="173"/>
      <c r="H871" s="173"/>
      <c r="I871" s="174"/>
      <c r="L871" s="175"/>
      <c r="M871" s="175"/>
      <c r="P871" s="178"/>
      <c r="Q871" s="179"/>
      <c r="R871" s="175"/>
      <c r="U871" s="135"/>
      <c r="V871" s="175"/>
    </row>
    <row r="872">
      <c r="F872" s="173"/>
      <c r="G872" s="173"/>
      <c r="H872" s="173"/>
      <c r="I872" s="174"/>
      <c r="L872" s="175"/>
      <c r="M872" s="175"/>
      <c r="P872" s="178"/>
      <c r="Q872" s="179"/>
      <c r="R872" s="175"/>
      <c r="U872" s="135"/>
      <c r="V872" s="175"/>
    </row>
    <row r="873">
      <c r="F873" s="173"/>
      <c r="G873" s="173"/>
      <c r="H873" s="173"/>
      <c r="I873" s="174"/>
      <c r="L873" s="175"/>
      <c r="M873" s="175"/>
      <c r="P873" s="178"/>
      <c r="Q873" s="179"/>
      <c r="R873" s="175"/>
      <c r="U873" s="135"/>
      <c r="V873" s="175"/>
    </row>
    <row r="874">
      <c r="F874" s="173"/>
      <c r="G874" s="173"/>
      <c r="H874" s="173"/>
      <c r="I874" s="174"/>
      <c r="L874" s="175"/>
      <c r="M874" s="175"/>
      <c r="P874" s="178"/>
      <c r="Q874" s="179"/>
      <c r="R874" s="175"/>
      <c r="U874" s="135"/>
      <c r="V874" s="175"/>
    </row>
    <row r="875">
      <c r="F875" s="173"/>
      <c r="G875" s="173"/>
      <c r="H875" s="173"/>
      <c r="I875" s="174"/>
      <c r="L875" s="175"/>
      <c r="M875" s="175"/>
      <c r="P875" s="178"/>
      <c r="Q875" s="179"/>
      <c r="R875" s="175"/>
      <c r="U875" s="135"/>
      <c r="V875" s="175"/>
    </row>
    <row r="876">
      <c r="F876" s="173"/>
      <c r="G876" s="173"/>
      <c r="H876" s="173"/>
      <c r="I876" s="174"/>
      <c r="L876" s="175"/>
      <c r="M876" s="175"/>
      <c r="P876" s="178"/>
      <c r="Q876" s="179"/>
      <c r="R876" s="175"/>
      <c r="U876" s="135"/>
      <c r="V876" s="175"/>
    </row>
    <row r="877">
      <c r="F877" s="173"/>
      <c r="G877" s="173"/>
      <c r="H877" s="173"/>
      <c r="I877" s="174"/>
      <c r="L877" s="175"/>
      <c r="M877" s="175"/>
      <c r="P877" s="178"/>
      <c r="Q877" s="179"/>
      <c r="R877" s="175"/>
      <c r="U877" s="135"/>
      <c r="V877" s="175"/>
    </row>
    <row r="878">
      <c r="F878" s="173"/>
      <c r="G878" s="173"/>
      <c r="H878" s="173"/>
      <c r="I878" s="174"/>
      <c r="L878" s="175"/>
      <c r="M878" s="175"/>
      <c r="P878" s="178"/>
      <c r="Q878" s="179"/>
      <c r="R878" s="175"/>
      <c r="U878" s="135"/>
      <c r="V878" s="175"/>
    </row>
    <row r="879">
      <c r="F879" s="173"/>
      <c r="G879" s="173"/>
      <c r="H879" s="173"/>
      <c r="I879" s="174"/>
      <c r="L879" s="175"/>
      <c r="M879" s="175"/>
      <c r="P879" s="178"/>
      <c r="Q879" s="179"/>
      <c r="R879" s="175"/>
      <c r="U879" s="135"/>
      <c r="V879" s="175"/>
    </row>
    <row r="880">
      <c r="F880" s="173"/>
      <c r="G880" s="173"/>
      <c r="H880" s="173"/>
      <c r="I880" s="174"/>
      <c r="L880" s="175"/>
      <c r="M880" s="175"/>
      <c r="P880" s="178"/>
      <c r="Q880" s="179"/>
      <c r="R880" s="175"/>
      <c r="U880" s="135"/>
      <c r="V880" s="175"/>
    </row>
    <row r="881">
      <c r="F881" s="173"/>
      <c r="G881" s="173"/>
      <c r="H881" s="173"/>
      <c r="I881" s="174"/>
      <c r="L881" s="175"/>
      <c r="M881" s="175"/>
      <c r="P881" s="178"/>
      <c r="Q881" s="179"/>
      <c r="R881" s="175"/>
      <c r="U881" s="135"/>
      <c r="V881" s="175"/>
    </row>
    <row r="882">
      <c r="F882" s="173"/>
      <c r="G882" s="173"/>
      <c r="H882" s="173"/>
      <c r="I882" s="174"/>
      <c r="L882" s="175"/>
      <c r="M882" s="175"/>
      <c r="P882" s="178"/>
      <c r="Q882" s="179"/>
      <c r="R882" s="175"/>
      <c r="U882" s="135"/>
      <c r="V882" s="175"/>
    </row>
    <row r="883">
      <c r="F883" s="173"/>
      <c r="G883" s="173"/>
      <c r="H883" s="173"/>
      <c r="I883" s="174"/>
      <c r="L883" s="175"/>
      <c r="M883" s="175"/>
      <c r="P883" s="178"/>
      <c r="Q883" s="179"/>
      <c r="R883" s="175"/>
      <c r="U883" s="135"/>
      <c r="V883" s="175"/>
    </row>
    <row r="884">
      <c r="F884" s="173"/>
      <c r="G884" s="173"/>
      <c r="H884" s="173"/>
      <c r="I884" s="174"/>
      <c r="L884" s="175"/>
      <c r="M884" s="175"/>
      <c r="P884" s="178"/>
      <c r="Q884" s="179"/>
      <c r="R884" s="175"/>
      <c r="U884" s="135"/>
      <c r="V884" s="175"/>
    </row>
    <row r="885">
      <c r="F885" s="173"/>
      <c r="G885" s="173"/>
      <c r="H885" s="173"/>
      <c r="I885" s="174"/>
      <c r="L885" s="175"/>
      <c r="M885" s="175"/>
      <c r="P885" s="178"/>
      <c r="Q885" s="179"/>
      <c r="R885" s="175"/>
      <c r="U885" s="135"/>
      <c r="V885" s="175"/>
    </row>
    <row r="886">
      <c r="F886" s="173"/>
      <c r="G886" s="173"/>
      <c r="H886" s="173"/>
      <c r="I886" s="174"/>
      <c r="L886" s="175"/>
      <c r="M886" s="175"/>
      <c r="P886" s="178"/>
      <c r="Q886" s="179"/>
      <c r="R886" s="175"/>
      <c r="U886" s="135"/>
      <c r="V886" s="175"/>
    </row>
    <row r="887">
      <c r="F887" s="173"/>
      <c r="G887" s="173"/>
      <c r="H887" s="173"/>
      <c r="I887" s="174"/>
      <c r="L887" s="175"/>
      <c r="M887" s="175"/>
      <c r="P887" s="178"/>
      <c r="Q887" s="179"/>
      <c r="R887" s="175"/>
      <c r="U887" s="135"/>
      <c r="V887" s="175"/>
    </row>
    <row r="888">
      <c r="F888" s="173"/>
      <c r="G888" s="173"/>
      <c r="H888" s="173"/>
      <c r="I888" s="174"/>
      <c r="L888" s="175"/>
      <c r="M888" s="175"/>
      <c r="P888" s="178"/>
      <c r="Q888" s="179"/>
      <c r="R888" s="175"/>
      <c r="U888" s="135"/>
      <c r="V888" s="175"/>
    </row>
    <row r="889">
      <c r="F889" s="173"/>
      <c r="G889" s="173"/>
      <c r="H889" s="173"/>
      <c r="I889" s="174"/>
      <c r="L889" s="175"/>
      <c r="M889" s="175"/>
      <c r="P889" s="178"/>
      <c r="Q889" s="179"/>
      <c r="R889" s="175"/>
      <c r="U889" s="135"/>
      <c r="V889" s="175"/>
    </row>
    <row r="890">
      <c r="F890" s="173"/>
      <c r="G890" s="173"/>
      <c r="H890" s="173"/>
      <c r="I890" s="174"/>
      <c r="L890" s="175"/>
      <c r="M890" s="175"/>
      <c r="P890" s="178"/>
      <c r="Q890" s="179"/>
      <c r="R890" s="175"/>
      <c r="U890" s="135"/>
      <c r="V890" s="175"/>
    </row>
    <row r="891">
      <c r="F891" s="173"/>
      <c r="G891" s="173"/>
      <c r="H891" s="173"/>
      <c r="I891" s="174"/>
      <c r="L891" s="175"/>
      <c r="M891" s="175"/>
      <c r="P891" s="178"/>
      <c r="Q891" s="179"/>
      <c r="R891" s="175"/>
      <c r="U891" s="135"/>
      <c r="V891" s="175"/>
    </row>
    <row r="892">
      <c r="F892" s="173"/>
      <c r="G892" s="173"/>
      <c r="H892" s="173"/>
      <c r="I892" s="174"/>
      <c r="L892" s="175"/>
      <c r="M892" s="175"/>
      <c r="P892" s="178"/>
      <c r="Q892" s="179"/>
      <c r="R892" s="175"/>
      <c r="U892" s="135"/>
      <c r="V892" s="175"/>
    </row>
    <row r="893">
      <c r="F893" s="173"/>
      <c r="G893" s="173"/>
      <c r="H893" s="173"/>
      <c r="I893" s="174"/>
      <c r="L893" s="175"/>
      <c r="M893" s="175"/>
      <c r="P893" s="178"/>
      <c r="Q893" s="179"/>
      <c r="R893" s="175"/>
      <c r="U893" s="135"/>
      <c r="V893" s="175"/>
    </row>
    <row r="894">
      <c r="F894" s="173"/>
      <c r="G894" s="173"/>
      <c r="H894" s="173"/>
      <c r="I894" s="174"/>
      <c r="L894" s="175"/>
      <c r="M894" s="175"/>
      <c r="P894" s="178"/>
      <c r="Q894" s="179"/>
      <c r="R894" s="175"/>
      <c r="U894" s="135"/>
      <c r="V894" s="175"/>
    </row>
    <row r="895">
      <c r="F895" s="173"/>
      <c r="G895" s="173"/>
      <c r="H895" s="173"/>
      <c r="I895" s="174"/>
      <c r="L895" s="175"/>
      <c r="M895" s="175"/>
      <c r="P895" s="178"/>
      <c r="Q895" s="179"/>
      <c r="R895" s="175"/>
      <c r="U895" s="135"/>
      <c r="V895" s="175"/>
    </row>
    <row r="896">
      <c r="F896" s="173"/>
      <c r="G896" s="173"/>
      <c r="H896" s="173"/>
      <c r="I896" s="174"/>
      <c r="L896" s="175"/>
      <c r="M896" s="175"/>
      <c r="P896" s="178"/>
      <c r="Q896" s="179"/>
      <c r="R896" s="175"/>
      <c r="U896" s="135"/>
      <c r="V896" s="175"/>
    </row>
    <row r="897">
      <c r="F897" s="173"/>
      <c r="G897" s="173"/>
      <c r="H897" s="173"/>
      <c r="I897" s="174"/>
      <c r="L897" s="175"/>
      <c r="M897" s="175"/>
      <c r="P897" s="178"/>
      <c r="Q897" s="179"/>
      <c r="R897" s="175"/>
      <c r="U897" s="135"/>
      <c r="V897" s="175"/>
    </row>
    <row r="898">
      <c r="F898" s="173"/>
      <c r="G898" s="173"/>
      <c r="H898" s="173"/>
      <c r="I898" s="174"/>
      <c r="L898" s="175"/>
      <c r="M898" s="175"/>
      <c r="P898" s="178"/>
      <c r="Q898" s="179"/>
      <c r="R898" s="175"/>
      <c r="U898" s="135"/>
      <c r="V898" s="175"/>
    </row>
    <row r="899">
      <c r="F899" s="173"/>
      <c r="G899" s="173"/>
      <c r="H899" s="173"/>
      <c r="I899" s="174"/>
      <c r="L899" s="175"/>
      <c r="M899" s="175"/>
      <c r="P899" s="178"/>
      <c r="Q899" s="179"/>
      <c r="R899" s="175"/>
      <c r="U899" s="135"/>
      <c r="V899" s="175"/>
    </row>
    <row r="900">
      <c r="F900" s="173"/>
      <c r="G900" s="173"/>
      <c r="H900" s="173"/>
      <c r="I900" s="174"/>
      <c r="L900" s="175"/>
      <c r="M900" s="175"/>
      <c r="P900" s="178"/>
      <c r="Q900" s="179"/>
      <c r="R900" s="175"/>
      <c r="U900" s="135"/>
      <c r="V900" s="175"/>
    </row>
    <row r="901">
      <c r="F901" s="173"/>
      <c r="G901" s="173"/>
      <c r="H901" s="173"/>
      <c r="I901" s="174"/>
      <c r="L901" s="175"/>
      <c r="M901" s="175"/>
      <c r="P901" s="178"/>
      <c r="Q901" s="179"/>
      <c r="R901" s="175"/>
      <c r="U901" s="135"/>
      <c r="V901" s="175"/>
    </row>
    <row r="902">
      <c r="F902" s="173"/>
      <c r="G902" s="173"/>
      <c r="H902" s="173"/>
      <c r="I902" s="174"/>
      <c r="L902" s="175"/>
      <c r="M902" s="175"/>
      <c r="P902" s="178"/>
      <c r="Q902" s="179"/>
      <c r="R902" s="175"/>
      <c r="U902" s="135"/>
      <c r="V902" s="175"/>
    </row>
    <row r="903">
      <c r="F903" s="173"/>
      <c r="G903" s="173"/>
      <c r="H903" s="173"/>
      <c r="I903" s="174"/>
      <c r="L903" s="175"/>
      <c r="M903" s="175"/>
      <c r="P903" s="178"/>
      <c r="Q903" s="179"/>
      <c r="R903" s="175"/>
      <c r="U903" s="135"/>
      <c r="V903" s="175"/>
    </row>
    <row r="904">
      <c r="F904" s="173"/>
      <c r="G904" s="173"/>
      <c r="H904" s="173"/>
      <c r="I904" s="174"/>
      <c r="L904" s="175"/>
      <c r="M904" s="175"/>
      <c r="P904" s="178"/>
      <c r="Q904" s="179"/>
      <c r="R904" s="175"/>
      <c r="U904" s="135"/>
      <c r="V904" s="175"/>
    </row>
    <row r="905">
      <c r="F905" s="173"/>
      <c r="G905" s="173"/>
      <c r="H905" s="173"/>
      <c r="I905" s="174"/>
      <c r="L905" s="175"/>
      <c r="M905" s="175"/>
      <c r="P905" s="178"/>
      <c r="Q905" s="179"/>
      <c r="R905" s="175"/>
      <c r="U905" s="135"/>
      <c r="V905" s="175"/>
    </row>
    <row r="906">
      <c r="F906" s="173"/>
      <c r="G906" s="173"/>
      <c r="H906" s="173"/>
      <c r="I906" s="174"/>
      <c r="L906" s="175"/>
      <c r="M906" s="175"/>
      <c r="P906" s="178"/>
      <c r="Q906" s="179"/>
      <c r="R906" s="175"/>
      <c r="U906" s="135"/>
      <c r="V906" s="175"/>
    </row>
    <row r="907">
      <c r="F907" s="173"/>
      <c r="G907" s="173"/>
      <c r="H907" s="173"/>
      <c r="I907" s="174"/>
      <c r="L907" s="175"/>
      <c r="M907" s="175"/>
      <c r="P907" s="178"/>
      <c r="Q907" s="179"/>
      <c r="R907" s="175"/>
      <c r="U907" s="135"/>
      <c r="V907" s="175"/>
    </row>
    <row r="908">
      <c r="F908" s="173"/>
      <c r="G908" s="173"/>
      <c r="H908" s="173"/>
      <c r="I908" s="174"/>
      <c r="L908" s="175"/>
      <c r="M908" s="175"/>
      <c r="P908" s="178"/>
      <c r="Q908" s="179"/>
      <c r="R908" s="175"/>
      <c r="U908" s="135"/>
      <c r="V908" s="175"/>
    </row>
    <row r="909">
      <c r="F909" s="173"/>
      <c r="G909" s="173"/>
      <c r="H909" s="173"/>
      <c r="I909" s="174"/>
      <c r="L909" s="175"/>
      <c r="M909" s="175"/>
      <c r="P909" s="178"/>
      <c r="Q909" s="179"/>
      <c r="R909" s="175"/>
      <c r="U909" s="135"/>
      <c r="V909" s="175"/>
    </row>
    <row r="910">
      <c r="F910" s="173"/>
      <c r="G910" s="173"/>
      <c r="H910" s="173"/>
      <c r="I910" s="174"/>
      <c r="L910" s="175"/>
      <c r="M910" s="175"/>
      <c r="P910" s="178"/>
      <c r="Q910" s="179"/>
      <c r="R910" s="175"/>
      <c r="U910" s="135"/>
      <c r="V910" s="175"/>
    </row>
    <row r="911">
      <c r="F911" s="173"/>
      <c r="G911" s="173"/>
      <c r="H911" s="173"/>
      <c r="I911" s="174"/>
      <c r="L911" s="175"/>
      <c r="M911" s="175"/>
      <c r="P911" s="178"/>
      <c r="Q911" s="179"/>
      <c r="R911" s="175"/>
      <c r="U911" s="135"/>
      <c r="V911" s="175"/>
    </row>
    <row r="912">
      <c r="F912" s="173"/>
      <c r="G912" s="173"/>
      <c r="H912" s="173"/>
      <c r="I912" s="174"/>
      <c r="L912" s="175"/>
      <c r="M912" s="175"/>
      <c r="P912" s="178"/>
      <c r="Q912" s="179"/>
      <c r="R912" s="175"/>
      <c r="U912" s="135"/>
      <c r="V912" s="175"/>
    </row>
    <row r="913">
      <c r="F913" s="173"/>
      <c r="G913" s="173"/>
      <c r="H913" s="173"/>
      <c r="I913" s="174"/>
      <c r="L913" s="175"/>
      <c r="M913" s="175"/>
      <c r="P913" s="178"/>
      <c r="Q913" s="179"/>
      <c r="R913" s="175"/>
      <c r="U913" s="135"/>
      <c r="V913" s="175"/>
    </row>
    <row r="914">
      <c r="F914" s="173"/>
      <c r="G914" s="173"/>
      <c r="H914" s="173"/>
      <c r="I914" s="174"/>
      <c r="L914" s="175"/>
      <c r="M914" s="175"/>
      <c r="P914" s="178"/>
      <c r="Q914" s="179"/>
      <c r="R914" s="175"/>
      <c r="U914" s="135"/>
      <c r="V914" s="175"/>
    </row>
    <row r="915">
      <c r="F915" s="173"/>
      <c r="G915" s="173"/>
      <c r="H915" s="173"/>
      <c r="I915" s="174"/>
      <c r="L915" s="175"/>
      <c r="M915" s="175"/>
      <c r="P915" s="178"/>
      <c r="Q915" s="179"/>
      <c r="R915" s="175"/>
      <c r="U915" s="135"/>
      <c r="V915" s="175"/>
    </row>
    <row r="916">
      <c r="F916" s="173"/>
      <c r="G916" s="173"/>
      <c r="H916" s="173"/>
      <c r="I916" s="174"/>
      <c r="L916" s="175"/>
      <c r="M916" s="175"/>
      <c r="P916" s="178"/>
      <c r="Q916" s="179"/>
      <c r="R916" s="175"/>
      <c r="U916" s="135"/>
      <c r="V916" s="175"/>
    </row>
    <row r="917">
      <c r="F917" s="173"/>
      <c r="G917" s="173"/>
      <c r="H917" s="173"/>
      <c r="I917" s="174"/>
      <c r="L917" s="175"/>
      <c r="M917" s="175"/>
      <c r="P917" s="178"/>
      <c r="Q917" s="179"/>
      <c r="R917" s="175"/>
      <c r="U917" s="135"/>
      <c r="V917" s="175"/>
    </row>
    <row r="918">
      <c r="F918" s="173"/>
      <c r="G918" s="173"/>
      <c r="H918" s="173"/>
      <c r="I918" s="174"/>
      <c r="L918" s="175"/>
      <c r="M918" s="175"/>
      <c r="P918" s="178"/>
      <c r="Q918" s="179"/>
      <c r="R918" s="175"/>
      <c r="U918" s="135"/>
      <c r="V918" s="175"/>
    </row>
    <row r="919">
      <c r="F919" s="173"/>
      <c r="G919" s="173"/>
      <c r="H919" s="173"/>
      <c r="I919" s="174"/>
      <c r="L919" s="175"/>
      <c r="M919" s="175"/>
      <c r="P919" s="178"/>
      <c r="Q919" s="179"/>
      <c r="R919" s="175"/>
      <c r="U919" s="135"/>
      <c r="V919" s="175"/>
    </row>
    <row r="920">
      <c r="F920" s="173"/>
      <c r="G920" s="173"/>
      <c r="H920" s="173"/>
      <c r="I920" s="174"/>
      <c r="L920" s="175"/>
      <c r="M920" s="175"/>
      <c r="P920" s="178"/>
      <c r="Q920" s="179"/>
      <c r="R920" s="175"/>
      <c r="U920" s="135"/>
      <c r="V920" s="175"/>
    </row>
    <row r="921">
      <c r="F921" s="173"/>
      <c r="G921" s="173"/>
      <c r="H921" s="173"/>
      <c r="I921" s="174"/>
      <c r="L921" s="175"/>
      <c r="M921" s="175"/>
      <c r="P921" s="178"/>
      <c r="Q921" s="179"/>
      <c r="R921" s="175"/>
      <c r="U921" s="135"/>
      <c r="V921" s="175"/>
    </row>
    <row r="922">
      <c r="F922" s="173"/>
      <c r="G922" s="173"/>
      <c r="H922" s="173"/>
      <c r="I922" s="174"/>
      <c r="L922" s="175"/>
      <c r="M922" s="175"/>
      <c r="P922" s="178"/>
      <c r="Q922" s="179"/>
      <c r="R922" s="175"/>
      <c r="U922" s="135"/>
      <c r="V922" s="175"/>
    </row>
    <row r="923">
      <c r="F923" s="173"/>
      <c r="G923" s="173"/>
      <c r="H923" s="173"/>
      <c r="I923" s="174"/>
      <c r="L923" s="175"/>
      <c r="M923" s="175"/>
      <c r="P923" s="178"/>
      <c r="Q923" s="179"/>
      <c r="R923" s="175"/>
      <c r="U923" s="135"/>
      <c r="V923" s="175"/>
    </row>
    <row r="924">
      <c r="F924" s="173"/>
      <c r="G924" s="173"/>
      <c r="H924" s="173"/>
      <c r="I924" s="174"/>
      <c r="L924" s="175"/>
      <c r="M924" s="175"/>
      <c r="P924" s="178"/>
      <c r="Q924" s="179"/>
      <c r="R924" s="175"/>
      <c r="U924" s="135"/>
      <c r="V924" s="175"/>
    </row>
    <row r="925">
      <c r="F925" s="173"/>
      <c r="G925" s="173"/>
      <c r="H925" s="173"/>
      <c r="I925" s="174"/>
      <c r="L925" s="175"/>
      <c r="M925" s="175"/>
      <c r="P925" s="178"/>
      <c r="Q925" s="179"/>
      <c r="R925" s="175"/>
      <c r="U925" s="135"/>
      <c r="V925" s="175"/>
    </row>
    <row r="926">
      <c r="F926" s="173"/>
      <c r="G926" s="173"/>
      <c r="H926" s="173"/>
      <c r="I926" s="174"/>
      <c r="L926" s="175"/>
      <c r="M926" s="175"/>
      <c r="P926" s="178"/>
      <c r="Q926" s="179"/>
      <c r="R926" s="175"/>
      <c r="U926" s="135"/>
      <c r="V926" s="175"/>
    </row>
    <row r="927">
      <c r="F927" s="173"/>
      <c r="G927" s="173"/>
      <c r="H927" s="173"/>
      <c r="I927" s="174"/>
      <c r="L927" s="175"/>
      <c r="M927" s="175"/>
      <c r="P927" s="178"/>
      <c r="Q927" s="179"/>
      <c r="R927" s="175"/>
      <c r="U927" s="135"/>
      <c r="V927" s="175"/>
    </row>
    <row r="928">
      <c r="F928" s="173"/>
      <c r="G928" s="173"/>
      <c r="H928" s="173"/>
      <c r="I928" s="174"/>
      <c r="L928" s="175"/>
      <c r="M928" s="175"/>
      <c r="P928" s="178"/>
      <c r="Q928" s="179"/>
      <c r="R928" s="175"/>
      <c r="U928" s="135"/>
      <c r="V928" s="175"/>
    </row>
    <row r="929">
      <c r="F929" s="173"/>
      <c r="G929" s="173"/>
      <c r="H929" s="173"/>
      <c r="I929" s="174"/>
      <c r="L929" s="175"/>
      <c r="M929" s="175"/>
      <c r="P929" s="178"/>
      <c r="Q929" s="179"/>
      <c r="R929" s="175"/>
      <c r="U929" s="135"/>
      <c r="V929" s="175"/>
    </row>
    <row r="930">
      <c r="F930" s="173"/>
      <c r="G930" s="173"/>
      <c r="H930" s="173"/>
      <c r="I930" s="174"/>
      <c r="L930" s="175"/>
      <c r="M930" s="175"/>
      <c r="P930" s="178"/>
      <c r="Q930" s="179"/>
      <c r="R930" s="175"/>
      <c r="U930" s="135"/>
      <c r="V930" s="175"/>
    </row>
    <row r="931">
      <c r="F931" s="173"/>
      <c r="G931" s="173"/>
      <c r="H931" s="173"/>
      <c r="I931" s="174"/>
      <c r="L931" s="175"/>
      <c r="M931" s="175"/>
      <c r="P931" s="178"/>
      <c r="Q931" s="179"/>
      <c r="R931" s="175"/>
      <c r="U931" s="135"/>
      <c r="V931" s="175"/>
    </row>
    <row r="932">
      <c r="F932" s="173"/>
      <c r="G932" s="173"/>
      <c r="H932" s="173"/>
      <c r="I932" s="174"/>
      <c r="L932" s="175"/>
      <c r="M932" s="175"/>
      <c r="P932" s="178"/>
      <c r="Q932" s="179"/>
      <c r="R932" s="175"/>
      <c r="U932" s="135"/>
      <c r="V932" s="175"/>
    </row>
    <row r="933">
      <c r="F933" s="173"/>
      <c r="G933" s="173"/>
      <c r="H933" s="173"/>
      <c r="I933" s="174"/>
      <c r="L933" s="175"/>
      <c r="M933" s="175"/>
      <c r="P933" s="178"/>
      <c r="Q933" s="179"/>
      <c r="R933" s="175"/>
      <c r="U933" s="135"/>
      <c r="V933" s="175"/>
    </row>
    <row r="934">
      <c r="F934" s="173"/>
      <c r="G934" s="173"/>
      <c r="H934" s="173"/>
      <c r="I934" s="174"/>
      <c r="L934" s="175"/>
      <c r="M934" s="175"/>
      <c r="P934" s="178"/>
      <c r="Q934" s="179"/>
      <c r="R934" s="175"/>
      <c r="U934" s="135"/>
      <c r="V934" s="175"/>
    </row>
    <row r="935">
      <c r="F935" s="173"/>
      <c r="G935" s="173"/>
      <c r="H935" s="173"/>
      <c r="I935" s="174"/>
      <c r="L935" s="175"/>
      <c r="M935" s="175"/>
      <c r="P935" s="178"/>
      <c r="Q935" s="179"/>
      <c r="R935" s="175"/>
      <c r="U935" s="135"/>
      <c r="V935" s="175"/>
    </row>
    <row r="936">
      <c r="F936" s="173"/>
      <c r="G936" s="173"/>
      <c r="H936" s="173"/>
      <c r="I936" s="174"/>
      <c r="L936" s="175"/>
      <c r="M936" s="175"/>
      <c r="P936" s="178"/>
      <c r="Q936" s="179"/>
      <c r="R936" s="175"/>
      <c r="U936" s="135"/>
      <c r="V936" s="175"/>
    </row>
    <row r="937">
      <c r="F937" s="173"/>
      <c r="G937" s="173"/>
      <c r="H937" s="173"/>
      <c r="I937" s="174"/>
      <c r="L937" s="175"/>
      <c r="M937" s="175"/>
      <c r="P937" s="178"/>
      <c r="Q937" s="179"/>
      <c r="R937" s="175"/>
      <c r="U937" s="135"/>
      <c r="V937" s="175"/>
    </row>
    <row r="938">
      <c r="F938" s="173"/>
      <c r="G938" s="173"/>
      <c r="H938" s="173"/>
      <c r="I938" s="174"/>
      <c r="L938" s="175"/>
      <c r="M938" s="175"/>
      <c r="P938" s="178"/>
      <c r="Q938" s="179"/>
      <c r="R938" s="175"/>
      <c r="U938" s="135"/>
      <c r="V938" s="175"/>
    </row>
    <row r="939">
      <c r="F939" s="173"/>
      <c r="G939" s="173"/>
      <c r="H939" s="173"/>
      <c r="I939" s="174"/>
      <c r="L939" s="175"/>
      <c r="M939" s="175"/>
      <c r="P939" s="178"/>
      <c r="Q939" s="179"/>
      <c r="R939" s="175"/>
      <c r="U939" s="135"/>
      <c r="V939" s="175"/>
    </row>
    <row r="940">
      <c r="F940" s="173"/>
      <c r="G940" s="173"/>
      <c r="H940" s="173"/>
      <c r="I940" s="174"/>
      <c r="L940" s="175"/>
      <c r="M940" s="175"/>
      <c r="P940" s="178"/>
      <c r="Q940" s="179"/>
      <c r="R940" s="175"/>
      <c r="U940" s="135"/>
      <c r="V940" s="175"/>
    </row>
    <row r="941">
      <c r="F941" s="173"/>
      <c r="G941" s="173"/>
      <c r="H941" s="173"/>
      <c r="I941" s="174"/>
      <c r="L941" s="175"/>
      <c r="M941" s="175"/>
      <c r="P941" s="178"/>
      <c r="Q941" s="179"/>
      <c r="R941" s="175"/>
      <c r="U941" s="135"/>
      <c r="V941" s="175"/>
    </row>
    <row r="942">
      <c r="F942" s="173"/>
      <c r="G942" s="173"/>
      <c r="H942" s="173"/>
      <c r="I942" s="174"/>
      <c r="L942" s="175"/>
      <c r="M942" s="175"/>
      <c r="P942" s="178"/>
      <c r="Q942" s="179"/>
      <c r="R942" s="175"/>
      <c r="U942" s="135"/>
      <c r="V942" s="175"/>
    </row>
    <row r="943">
      <c r="F943" s="173"/>
      <c r="G943" s="173"/>
      <c r="H943" s="173"/>
      <c r="I943" s="174"/>
      <c r="L943" s="175"/>
      <c r="M943" s="175"/>
      <c r="P943" s="178"/>
      <c r="Q943" s="179"/>
      <c r="R943" s="175"/>
      <c r="U943" s="135"/>
      <c r="V943" s="175"/>
    </row>
    <row r="944">
      <c r="F944" s="173"/>
      <c r="G944" s="173"/>
      <c r="H944" s="173"/>
      <c r="I944" s="174"/>
      <c r="L944" s="175"/>
      <c r="M944" s="175"/>
      <c r="P944" s="178"/>
      <c r="Q944" s="179"/>
      <c r="R944" s="175"/>
      <c r="U944" s="135"/>
      <c r="V944" s="175"/>
    </row>
    <row r="945">
      <c r="F945" s="173"/>
      <c r="G945" s="173"/>
      <c r="H945" s="173"/>
      <c r="I945" s="174"/>
      <c r="L945" s="175"/>
      <c r="M945" s="175"/>
      <c r="P945" s="178"/>
      <c r="Q945" s="179"/>
      <c r="R945" s="175"/>
      <c r="U945" s="135"/>
      <c r="V945" s="175"/>
    </row>
    <row r="946">
      <c r="F946" s="173"/>
      <c r="G946" s="173"/>
      <c r="H946" s="173"/>
      <c r="I946" s="174"/>
      <c r="L946" s="175"/>
      <c r="M946" s="175"/>
      <c r="P946" s="178"/>
      <c r="Q946" s="179"/>
      <c r="R946" s="175"/>
      <c r="U946" s="135"/>
      <c r="V946" s="175"/>
    </row>
    <row r="947">
      <c r="F947" s="173"/>
      <c r="G947" s="173"/>
      <c r="H947" s="173"/>
      <c r="I947" s="174"/>
      <c r="L947" s="175"/>
      <c r="M947" s="175"/>
      <c r="P947" s="178"/>
      <c r="Q947" s="179"/>
      <c r="R947" s="175"/>
      <c r="U947" s="135"/>
      <c r="V947" s="175"/>
    </row>
    <row r="948">
      <c r="F948" s="173"/>
      <c r="G948" s="173"/>
      <c r="H948" s="173"/>
      <c r="I948" s="174"/>
      <c r="L948" s="175"/>
      <c r="M948" s="175"/>
      <c r="P948" s="178"/>
      <c r="Q948" s="179"/>
      <c r="R948" s="175"/>
      <c r="U948" s="135"/>
      <c r="V948" s="175"/>
    </row>
    <row r="949">
      <c r="F949" s="173"/>
      <c r="G949" s="173"/>
      <c r="H949" s="173"/>
      <c r="I949" s="174"/>
      <c r="L949" s="175"/>
      <c r="M949" s="175"/>
      <c r="P949" s="178"/>
      <c r="Q949" s="179"/>
      <c r="R949" s="175"/>
      <c r="U949" s="135"/>
      <c r="V949" s="175"/>
    </row>
    <row r="950">
      <c r="F950" s="173"/>
      <c r="G950" s="173"/>
      <c r="H950" s="173"/>
      <c r="I950" s="174"/>
      <c r="L950" s="175"/>
      <c r="M950" s="175"/>
      <c r="P950" s="178"/>
      <c r="Q950" s="179"/>
      <c r="R950" s="175"/>
      <c r="U950" s="135"/>
      <c r="V950" s="175"/>
    </row>
    <row r="951">
      <c r="F951" s="173"/>
      <c r="G951" s="173"/>
      <c r="H951" s="173"/>
      <c r="I951" s="174"/>
      <c r="L951" s="175"/>
      <c r="M951" s="175"/>
      <c r="P951" s="178"/>
      <c r="Q951" s="179"/>
      <c r="R951" s="175"/>
      <c r="U951" s="135"/>
      <c r="V951" s="175"/>
    </row>
    <row r="952">
      <c r="F952" s="173"/>
      <c r="G952" s="173"/>
      <c r="H952" s="173"/>
      <c r="I952" s="174"/>
      <c r="L952" s="175"/>
      <c r="M952" s="175"/>
      <c r="P952" s="178"/>
      <c r="Q952" s="179"/>
      <c r="R952" s="175"/>
      <c r="U952" s="135"/>
      <c r="V952" s="175"/>
    </row>
    <row r="953">
      <c r="F953" s="173"/>
      <c r="G953" s="173"/>
      <c r="H953" s="173"/>
      <c r="I953" s="174"/>
      <c r="L953" s="175"/>
      <c r="M953" s="175"/>
      <c r="P953" s="178"/>
      <c r="Q953" s="179"/>
      <c r="R953" s="175"/>
      <c r="U953" s="135"/>
      <c r="V953" s="175"/>
    </row>
    <row r="954">
      <c r="F954" s="173"/>
      <c r="G954" s="173"/>
      <c r="H954" s="173"/>
      <c r="I954" s="174"/>
      <c r="L954" s="175"/>
      <c r="M954" s="175"/>
      <c r="P954" s="178"/>
      <c r="Q954" s="179"/>
      <c r="R954" s="175"/>
      <c r="U954" s="135"/>
      <c r="V954" s="175"/>
    </row>
    <row r="955">
      <c r="F955" s="173"/>
      <c r="G955" s="173"/>
      <c r="H955" s="173"/>
      <c r="I955" s="174"/>
      <c r="L955" s="175"/>
      <c r="M955" s="175"/>
      <c r="P955" s="178"/>
      <c r="Q955" s="179"/>
      <c r="R955" s="175"/>
      <c r="U955" s="135"/>
      <c r="V955" s="175"/>
    </row>
    <row r="956">
      <c r="F956" s="173"/>
      <c r="G956" s="173"/>
      <c r="H956" s="173"/>
      <c r="I956" s="174"/>
      <c r="L956" s="175"/>
      <c r="M956" s="175"/>
      <c r="P956" s="178"/>
      <c r="Q956" s="179"/>
      <c r="R956" s="175"/>
      <c r="U956" s="135"/>
      <c r="V956" s="175"/>
    </row>
    <row r="957">
      <c r="F957" s="173"/>
      <c r="G957" s="173"/>
      <c r="H957" s="173"/>
      <c r="I957" s="174"/>
      <c r="L957" s="175"/>
      <c r="M957" s="175"/>
      <c r="P957" s="178"/>
      <c r="Q957" s="179"/>
      <c r="R957" s="175"/>
      <c r="U957" s="135"/>
      <c r="V957" s="175"/>
    </row>
    <row r="958">
      <c r="F958" s="173"/>
      <c r="G958" s="173"/>
      <c r="H958" s="173"/>
      <c r="I958" s="174"/>
      <c r="L958" s="175"/>
      <c r="M958" s="175"/>
      <c r="P958" s="178"/>
      <c r="Q958" s="179"/>
      <c r="R958" s="175"/>
      <c r="U958" s="135"/>
      <c r="V958" s="175"/>
    </row>
    <row r="959">
      <c r="F959" s="173"/>
      <c r="G959" s="173"/>
      <c r="H959" s="173"/>
      <c r="I959" s="174"/>
      <c r="L959" s="175"/>
      <c r="M959" s="175"/>
      <c r="P959" s="178"/>
      <c r="Q959" s="179"/>
      <c r="R959" s="175"/>
      <c r="U959" s="135"/>
      <c r="V959" s="175"/>
    </row>
    <row r="960">
      <c r="F960" s="173"/>
      <c r="G960" s="173"/>
      <c r="H960" s="173"/>
      <c r="I960" s="174"/>
      <c r="L960" s="175"/>
      <c r="M960" s="175"/>
      <c r="P960" s="178"/>
      <c r="Q960" s="179"/>
      <c r="R960" s="175"/>
      <c r="U960" s="135"/>
      <c r="V960" s="175"/>
    </row>
    <row r="961">
      <c r="F961" s="173"/>
      <c r="G961" s="173"/>
      <c r="H961" s="173"/>
      <c r="I961" s="174"/>
      <c r="L961" s="175"/>
      <c r="M961" s="175"/>
      <c r="P961" s="178"/>
      <c r="Q961" s="179"/>
      <c r="R961" s="175"/>
      <c r="U961" s="135"/>
      <c r="V961" s="175"/>
    </row>
    <row r="962">
      <c r="F962" s="173"/>
      <c r="G962" s="173"/>
      <c r="H962" s="173"/>
      <c r="I962" s="174"/>
      <c r="L962" s="175"/>
      <c r="M962" s="175"/>
      <c r="P962" s="178"/>
      <c r="Q962" s="179"/>
      <c r="R962" s="175"/>
      <c r="U962" s="135"/>
      <c r="V962" s="175"/>
    </row>
    <row r="963">
      <c r="F963" s="173"/>
      <c r="G963" s="173"/>
      <c r="H963" s="173"/>
      <c r="I963" s="174"/>
      <c r="L963" s="175"/>
      <c r="M963" s="175"/>
      <c r="P963" s="178"/>
      <c r="Q963" s="179"/>
      <c r="R963" s="175"/>
      <c r="U963" s="135"/>
      <c r="V963" s="175"/>
    </row>
    <row r="964">
      <c r="F964" s="173"/>
      <c r="G964" s="173"/>
      <c r="H964" s="173"/>
      <c r="I964" s="174"/>
      <c r="L964" s="175"/>
      <c r="M964" s="175"/>
      <c r="P964" s="178"/>
      <c r="Q964" s="179"/>
      <c r="R964" s="175"/>
      <c r="U964" s="135"/>
      <c r="V964" s="175"/>
    </row>
    <row r="965">
      <c r="F965" s="173"/>
      <c r="G965" s="173"/>
      <c r="H965" s="173"/>
      <c r="I965" s="174"/>
      <c r="L965" s="175"/>
      <c r="M965" s="175"/>
      <c r="P965" s="178"/>
      <c r="Q965" s="179"/>
      <c r="R965" s="175"/>
      <c r="U965" s="135"/>
      <c r="V965" s="175"/>
    </row>
    <row r="966">
      <c r="F966" s="173"/>
      <c r="G966" s="173"/>
      <c r="H966" s="173"/>
      <c r="I966" s="174"/>
      <c r="L966" s="175"/>
      <c r="M966" s="175"/>
      <c r="P966" s="178"/>
      <c r="Q966" s="179"/>
      <c r="R966" s="175"/>
      <c r="U966" s="135"/>
      <c r="V966" s="175"/>
    </row>
    <row r="967">
      <c r="F967" s="173"/>
      <c r="G967" s="173"/>
      <c r="H967" s="173"/>
      <c r="I967" s="174"/>
      <c r="L967" s="175"/>
      <c r="M967" s="175"/>
      <c r="P967" s="178"/>
      <c r="Q967" s="179"/>
      <c r="R967" s="175"/>
      <c r="U967" s="135"/>
      <c r="V967" s="175"/>
    </row>
    <row r="968">
      <c r="F968" s="173"/>
      <c r="G968" s="173"/>
      <c r="H968" s="173"/>
      <c r="I968" s="174"/>
      <c r="L968" s="175"/>
      <c r="M968" s="175"/>
      <c r="P968" s="178"/>
      <c r="Q968" s="179"/>
      <c r="R968" s="175"/>
      <c r="U968" s="135"/>
      <c r="V968" s="175"/>
    </row>
    <row r="969">
      <c r="F969" s="173"/>
      <c r="G969" s="173"/>
      <c r="H969" s="173"/>
      <c r="I969" s="174"/>
      <c r="L969" s="175"/>
      <c r="M969" s="175"/>
      <c r="P969" s="178"/>
      <c r="Q969" s="179"/>
      <c r="R969" s="175"/>
      <c r="U969" s="135"/>
      <c r="V969" s="175"/>
    </row>
    <row r="970">
      <c r="F970" s="173"/>
      <c r="G970" s="173"/>
      <c r="H970" s="173"/>
      <c r="I970" s="174"/>
      <c r="L970" s="175"/>
      <c r="M970" s="175"/>
      <c r="P970" s="178"/>
      <c r="Q970" s="179"/>
      <c r="R970" s="175"/>
      <c r="U970" s="135"/>
      <c r="V970" s="175"/>
    </row>
    <row r="971">
      <c r="F971" s="173"/>
      <c r="G971" s="173"/>
      <c r="H971" s="173"/>
      <c r="I971" s="174"/>
      <c r="L971" s="175"/>
      <c r="M971" s="175"/>
      <c r="P971" s="178"/>
      <c r="Q971" s="179"/>
      <c r="R971" s="175"/>
      <c r="U971" s="135"/>
      <c r="V971" s="175"/>
    </row>
    <row r="972">
      <c r="F972" s="173"/>
      <c r="G972" s="173"/>
      <c r="H972" s="173"/>
      <c r="I972" s="174"/>
      <c r="L972" s="175"/>
      <c r="M972" s="175"/>
      <c r="P972" s="178"/>
      <c r="Q972" s="179"/>
      <c r="R972" s="175"/>
      <c r="U972" s="135"/>
      <c r="V972" s="175"/>
    </row>
    <row r="973">
      <c r="F973" s="173"/>
      <c r="G973" s="173"/>
      <c r="H973" s="173"/>
      <c r="I973" s="174"/>
      <c r="L973" s="175"/>
      <c r="M973" s="175"/>
      <c r="P973" s="178"/>
      <c r="Q973" s="179"/>
      <c r="R973" s="175"/>
      <c r="U973" s="135"/>
      <c r="V973" s="175"/>
    </row>
    <row r="974">
      <c r="F974" s="173"/>
      <c r="G974" s="173"/>
      <c r="H974" s="173"/>
      <c r="I974" s="174"/>
      <c r="L974" s="175"/>
      <c r="M974" s="175"/>
      <c r="P974" s="178"/>
      <c r="Q974" s="179"/>
      <c r="R974" s="175"/>
      <c r="U974" s="135"/>
      <c r="V974" s="175"/>
    </row>
    <row r="975">
      <c r="F975" s="173"/>
      <c r="G975" s="173"/>
      <c r="H975" s="173"/>
      <c r="I975" s="174"/>
      <c r="L975" s="175"/>
      <c r="M975" s="175"/>
      <c r="P975" s="178"/>
      <c r="Q975" s="179"/>
      <c r="R975" s="175"/>
      <c r="U975" s="135"/>
      <c r="V975" s="175"/>
    </row>
    <row r="976">
      <c r="F976" s="173"/>
      <c r="G976" s="173"/>
      <c r="H976" s="173"/>
      <c r="I976" s="174"/>
      <c r="L976" s="175"/>
      <c r="M976" s="175"/>
      <c r="P976" s="178"/>
      <c r="Q976" s="179"/>
      <c r="R976" s="175"/>
      <c r="U976" s="135"/>
      <c r="V976" s="175"/>
    </row>
    <row r="977">
      <c r="F977" s="173"/>
      <c r="G977" s="173"/>
      <c r="H977" s="173"/>
      <c r="I977" s="174"/>
      <c r="L977" s="175"/>
      <c r="M977" s="175"/>
      <c r="P977" s="178"/>
      <c r="Q977" s="179"/>
      <c r="R977" s="175"/>
      <c r="U977" s="135"/>
      <c r="V977" s="175"/>
    </row>
    <row r="978">
      <c r="F978" s="173"/>
      <c r="G978" s="173"/>
      <c r="H978" s="173"/>
      <c r="I978" s="174"/>
      <c r="L978" s="175"/>
      <c r="M978" s="175"/>
      <c r="P978" s="178"/>
      <c r="Q978" s="179"/>
      <c r="R978" s="175"/>
      <c r="U978" s="135"/>
      <c r="V978" s="175"/>
    </row>
    <row r="979">
      <c r="F979" s="173"/>
      <c r="G979" s="173"/>
      <c r="H979" s="173"/>
      <c r="I979" s="174"/>
      <c r="L979" s="175"/>
      <c r="M979" s="175"/>
      <c r="P979" s="178"/>
      <c r="Q979" s="179"/>
      <c r="R979" s="175"/>
      <c r="U979" s="135"/>
      <c r="V979" s="175"/>
    </row>
    <row r="980">
      <c r="F980" s="173"/>
      <c r="G980" s="173"/>
      <c r="H980" s="173"/>
      <c r="I980" s="174"/>
      <c r="L980" s="175"/>
      <c r="M980" s="175"/>
      <c r="P980" s="178"/>
      <c r="Q980" s="179"/>
      <c r="R980" s="175"/>
      <c r="U980" s="135"/>
      <c r="V980" s="175"/>
    </row>
    <row r="981">
      <c r="F981" s="173"/>
      <c r="G981" s="173"/>
      <c r="H981" s="173"/>
      <c r="I981" s="174"/>
      <c r="L981" s="175"/>
      <c r="M981" s="175"/>
      <c r="P981" s="178"/>
      <c r="Q981" s="179"/>
      <c r="R981" s="175"/>
      <c r="U981" s="135"/>
      <c r="V981" s="175"/>
    </row>
    <row r="982">
      <c r="F982" s="173"/>
      <c r="G982" s="173"/>
      <c r="H982" s="173"/>
      <c r="I982" s="174"/>
      <c r="L982" s="175"/>
      <c r="M982" s="175"/>
      <c r="P982" s="178"/>
      <c r="Q982" s="179"/>
      <c r="R982" s="175"/>
      <c r="U982" s="135"/>
      <c r="V982" s="175"/>
    </row>
    <row r="983">
      <c r="F983" s="173"/>
      <c r="G983" s="173"/>
      <c r="H983" s="173"/>
      <c r="I983" s="174"/>
      <c r="L983" s="175"/>
      <c r="M983" s="175"/>
      <c r="P983" s="178"/>
      <c r="Q983" s="179"/>
      <c r="R983" s="175"/>
      <c r="U983" s="135"/>
      <c r="V983" s="175"/>
    </row>
    <row r="984">
      <c r="F984" s="173"/>
      <c r="G984" s="173"/>
      <c r="H984" s="173"/>
      <c r="I984" s="174"/>
      <c r="L984" s="175"/>
      <c r="M984" s="175"/>
      <c r="P984" s="178"/>
      <c r="Q984" s="179"/>
      <c r="R984" s="175"/>
      <c r="U984" s="135"/>
      <c r="V984" s="175"/>
    </row>
    <row r="985">
      <c r="F985" s="173"/>
      <c r="G985" s="173"/>
      <c r="H985" s="173"/>
      <c r="I985" s="174"/>
      <c r="L985" s="175"/>
      <c r="M985" s="175"/>
      <c r="P985" s="178"/>
      <c r="Q985" s="179"/>
      <c r="R985" s="175"/>
      <c r="U985" s="135"/>
      <c r="V985" s="175"/>
    </row>
    <row r="986">
      <c r="F986" s="173"/>
      <c r="G986" s="173"/>
      <c r="H986" s="173"/>
      <c r="I986" s="174"/>
      <c r="L986" s="175"/>
      <c r="M986" s="175"/>
      <c r="P986" s="178"/>
      <c r="Q986" s="179"/>
      <c r="R986" s="175"/>
      <c r="U986" s="135"/>
      <c r="V986" s="175"/>
    </row>
    <row r="987">
      <c r="F987" s="173"/>
      <c r="G987" s="173"/>
      <c r="H987" s="173"/>
      <c r="I987" s="174"/>
      <c r="L987" s="175"/>
      <c r="M987" s="175"/>
      <c r="P987" s="178"/>
      <c r="Q987" s="179"/>
      <c r="R987" s="175"/>
      <c r="U987" s="135"/>
      <c r="V987" s="175"/>
    </row>
    <row r="988">
      <c r="F988" s="173"/>
      <c r="G988" s="173"/>
      <c r="H988" s="173"/>
      <c r="I988" s="174"/>
      <c r="L988" s="175"/>
      <c r="M988" s="175"/>
      <c r="P988" s="178"/>
      <c r="Q988" s="179"/>
      <c r="R988" s="175"/>
      <c r="U988" s="135"/>
      <c r="V988" s="175"/>
    </row>
    <row r="989">
      <c r="F989" s="173"/>
      <c r="G989" s="173"/>
      <c r="H989" s="173"/>
      <c r="I989" s="174"/>
      <c r="L989" s="175"/>
      <c r="M989" s="175"/>
      <c r="P989" s="178"/>
      <c r="Q989" s="179"/>
      <c r="R989" s="175"/>
      <c r="U989" s="135"/>
      <c r="V989" s="175"/>
    </row>
    <row r="990">
      <c r="F990" s="173"/>
      <c r="G990" s="173"/>
      <c r="H990" s="173"/>
      <c r="I990" s="174"/>
      <c r="L990" s="175"/>
      <c r="M990" s="175"/>
      <c r="P990" s="178"/>
      <c r="Q990" s="179"/>
      <c r="R990" s="175"/>
      <c r="U990" s="135"/>
      <c r="V990" s="175"/>
    </row>
    <row r="991">
      <c r="F991" s="173"/>
      <c r="G991" s="173"/>
      <c r="H991" s="173"/>
      <c r="I991" s="174"/>
      <c r="L991" s="175"/>
      <c r="M991" s="175"/>
      <c r="P991" s="178"/>
      <c r="Q991" s="179"/>
      <c r="R991" s="175"/>
      <c r="U991" s="135"/>
      <c r="V991" s="175"/>
    </row>
    <row r="992">
      <c r="F992" s="173"/>
      <c r="G992" s="173"/>
      <c r="H992" s="173"/>
      <c r="I992" s="174"/>
      <c r="L992" s="175"/>
      <c r="M992" s="175"/>
      <c r="P992" s="178"/>
      <c r="Q992" s="179"/>
      <c r="R992" s="175"/>
      <c r="U992" s="135"/>
      <c r="V992" s="175"/>
    </row>
    <row r="993">
      <c r="F993" s="173"/>
      <c r="G993" s="173"/>
      <c r="H993" s="173"/>
      <c r="I993" s="174"/>
      <c r="L993" s="175"/>
      <c r="M993" s="175"/>
      <c r="P993" s="178"/>
      <c r="Q993" s="179"/>
      <c r="R993" s="175"/>
      <c r="U993" s="135"/>
      <c r="V993" s="175"/>
    </row>
    <row r="994">
      <c r="F994" s="173"/>
      <c r="G994" s="173"/>
      <c r="H994" s="173"/>
      <c r="I994" s="174"/>
      <c r="L994" s="175"/>
      <c r="M994" s="175"/>
      <c r="P994" s="178"/>
      <c r="Q994" s="179"/>
      <c r="R994" s="175"/>
      <c r="U994" s="135"/>
      <c r="V994" s="175"/>
    </row>
    <row r="995">
      <c r="F995" s="173"/>
      <c r="G995" s="173"/>
      <c r="H995" s="173"/>
      <c r="I995" s="174"/>
      <c r="L995" s="175"/>
      <c r="M995" s="175"/>
      <c r="P995" s="178"/>
      <c r="Q995" s="179"/>
      <c r="R995" s="175"/>
      <c r="U995" s="135"/>
      <c r="V995" s="175"/>
    </row>
  </sheetData>
  <autoFilter ref="$A$1:$Z$44"/>
  <hyperlinks>
    <hyperlink r:id="rId1" ref="K2"/>
    <hyperlink r:id="rId2" ref="N2"/>
    <hyperlink r:id="rId3" ref="K3"/>
    <hyperlink r:id="rId4" ref="N3"/>
    <hyperlink r:id="rId5" ref="K4"/>
    <hyperlink r:id="rId6" ref="N4"/>
    <hyperlink r:id="rId7" ref="K5"/>
    <hyperlink r:id="rId8" ref="N5"/>
    <hyperlink r:id="rId9" ref="K6"/>
    <hyperlink r:id="rId10" ref="N6"/>
    <hyperlink r:id="rId11" ref="K7"/>
    <hyperlink r:id="rId12" ref="N7"/>
    <hyperlink r:id="rId13" ref="K8"/>
    <hyperlink r:id="rId14" ref="N8"/>
    <hyperlink r:id="rId15" ref="K9"/>
    <hyperlink r:id="rId16" ref="N9"/>
    <hyperlink r:id="rId17" ref="K10"/>
    <hyperlink r:id="rId18" ref="N10"/>
    <hyperlink r:id="rId19" ref="K11"/>
    <hyperlink r:id="rId20" ref="N11"/>
    <hyperlink r:id="rId21" ref="K12"/>
    <hyperlink r:id="rId22" ref="N12"/>
    <hyperlink r:id="rId23" ref="K13"/>
    <hyperlink r:id="rId24" ref="N13"/>
    <hyperlink r:id="rId25" ref="K14"/>
    <hyperlink r:id="rId26" ref="N14"/>
    <hyperlink r:id="rId27" ref="K15"/>
    <hyperlink r:id="rId28" ref="N15"/>
    <hyperlink r:id="rId29" ref="K16"/>
    <hyperlink r:id="rId30" ref="N16"/>
    <hyperlink r:id="rId31" ref="K17"/>
    <hyperlink r:id="rId32" ref="N17"/>
    <hyperlink r:id="rId33" ref="K18"/>
    <hyperlink r:id="rId34" ref="N18"/>
    <hyperlink r:id="rId35" ref="K19"/>
    <hyperlink r:id="rId36" ref="N19"/>
    <hyperlink r:id="rId37" ref="K20"/>
    <hyperlink r:id="rId38" ref="N20"/>
    <hyperlink r:id="rId39" ref="K21"/>
    <hyperlink r:id="rId40" ref="N21"/>
    <hyperlink r:id="rId41" ref="K22"/>
    <hyperlink r:id="rId42" ref="N22"/>
    <hyperlink r:id="rId43" ref="K23"/>
    <hyperlink r:id="rId44" ref="N23"/>
    <hyperlink r:id="rId45" ref="K24"/>
    <hyperlink r:id="rId46" ref="N24"/>
    <hyperlink r:id="rId47" ref="K25"/>
    <hyperlink r:id="rId48" ref="N25"/>
    <hyperlink r:id="rId49" ref="K26"/>
    <hyperlink r:id="rId50" ref="N26"/>
    <hyperlink r:id="rId51" ref="K27"/>
    <hyperlink r:id="rId52" ref="N27"/>
    <hyperlink r:id="rId53" ref="K28"/>
    <hyperlink r:id="rId54" ref="N28"/>
    <hyperlink r:id="rId55" ref="K29"/>
    <hyperlink r:id="rId56" ref="N29"/>
    <hyperlink r:id="rId57" ref="K30"/>
    <hyperlink r:id="rId58" ref="N30"/>
    <hyperlink r:id="rId59" ref="K31"/>
    <hyperlink r:id="rId60" ref="N31"/>
    <hyperlink r:id="rId61" ref="K32"/>
    <hyperlink r:id="rId62" ref="N32"/>
    <hyperlink r:id="rId63" ref="K33"/>
    <hyperlink r:id="rId64" ref="N33"/>
    <hyperlink r:id="rId65" ref="K34"/>
    <hyperlink r:id="rId66" ref="N34"/>
    <hyperlink r:id="rId67" ref="K35"/>
    <hyperlink r:id="rId68" ref="N35"/>
    <hyperlink r:id="rId69" ref="K36"/>
    <hyperlink r:id="rId70" ref="N36"/>
    <hyperlink r:id="rId71" ref="K37"/>
    <hyperlink r:id="rId72" ref="N37"/>
    <hyperlink r:id="rId73" ref="K38"/>
    <hyperlink r:id="rId74" ref="N38"/>
    <hyperlink r:id="rId75" ref="K39"/>
    <hyperlink r:id="rId76" ref="N39"/>
    <hyperlink r:id="rId77" ref="K40"/>
    <hyperlink r:id="rId78" ref="N40"/>
    <hyperlink r:id="rId79" ref="K41"/>
    <hyperlink r:id="rId80" ref="N41"/>
    <hyperlink r:id="rId81" ref="K42"/>
    <hyperlink r:id="rId82" ref="N42"/>
    <hyperlink r:id="rId83" ref="K43"/>
    <hyperlink r:id="rId84" ref="N43"/>
    <hyperlink r:id="rId85" ref="K44"/>
    <hyperlink r:id="rId86" ref="N44"/>
  </hyperlinks>
  <drawing r:id="rId8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2" max="2" width="14.78"/>
    <col customWidth="1" min="3" max="3" width="30.0"/>
    <col customWidth="1" min="13" max="13" width="16.56"/>
    <col customWidth="1" min="15" max="15" width="29.56"/>
    <col customWidth="1" min="16" max="16" width="30.89"/>
    <col customWidth="1" min="19" max="19" width="29.56"/>
  </cols>
  <sheetData>
    <row r="1" ht="24.75" customHeight="1">
      <c r="A1" s="1" t="s">
        <v>0</v>
      </c>
      <c r="B1" s="2" t="s">
        <v>2</v>
      </c>
      <c r="C1" s="1" t="s">
        <v>3</v>
      </c>
      <c r="D1" s="1" t="s">
        <v>4</v>
      </c>
      <c r="E1" s="1" t="s">
        <v>5</v>
      </c>
      <c r="F1" s="1" t="s">
        <v>6</v>
      </c>
      <c r="G1" s="1" t="s">
        <v>7</v>
      </c>
      <c r="H1" s="4" t="s">
        <v>8</v>
      </c>
      <c r="I1" s="4" t="s">
        <v>10</v>
      </c>
      <c r="J1" s="4" t="s">
        <v>11</v>
      </c>
      <c r="K1" s="1" t="s">
        <v>12</v>
      </c>
      <c r="L1" s="1" t="s">
        <v>13</v>
      </c>
      <c r="M1" s="8" t="s">
        <v>14</v>
      </c>
      <c r="N1" s="1" t="s">
        <v>20</v>
      </c>
      <c r="O1" s="1" t="s">
        <v>21</v>
      </c>
      <c r="P1" s="1" t="s">
        <v>22</v>
      </c>
      <c r="Q1" s="1" t="s">
        <v>23</v>
      </c>
      <c r="R1" s="10" t="s">
        <v>24</v>
      </c>
      <c r="S1" s="1" t="s">
        <v>27</v>
      </c>
      <c r="T1" s="13" t="s">
        <v>28</v>
      </c>
      <c r="U1" s="1" t="s">
        <v>37</v>
      </c>
      <c r="V1" s="1" t="s">
        <v>38</v>
      </c>
      <c r="W1" s="1" t="s">
        <v>39</v>
      </c>
      <c r="X1" s="1" t="s">
        <v>40</v>
      </c>
      <c r="Y1" s="1" t="s">
        <v>41</v>
      </c>
      <c r="Z1" s="1" t="s">
        <v>42</v>
      </c>
      <c r="AA1" s="1" t="s">
        <v>43</v>
      </c>
      <c r="AB1" s="1" t="s">
        <v>45</v>
      </c>
      <c r="AC1" s="1" t="s">
        <v>47</v>
      </c>
      <c r="AD1" s="1" t="s">
        <v>0</v>
      </c>
      <c r="AE1" s="17" t="s">
        <v>51</v>
      </c>
      <c r="AF1" s="1" t="s">
        <v>56</v>
      </c>
      <c r="AG1" s="1" t="s">
        <v>57</v>
      </c>
      <c r="AH1" s="13" t="s">
        <v>58</v>
      </c>
      <c r="AI1" s="1" t="s">
        <v>59</v>
      </c>
      <c r="AJ1" s="1" t="s">
        <v>60</v>
      </c>
      <c r="AK1" s="19" t="s">
        <v>65</v>
      </c>
      <c r="AL1" s="1" t="s">
        <v>61</v>
      </c>
      <c r="AM1" s="1" t="s">
        <v>62</v>
      </c>
      <c r="AN1" s="8" t="s">
        <v>63</v>
      </c>
      <c r="AO1" s="21"/>
    </row>
    <row r="2" ht="24.75" customHeight="1">
      <c r="A2" s="30"/>
      <c r="B2" s="30" t="s">
        <v>72</v>
      </c>
      <c r="C2" s="32" t="s">
        <v>73</v>
      </c>
      <c r="D2" s="34" t="s">
        <v>75</v>
      </c>
      <c r="E2" s="32" t="s">
        <v>84</v>
      </c>
      <c r="F2" s="34"/>
      <c r="G2" s="34" t="s">
        <v>85</v>
      </c>
      <c r="H2" s="36"/>
      <c r="I2" s="36"/>
      <c r="J2" s="36"/>
      <c r="K2" s="32" t="s">
        <v>86</v>
      </c>
      <c r="L2" s="34" t="s">
        <v>87</v>
      </c>
      <c r="M2" s="32" t="s">
        <v>88</v>
      </c>
      <c r="N2" s="32" t="s">
        <v>89</v>
      </c>
      <c r="O2" s="32"/>
      <c r="P2" s="38"/>
      <c r="Q2" s="38"/>
      <c r="R2" s="36"/>
      <c r="S2" s="32"/>
      <c r="T2" s="42"/>
      <c r="U2" s="38"/>
      <c r="V2" s="34"/>
      <c r="W2" s="32" t="s">
        <v>105</v>
      </c>
      <c r="X2" s="32" t="s">
        <v>106</v>
      </c>
      <c r="Y2" s="45" t="s">
        <v>107</v>
      </c>
      <c r="Z2" s="32" t="s">
        <v>112</v>
      </c>
      <c r="AA2" s="47"/>
      <c r="AB2" s="32" t="s">
        <v>113</v>
      </c>
      <c r="AC2" s="32" t="s">
        <v>114</v>
      </c>
      <c r="AD2" s="50"/>
      <c r="AE2" s="51"/>
      <c r="AF2" s="53"/>
      <c r="AG2" s="54" t="s">
        <v>80</v>
      </c>
      <c r="AH2" s="56" t="s">
        <v>121</v>
      </c>
      <c r="AI2" s="57"/>
      <c r="AJ2" s="58"/>
      <c r="AK2" s="61" t="str">
        <f t="shared" ref="AK2:AK4" si="1">IF(OR(ISBLANK(B2),ISBLANK(C2),ISBLANK(H2),ISBLANK(A2)),B2&amp;" - "&amp;C2,B2&amp;" - "&amp;C2&amp;" - "&amp;TEXT(H2,"YYYY-MM-DD")&amp; " ("&amp;A2&amp;")")</f>
        <v>American Institutes for Research - Secure Analytics Workbench (SAW)</v>
      </c>
      <c r="AL2" s="58">
        <v>42746.0</v>
      </c>
      <c r="AM2" s="58"/>
      <c r="AN2" s="63"/>
      <c r="AO2" s="21"/>
    </row>
    <row r="3" ht="24.75" customHeight="1">
      <c r="A3" s="53"/>
      <c r="B3" s="57" t="s">
        <v>137</v>
      </c>
      <c r="C3" s="57" t="s">
        <v>138</v>
      </c>
      <c r="D3" s="54" t="s">
        <v>75</v>
      </c>
      <c r="E3" s="57" t="s">
        <v>139</v>
      </c>
      <c r="F3" s="54" t="s">
        <v>140</v>
      </c>
      <c r="G3" s="54" t="s">
        <v>85</v>
      </c>
      <c r="H3" s="47"/>
      <c r="I3" s="47"/>
      <c r="J3" s="47"/>
      <c r="K3" s="32" t="s">
        <v>86</v>
      </c>
      <c r="L3" s="54" t="s">
        <v>141</v>
      </c>
      <c r="M3" s="63" t="s">
        <v>88</v>
      </c>
      <c r="N3" s="32" t="s">
        <v>89</v>
      </c>
      <c r="O3" s="57" t="s">
        <v>142</v>
      </c>
      <c r="P3" s="32" t="s">
        <v>143</v>
      </c>
      <c r="Q3" s="47"/>
      <c r="R3" s="47"/>
      <c r="S3" s="57" t="s">
        <v>142</v>
      </c>
      <c r="T3" s="38"/>
      <c r="U3" s="47"/>
      <c r="V3" s="65"/>
      <c r="W3" s="57" t="s">
        <v>146</v>
      </c>
      <c r="X3" s="57" t="s">
        <v>147</v>
      </c>
      <c r="Y3" s="67" t="s">
        <v>149</v>
      </c>
      <c r="Z3" s="32" t="s">
        <v>112</v>
      </c>
      <c r="AA3" s="47"/>
      <c r="AB3" s="57"/>
      <c r="AC3" s="68" t="s">
        <v>166</v>
      </c>
      <c r="AD3" s="47"/>
      <c r="AE3" s="73"/>
      <c r="AF3" s="47"/>
      <c r="AG3" s="54" t="s">
        <v>74</v>
      </c>
      <c r="AH3" s="56" t="s">
        <v>186</v>
      </c>
      <c r="AI3" s="47"/>
      <c r="AJ3" s="41"/>
      <c r="AK3" s="61" t="str">
        <f t="shared" si="1"/>
        <v>Autodesk - Autodesk BIM 360 Glue</v>
      </c>
      <c r="AL3" s="77"/>
      <c r="AM3" s="83">
        <v>42511.0</v>
      </c>
      <c r="AN3" s="56" t="s">
        <v>213</v>
      </c>
      <c r="AO3" s="84"/>
    </row>
    <row r="4">
      <c r="A4" s="85"/>
      <c r="B4" s="87" t="s">
        <v>137</v>
      </c>
      <c r="C4" s="87" t="s">
        <v>226</v>
      </c>
      <c r="D4" s="90" t="s">
        <v>75</v>
      </c>
      <c r="E4" s="87" t="s">
        <v>230</v>
      </c>
      <c r="F4" s="90" t="s">
        <v>140</v>
      </c>
      <c r="G4" s="90" t="s">
        <v>85</v>
      </c>
      <c r="H4" s="91"/>
      <c r="I4" s="91"/>
      <c r="J4" s="91"/>
      <c r="K4" s="92" t="s">
        <v>86</v>
      </c>
      <c r="L4" s="90" t="s">
        <v>141</v>
      </c>
      <c r="M4" s="92" t="s">
        <v>88</v>
      </c>
      <c r="N4" s="92" t="s">
        <v>89</v>
      </c>
      <c r="O4" s="87" t="s">
        <v>142</v>
      </c>
      <c r="P4" s="92" t="s">
        <v>143</v>
      </c>
      <c r="Q4" s="91"/>
      <c r="R4" s="91"/>
      <c r="S4" s="87" t="s">
        <v>142</v>
      </c>
      <c r="T4" s="91"/>
      <c r="U4" s="91"/>
      <c r="V4" s="91"/>
      <c r="W4" s="87" t="s">
        <v>146</v>
      </c>
      <c r="X4" s="87" t="s">
        <v>147</v>
      </c>
      <c r="Y4" s="93" t="s">
        <v>149</v>
      </c>
      <c r="Z4" s="92" t="s">
        <v>112</v>
      </c>
      <c r="AA4" s="91"/>
      <c r="AB4" s="87"/>
      <c r="AC4" s="94" t="s">
        <v>251</v>
      </c>
      <c r="AD4" s="91"/>
      <c r="AE4" s="91"/>
      <c r="AF4" s="91"/>
      <c r="AG4" s="90" t="s">
        <v>74</v>
      </c>
      <c r="AH4" s="97" t="s">
        <v>186</v>
      </c>
      <c r="AI4" s="91"/>
      <c r="AJ4" s="91"/>
      <c r="AK4" s="61" t="str">
        <f t="shared" si="1"/>
        <v>Autodesk - Autodesk Cloud Services (A360)</v>
      </c>
      <c r="AL4" s="91"/>
      <c r="AM4" s="98">
        <v>42511.0</v>
      </c>
      <c r="AN4" s="97" t="s">
        <v>213</v>
      </c>
      <c r="AO4" s="100"/>
    </row>
    <row r="5">
      <c r="A5" s="85"/>
      <c r="B5" s="102" t="s">
        <v>282</v>
      </c>
      <c r="C5" s="102" t="s">
        <v>294</v>
      </c>
      <c r="D5" s="105" t="s">
        <v>75</v>
      </c>
      <c r="E5" s="102" t="s">
        <v>309</v>
      </c>
      <c r="F5" s="105" t="s">
        <v>140</v>
      </c>
      <c r="G5" s="105" t="s">
        <v>85</v>
      </c>
      <c r="H5" s="91"/>
      <c r="I5" s="91"/>
      <c r="J5" s="91"/>
      <c r="K5" s="92" t="s">
        <v>86</v>
      </c>
      <c r="L5" s="105" t="s">
        <v>141</v>
      </c>
      <c r="M5" s="107" t="s">
        <v>313</v>
      </c>
      <c r="N5" s="107" t="s">
        <v>89</v>
      </c>
      <c r="O5" s="102" t="s">
        <v>327</v>
      </c>
      <c r="P5" s="107" t="s">
        <v>328</v>
      </c>
      <c r="Q5" s="91"/>
      <c r="R5" s="91"/>
      <c r="S5" s="102" t="s">
        <v>327</v>
      </c>
      <c r="T5" s="91"/>
      <c r="U5" s="91"/>
      <c r="V5" s="108" t="s">
        <v>80</v>
      </c>
      <c r="W5" s="102" t="s">
        <v>335</v>
      </c>
      <c r="X5" s="102" t="s">
        <v>336</v>
      </c>
      <c r="Y5" s="110" t="s">
        <v>337</v>
      </c>
      <c r="Z5" s="107" t="s">
        <v>112</v>
      </c>
      <c r="AA5" s="91"/>
      <c r="AB5" s="102"/>
      <c r="AC5" s="112" t="s">
        <v>351</v>
      </c>
      <c r="AD5" s="91"/>
      <c r="AE5" s="91"/>
      <c r="AF5" s="91"/>
      <c r="AG5" s="105" t="s">
        <v>80</v>
      </c>
      <c r="AH5" s="113" t="s">
        <v>366</v>
      </c>
      <c r="AI5" s="91"/>
      <c r="AJ5" s="91"/>
      <c r="AK5" s="61" t="s">
        <v>370</v>
      </c>
      <c r="AL5" s="91"/>
      <c r="AM5" s="114">
        <v>42573.0</v>
      </c>
      <c r="AN5" s="113" t="s">
        <v>375</v>
      </c>
      <c r="AO5" s="100"/>
    </row>
    <row r="6">
      <c r="A6" s="85"/>
      <c r="B6" s="102" t="s">
        <v>377</v>
      </c>
      <c r="C6" s="102" t="s">
        <v>378</v>
      </c>
      <c r="D6" s="105" t="s">
        <v>91</v>
      </c>
      <c r="E6" s="102" t="s">
        <v>381</v>
      </c>
      <c r="F6" s="105"/>
      <c r="G6" s="105" t="s">
        <v>85</v>
      </c>
      <c r="H6" s="91"/>
      <c r="I6" s="91"/>
      <c r="J6" s="91"/>
      <c r="K6" s="92" t="s">
        <v>86</v>
      </c>
      <c r="L6" s="105" t="s">
        <v>87</v>
      </c>
      <c r="M6" s="107" t="s">
        <v>383</v>
      </c>
      <c r="N6" s="107" t="s">
        <v>89</v>
      </c>
      <c r="O6" s="102"/>
      <c r="P6" s="107"/>
      <c r="Q6" s="91"/>
      <c r="R6" s="91"/>
      <c r="S6" s="102"/>
      <c r="T6" s="91"/>
      <c r="U6" s="91"/>
      <c r="V6" s="91"/>
      <c r="W6" s="102" t="s">
        <v>385</v>
      </c>
      <c r="X6" s="102" t="s">
        <v>387</v>
      </c>
      <c r="Y6" s="110" t="s">
        <v>388</v>
      </c>
      <c r="Z6" s="107" t="s">
        <v>112</v>
      </c>
      <c r="AA6" s="91"/>
      <c r="AB6" s="102" t="s">
        <v>389</v>
      </c>
      <c r="AC6" s="112" t="s">
        <v>391</v>
      </c>
      <c r="AD6" s="91"/>
      <c r="AE6" s="91"/>
      <c r="AF6" s="91"/>
      <c r="AG6" s="105" t="s">
        <v>80</v>
      </c>
      <c r="AH6" s="113" t="s">
        <v>393</v>
      </c>
      <c r="AI6" s="91"/>
      <c r="AJ6" s="91"/>
      <c r="AK6" s="61" t="s">
        <v>395</v>
      </c>
      <c r="AL6" s="108">
        <v>42839.0</v>
      </c>
      <c r="AM6" s="114"/>
      <c r="AN6" s="113"/>
      <c r="AO6" s="115"/>
    </row>
    <row r="7" ht="24.75" customHeight="1">
      <c r="A7" s="53"/>
      <c r="B7" s="57" t="s">
        <v>396</v>
      </c>
      <c r="C7" s="57" t="s">
        <v>396</v>
      </c>
      <c r="D7" s="54" t="s">
        <v>75</v>
      </c>
      <c r="E7" s="57" t="s">
        <v>399</v>
      </c>
      <c r="F7" s="54" t="s">
        <v>140</v>
      </c>
      <c r="G7" s="54" t="s">
        <v>85</v>
      </c>
      <c r="H7" s="47"/>
      <c r="I7" s="47"/>
      <c r="J7" s="47"/>
      <c r="K7" s="32" t="s">
        <v>86</v>
      </c>
      <c r="L7" s="54" t="s">
        <v>141</v>
      </c>
      <c r="M7" s="63" t="s">
        <v>88</v>
      </c>
      <c r="N7" s="32" t="s">
        <v>89</v>
      </c>
      <c r="O7" s="32" t="s">
        <v>402</v>
      </c>
      <c r="P7" s="47"/>
      <c r="Q7" s="47"/>
      <c r="R7" s="47"/>
      <c r="S7" s="32" t="s">
        <v>402</v>
      </c>
      <c r="T7" s="38"/>
      <c r="U7" s="47"/>
      <c r="V7" s="65"/>
      <c r="W7" s="57" t="s">
        <v>404</v>
      </c>
      <c r="X7" s="57" t="s">
        <v>405</v>
      </c>
      <c r="Y7" s="67" t="s">
        <v>406</v>
      </c>
      <c r="Z7" s="32" t="s">
        <v>112</v>
      </c>
      <c r="AA7" s="47"/>
      <c r="AB7" s="60" t="s">
        <v>412</v>
      </c>
      <c r="AC7" s="68" t="s">
        <v>414</v>
      </c>
      <c r="AD7" s="47"/>
      <c r="AE7" s="73"/>
      <c r="AF7" s="47"/>
      <c r="AG7" s="90" t="s">
        <v>74</v>
      </c>
      <c r="AH7" s="56" t="s">
        <v>418</v>
      </c>
      <c r="AI7" s="47"/>
      <c r="AJ7" s="41"/>
      <c r="AK7" s="61" t="str">
        <f t="shared" ref="AK7:AK8" si="2">IF(OR(ISBLANK(B7),ISBLANK(C7),ISBLANK(H7),ISBLANK(A7)),B7&amp;" - "&amp;C7,B7&amp;" - "&amp;C7&amp;" - "&amp;TEXT(H7,"YYYY-MM-DD")&amp; " ("&amp;A7&amp;")")</f>
        <v>Cirrus Insight - Cirrus Insight</v>
      </c>
      <c r="AL7" s="77"/>
      <c r="AM7" s="83">
        <v>42878.0</v>
      </c>
      <c r="AN7" s="56" t="s">
        <v>437</v>
      </c>
      <c r="AO7" s="84"/>
    </row>
    <row r="8" ht="24.75" customHeight="1">
      <c r="A8" s="53"/>
      <c r="B8" s="57" t="s">
        <v>441</v>
      </c>
      <c r="C8" s="57" t="s">
        <v>442</v>
      </c>
      <c r="D8" s="54" t="s">
        <v>75</v>
      </c>
      <c r="E8" s="57" t="s">
        <v>443</v>
      </c>
      <c r="F8" s="54" t="s">
        <v>140</v>
      </c>
      <c r="G8" s="119" t="s">
        <v>85</v>
      </c>
      <c r="H8" s="120"/>
      <c r="I8" s="47"/>
      <c r="J8" s="47"/>
      <c r="K8" s="32" t="s">
        <v>86</v>
      </c>
      <c r="L8" s="34" t="s">
        <v>141</v>
      </c>
      <c r="M8" s="32" t="s">
        <v>313</v>
      </c>
      <c r="N8" s="32" t="s">
        <v>89</v>
      </c>
      <c r="O8" s="32"/>
      <c r="P8" s="120"/>
      <c r="Q8" s="47"/>
      <c r="R8" s="47"/>
      <c r="S8" s="121"/>
      <c r="T8" s="122"/>
      <c r="U8" s="47"/>
      <c r="V8" s="65"/>
      <c r="W8" s="57" t="s">
        <v>465</v>
      </c>
      <c r="X8" s="57" t="s">
        <v>467</v>
      </c>
      <c r="Y8" s="32" t="s">
        <v>469</v>
      </c>
      <c r="Z8" s="120" t="s">
        <v>112</v>
      </c>
      <c r="AA8" s="120"/>
      <c r="AB8" s="123"/>
      <c r="AC8" s="122" t="s">
        <v>473</v>
      </c>
      <c r="AD8" s="120"/>
      <c r="AE8" s="73"/>
      <c r="AF8" s="47"/>
      <c r="AG8" s="90" t="s">
        <v>74</v>
      </c>
      <c r="AH8" s="63" t="s">
        <v>476</v>
      </c>
      <c r="AI8" s="120"/>
      <c r="AJ8" s="41"/>
      <c r="AK8" s="61" t="str">
        <f t="shared" si="2"/>
        <v>Citrix Systems, Inc. - Citrix ShareFile</v>
      </c>
      <c r="AL8" s="77"/>
      <c r="AM8" s="83">
        <v>42842.0</v>
      </c>
      <c r="AN8" s="63" t="s">
        <v>482</v>
      </c>
      <c r="AO8" s="84"/>
    </row>
    <row r="9" ht="24.75" customHeight="1">
      <c r="A9" s="53"/>
      <c r="B9" s="57" t="s">
        <v>485</v>
      </c>
      <c r="C9" s="57" t="s">
        <v>486</v>
      </c>
      <c r="D9" s="54" t="s">
        <v>75</v>
      </c>
      <c r="E9" s="57" t="s">
        <v>487</v>
      </c>
      <c r="F9" s="54"/>
      <c r="G9" s="119" t="s">
        <v>85</v>
      </c>
      <c r="H9" s="47"/>
      <c r="I9" s="47"/>
      <c r="J9" s="47"/>
      <c r="K9" s="32" t="s">
        <v>86</v>
      </c>
      <c r="L9" s="34" t="s">
        <v>87</v>
      </c>
      <c r="M9" s="32" t="s">
        <v>218</v>
      </c>
      <c r="N9" s="32" t="s">
        <v>89</v>
      </c>
      <c r="O9" s="32"/>
      <c r="P9" s="47"/>
      <c r="Q9" s="47"/>
      <c r="R9" s="47"/>
      <c r="S9" s="32"/>
      <c r="T9" s="38"/>
      <c r="U9" s="47"/>
      <c r="V9" s="65"/>
      <c r="W9" s="57" t="s">
        <v>491</v>
      </c>
      <c r="X9" s="57" t="s">
        <v>493</v>
      </c>
      <c r="Y9" s="32" t="s">
        <v>495</v>
      </c>
      <c r="Z9" s="120" t="s">
        <v>112</v>
      </c>
      <c r="AA9" s="47"/>
      <c r="AB9" s="60" t="s">
        <v>389</v>
      </c>
      <c r="AC9" s="122" t="s">
        <v>498</v>
      </c>
      <c r="AD9" s="47"/>
      <c r="AE9" s="73"/>
      <c r="AF9" s="47"/>
      <c r="AG9" s="105" t="s">
        <v>80</v>
      </c>
      <c r="AH9" s="63" t="s">
        <v>499</v>
      </c>
      <c r="AI9" s="47"/>
      <c r="AJ9" s="127"/>
      <c r="AK9" s="61" t="s">
        <v>514</v>
      </c>
      <c r="AL9" s="133">
        <v>42643.0</v>
      </c>
      <c r="AM9" s="83"/>
      <c r="AN9" s="63"/>
      <c r="AO9" s="84"/>
    </row>
    <row r="10" ht="24.75" customHeight="1">
      <c r="A10" s="53"/>
      <c r="B10" s="57" t="s">
        <v>526</v>
      </c>
      <c r="C10" s="57" t="s">
        <v>527</v>
      </c>
      <c r="D10" s="54" t="s">
        <v>75</v>
      </c>
      <c r="E10" s="57" t="s">
        <v>528</v>
      </c>
      <c r="F10" s="54" t="s">
        <v>140</v>
      </c>
      <c r="G10" s="54" t="s">
        <v>85</v>
      </c>
      <c r="H10" s="47"/>
      <c r="I10" s="47"/>
      <c r="J10" s="47"/>
      <c r="K10" s="32" t="s">
        <v>86</v>
      </c>
      <c r="L10" s="54" t="s">
        <v>141</v>
      </c>
      <c r="M10" s="63" t="s">
        <v>218</v>
      </c>
      <c r="N10" s="32" t="s">
        <v>89</v>
      </c>
      <c r="O10" s="32"/>
      <c r="P10" s="47"/>
      <c r="Q10" s="47"/>
      <c r="R10" s="47"/>
      <c r="S10" s="32"/>
      <c r="T10" s="38"/>
      <c r="U10" s="47"/>
      <c r="V10" s="65"/>
      <c r="W10" s="57" t="s">
        <v>531</v>
      </c>
      <c r="X10" s="57" t="s">
        <v>532</v>
      </c>
      <c r="Y10" s="67" t="s">
        <v>534</v>
      </c>
      <c r="Z10" s="32" t="s">
        <v>112</v>
      </c>
      <c r="AA10" s="47"/>
      <c r="AB10" s="57"/>
      <c r="AC10" s="32" t="s">
        <v>541</v>
      </c>
      <c r="AD10" s="47"/>
      <c r="AE10" s="73"/>
      <c r="AF10" s="47"/>
      <c r="AG10" s="90" t="s">
        <v>74</v>
      </c>
      <c r="AH10" s="56" t="s">
        <v>543</v>
      </c>
      <c r="AI10" s="47"/>
      <c r="AJ10" s="41"/>
      <c r="AK10" s="61" t="str">
        <f t="shared" ref="AK10:AK14" si="3">IF(OR(ISBLANK(B10),ISBLANK(C10),ISBLANK(H10),ISBLANK(A10)),B10&amp;" - "&amp;C10,B10&amp;" - "&amp;C10&amp;" - "&amp;TEXT(H10,"YYYY-MM-DD")&amp; " ("&amp;A10&amp;")")</f>
        <v>Coupa Software Inc. - Coupa Cloud Spend Management Services</v>
      </c>
      <c r="AL10" s="77"/>
      <c r="AM10" s="83"/>
      <c r="AN10" s="63"/>
      <c r="AO10" s="84"/>
    </row>
    <row r="11" ht="24.75" customHeight="1">
      <c r="A11" s="53"/>
      <c r="B11" s="57" t="s">
        <v>550</v>
      </c>
      <c r="C11" s="57" t="s">
        <v>551</v>
      </c>
      <c r="D11" s="54" t="s">
        <v>91</v>
      </c>
      <c r="E11" s="57" t="s">
        <v>552</v>
      </c>
      <c r="F11" s="54" t="s">
        <v>140</v>
      </c>
      <c r="G11" s="54" t="s">
        <v>85</v>
      </c>
      <c r="H11" s="47"/>
      <c r="I11" s="47"/>
      <c r="J11" s="47"/>
      <c r="K11" s="32" t="s">
        <v>86</v>
      </c>
      <c r="L11" s="54" t="s">
        <v>141</v>
      </c>
      <c r="M11" s="63" t="s">
        <v>218</v>
      </c>
      <c r="N11" s="32" t="s">
        <v>89</v>
      </c>
      <c r="O11" s="57" t="s">
        <v>196</v>
      </c>
      <c r="P11" s="32" t="s">
        <v>556</v>
      </c>
      <c r="Q11" s="47"/>
      <c r="R11" s="47"/>
      <c r="S11" s="57" t="s">
        <v>196</v>
      </c>
      <c r="T11" s="38"/>
      <c r="U11" s="47"/>
      <c r="V11" s="65"/>
      <c r="W11" s="57" t="s">
        <v>558</v>
      </c>
      <c r="X11" s="57" t="s">
        <v>559</v>
      </c>
      <c r="Y11" s="67" t="s">
        <v>560</v>
      </c>
      <c r="Z11" s="32" t="s">
        <v>112</v>
      </c>
      <c r="AA11" s="47"/>
      <c r="AB11" s="121"/>
      <c r="AC11" s="32" t="s">
        <v>568</v>
      </c>
      <c r="AD11" s="47"/>
      <c r="AE11" s="73"/>
      <c r="AF11" s="47"/>
      <c r="AG11" s="90" t="s">
        <v>74</v>
      </c>
      <c r="AH11" s="56" t="s">
        <v>570</v>
      </c>
      <c r="AI11" s="47"/>
      <c r="AJ11" s="41"/>
      <c r="AK11" s="61" t="str">
        <f t="shared" si="3"/>
        <v>CSC - NX</v>
      </c>
      <c r="AL11" s="77"/>
      <c r="AM11" s="83">
        <v>42062.0</v>
      </c>
      <c r="AN11" s="56" t="s">
        <v>576</v>
      </c>
      <c r="AO11" s="84"/>
    </row>
    <row r="12" ht="24.75" customHeight="1">
      <c r="A12" s="53"/>
      <c r="B12" s="57" t="s">
        <v>298</v>
      </c>
      <c r="C12" s="57" t="s">
        <v>582</v>
      </c>
      <c r="D12" s="54" t="s">
        <v>584</v>
      </c>
      <c r="E12" s="57" t="s">
        <v>585</v>
      </c>
      <c r="F12" s="54" t="s">
        <v>140</v>
      </c>
      <c r="G12" s="119" t="s">
        <v>85</v>
      </c>
      <c r="H12" s="47"/>
      <c r="I12" s="47"/>
      <c r="J12" s="121"/>
      <c r="K12" s="139" t="s">
        <v>86</v>
      </c>
      <c r="L12" s="34" t="s">
        <v>141</v>
      </c>
      <c r="M12" s="32" t="s">
        <v>218</v>
      </c>
      <c r="N12" s="57" t="s">
        <v>89</v>
      </c>
      <c r="O12" s="32" t="s">
        <v>402</v>
      </c>
      <c r="P12" s="32"/>
      <c r="Q12" s="47"/>
      <c r="R12" s="47"/>
      <c r="S12" s="122" t="s">
        <v>402</v>
      </c>
      <c r="T12" s="122"/>
      <c r="U12" s="47"/>
      <c r="V12" s="65"/>
      <c r="W12" s="57" t="s">
        <v>597</v>
      </c>
      <c r="X12" s="57" t="s">
        <v>598</v>
      </c>
      <c r="Y12" s="32" t="s">
        <v>599</v>
      </c>
      <c r="Z12" s="120" t="s">
        <v>112</v>
      </c>
      <c r="AA12" s="120"/>
      <c r="AB12" s="32" t="s">
        <v>290</v>
      </c>
      <c r="AC12" s="122" t="s">
        <v>600</v>
      </c>
      <c r="AD12" s="73"/>
      <c r="AE12" s="47"/>
      <c r="AF12" s="142"/>
      <c r="AG12" s="90" t="s">
        <v>74</v>
      </c>
      <c r="AH12" s="54" t="s">
        <v>611</v>
      </c>
      <c r="AI12" s="41"/>
      <c r="AJ12" s="143"/>
      <c r="AK12" s="61" t="str">
        <f t="shared" si="3"/>
        <v>CTAC - Platform as a Service (PaaS) Content Management Platform (CMP)</v>
      </c>
      <c r="AL12" s="77"/>
      <c r="AM12" s="83">
        <v>41640.0</v>
      </c>
      <c r="AN12" s="63" t="s">
        <v>437</v>
      </c>
      <c r="AO12" s="84"/>
    </row>
    <row r="13" ht="24.75" customHeight="1">
      <c r="A13" s="53"/>
      <c r="B13" s="57" t="s">
        <v>624</v>
      </c>
      <c r="C13" s="57" t="s">
        <v>626</v>
      </c>
      <c r="D13" s="54" t="s">
        <v>75</v>
      </c>
      <c r="E13" s="57" t="s">
        <v>628</v>
      </c>
      <c r="F13" s="54" t="s">
        <v>140</v>
      </c>
      <c r="G13" s="54" t="s">
        <v>85</v>
      </c>
      <c r="H13" s="47"/>
      <c r="I13" s="47"/>
      <c r="J13" s="47"/>
      <c r="K13" s="32" t="s">
        <v>86</v>
      </c>
      <c r="L13" s="54" t="s">
        <v>141</v>
      </c>
      <c r="M13" s="63" t="s">
        <v>88</v>
      </c>
      <c r="N13" s="32" t="s">
        <v>89</v>
      </c>
      <c r="O13" s="32" t="s">
        <v>634</v>
      </c>
      <c r="P13" s="47"/>
      <c r="Q13" s="47"/>
      <c r="R13" s="32"/>
      <c r="S13" s="32" t="s">
        <v>634</v>
      </c>
      <c r="T13" s="38"/>
      <c r="U13" s="47"/>
      <c r="V13" s="65"/>
      <c r="W13" s="57" t="s">
        <v>637</v>
      </c>
      <c r="X13" s="57" t="s">
        <v>638</v>
      </c>
      <c r="Y13" s="67" t="s">
        <v>639</v>
      </c>
      <c r="Z13" s="32" t="s">
        <v>112</v>
      </c>
      <c r="AA13" s="47"/>
      <c r="AB13" s="60" t="s">
        <v>647</v>
      </c>
      <c r="AC13" s="32" t="s">
        <v>651</v>
      </c>
      <c r="AD13" s="47"/>
      <c r="AE13" s="73"/>
      <c r="AF13" s="47"/>
      <c r="AG13" s="54" t="s">
        <v>80</v>
      </c>
      <c r="AH13" s="56" t="s">
        <v>655</v>
      </c>
      <c r="AI13" s="47"/>
      <c r="AJ13" s="58"/>
      <c r="AK13" s="61" t="str">
        <f t="shared" si="3"/>
        <v>GWAVA Cloud Services - GWAVA Micro Focus</v>
      </c>
      <c r="AL13" s="77"/>
      <c r="AM13" s="83">
        <v>42745.0</v>
      </c>
      <c r="AN13" s="56" t="s">
        <v>662</v>
      </c>
      <c r="AO13" s="84"/>
    </row>
    <row r="14" ht="24.75" customHeight="1">
      <c r="A14" s="53"/>
      <c r="B14" s="57" t="s">
        <v>667</v>
      </c>
      <c r="C14" s="57" t="s">
        <v>668</v>
      </c>
      <c r="D14" s="54" t="s">
        <v>75</v>
      </c>
      <c r="E14" s="57" t="s">
        <v>669</v>
      </c>
      <c r="F14" s="54" t="s">
        <v>140</v>
      </c>
      <c r="G14" s="54" t="s">
        <v>85</v>
      </c>
      <c r="H14" s="47"/>
      <c r="I14" s="47"/>
      <c r="J14" s="47"/>
      <c r="K14" s="32" t="s">
        <v>86</v>
      </c>
      <c r="L14" s="54" t="s">
        <v>141</v>
      </c>
      <c r="M14" s="63" t="s">
        <v>383</v>
      </c>
      <c r="N14" s="32" t="s">
        <v>89</v>
      </c>
      <c r="O14" s="32"/>
      <c r="P14" s="47"/>
      <c r="Q14" s="47"/>
      <c r="R14" s="47"/>
      <c r="S14" s="32"/>
      <c r="T14" s="38"/>
      <c r="U14" s="47"/>
      <c r="V14" s="65"/>
      <c r="W14" s="57" t="s">
        <v>672</v>
      </c>
      <c r="X14" s="57" t="s">
        <v>673</v>
      </c>
      <c r="Y14" s="67" t="s">
        <v>675</v>
      </c>
      <c r="Z14" s="32" t="s">
        <v>112</v>
      </c>
      <c r="AA14" s="47"/>
      <c r="AB14" s="32" t="s">
        <v>113</v>
      </c>
      <c r="AC14" s="32" t="s">
        <v>677</v>
      </c>
      <c r="AD14" s="47"/>
      <c r="AE14" s="73"/>
      <c r="AF14" s="47"/>
      <c r="AG14" s="90" t="s">
        <v>74</v>
      </c>
      <c r="AH14" s="56" t="s">
        <v>680</v>
      </c>
      <c r="AI14" s="47"/>
      <c r="AJ14" s="58"/>
      <c r="AK14" s="61" t="str">
        <f t="shared" si="3"/>
        <v>HealthStream - HealthStream Learning Center (HLC)</v>
      </c>
      <c r="AL14" s="77"/>
      <c r="AM14" s="83">
        <v>42704.0</v>
      </c>
      <c r="AN14" s="56" t="s">
        <v>688</v>
      </c>
      <c r="AO14" s="84"/>
    </row>
    <row r="15" ht="24.75" customHeight="1">
      <c r="A15" s="53"/>
      <c r="B15" s="57" t="s">
        <v>691</v>
      </c>
      <c r="C15" s="57" t="s">
        <v>692</v>
      </c>
      <c r="D15" s="54" t="s">
        <v>75</v>
      </c>
      <c r="E15" s="57" t="s">
        <v>694</v>
      </c>
      <c r="F15" s="54"/>
      <c r="G15" s="54" t="s">
        <v>85</v>
      </c>
      <c r="H15" s="47"/>
      <c r="I15" s="47"/>
      <c r="J15" s="47"/>
      <c r="K15" s="32" t="s">
        <v>86</v>
      </c>
      <c r="L15" s="54" t="s">
        <v>87</v>
      </c>
      <c r="M15" s="63" t="s">
        <v>218</v>
      </c>
      <c r="N15" s="32" t="s">
        <v>89</v>
      </c>
      <c r="O15" s="32"/>
      <c r="P15" s="47"/>
      <c r="Q15" s="47"/>
      <c r="R15" s="47"/>
      <c r="S15" s="32"/>
      <c r="T15" s="38"/>
      <c r="U15" s="47"/>
      <c r="V15" s="65"/>
      <c r="W15" s="57" t="s">
        <v>698</v>
      </c>
      <c r="X15" s="57" t="s">
        <v>699</v>
      </c>
      <c r="Y15" s="57" t="s">
        <v>700</v>
      </c>
      <c r="Z15" s="32" t="s">
        <v>112</v>
      </c>
      <c r="AA15" s="47"/>
      <c r="AB15" s="32" t="s">
        <v>113</v>
      </c>
      <c r="AC15" s="32" t="s">
        <v>706</v>
      </c>
      <c r="AD15" s="47"/>
      <c r="AE15" s="73"/>
      <c r="AF15" s="47"/>
      <c r="AG15" s="105" t="s">
        <v>80</v>
      </c>
      <c r="AH15" s="63" t="s">
        <v>707</v>
      </c>
      <c r="AI15" s="47"/>
      <c r="AJ15" s="58"/>
      <c r="AK15" s="61" t="s">
        <v>709</v>
      </c>
      <c r="AL15" s="133">
        <v>42762.0</v>
      </c>
      <c r="AM15" s="83"/>
      <c r="AN15" s="63"/>
      <c r="AO15" s="84"/>
    </row>
    <row r="16" ht="24.75" customHeight="1">
      <c r="A16" s="148"/>
      <c r="B16" s="149" t="s">
        <v>729</v>
      </c>
      <c r="C16" s="149" t="s">
        <v>737</v>
      </c>
      <c r="D16" s="34" t="s">
        <v>75</v>
      </c>
      <c r="E16" s="60" t="s">
        <v>739</v>
      </c>
      <c r="F16" s="34" t="s">
        <v>140</v>
      </c>
      <c r="G16" s="34" t="s">
        <v>85</v>
      </c>
      <c r="H16" s="36"/>
      <c r="I16" s="150"/>
      <c r="J16" s="36"/>
      <c r="K16" s="32" t="s">
        <v>86</v>
      </c>
      <c r="L16" s="34" t="s">
        <v>141</v>
      </c>
      <c r="M16" s="63" t="s">
        <v>88</v>
      </c>
      <c r="N16" s="32" t="s">
        <v>89</v>
      </c>
      <c r="O16" s="32" t="s">
        <v>743</v>
      </c>
      <c r="P16" s="47"/>
      <c r="Q16" s="38"/>
      <c r="R16" s="36"/>
      <c r="S16" s="32" t="s">
        <v>743</v>
      </c>
      <c r="T16" s="151"/>
      <c r="U16" s="151"/>
      <c r="V16" s="34" t="s">
        <v>80</v>
      </c>
      <c r="W16" s="149" t="s">
        <v>747</v>
      </c>
      <c r="X16" s="149" t="s">
        <v>748</v>
      </c>
      <c r="Y16" s="152" t="s">
        <v>749</v>
      </c>
      <c r="Z16" s="32" t="s">
        <v>112</v>
      </c>
      <c r="AA16" s="47"/>
      <c r="AB16" s="32" t="s">
        <v>113</v>
      </c>
      <c r="AC16" s="60" t="s">
        <v>760</v>
      </c>
      <c r="AD16" s="38"/>
      <c r="AE16" s="153"/>
      <c r="AF16" s="57" t="s">
        <v>767</v>
      </c>
      <c r="AG16" s="90" t="s">
        <v>74</v>
      </c>
      <c r="AH16" s="56" t="s">
        <v>771</v>
      </c>
      <c r="AI16" s="47"/>
      <c r="AJ16" s="65"/>
      <c r="AK16" s="61" t="str">
        <f t="shared" ref="AK16:AK17" si="4">IF(OR(ISBLANK(B16),ISBLANK(C16),ISBLANK(H16),ISBLANK(A16)),B16&amp;" - "&amp;C16,B16&amp;" - "&amp;C16&amp;" - "&amp;TEXT(H16,"YYYY-MM-DD")&amp; " ("&amp;A16&amp;")")</f>
        <v>Medallia - Medallia GovCloud</v>
      </c>
      <c r="AL16" s="155"/>
      <c r="AM16" s="58">
        <v>42753.0</v>
      </c>
      <c r="AN16" s="56" t="s">
        <v>688</v>
      </c>
      <c r="AO16" s="84"/>
    </row>
    <row r="17" ht="24.75" customHeight="1">
      <c r="A17" s="148"/>
      <c r="B17" s="149" t="s">
        <v>461</v>
      </c>
      <c r="C17" s="149" t="s">
        <v>796</v>
      </c>
      <c r="D17" s="34" t="s">
        <v>584</v>
      </c>
      <c r="E17" s="60" t="s">
        <v>798</v>
      </c>
      <c r="F17" s="34"/>
      <c r="G17" s="34" t="s">
        <v>85</v>
      </c>
      <c r="H17" s="36"/>
      <c r="I17" s="150"/>
      <c r="J17" s="36"/>
      <c r="K17" s="32" t="s">
        <v>86</v>
      </c>
      <c r="L17" s="34" t="s">
        <v>87</v>
      </c>
      <c r="M17" s="63" t="s">
        <v>218</v>
      </c>
      <c r="N17" s="32" t="s">
        <v>89</v>
      </c>
      <c r="O17" s="32"/>
      <c r="P17" s="47"/>
      <c r="Q17" s="38"/>
      <c r="R17" s="36"/>
      <c r="S17" s="32"/>
      <c r="T17" s="151"/>
      <c r="U17" s="151"/>
      <c r="V17" s="34"/>
      <c r="W17" s="149" t="s">
        <v>803</v>
      </c>
      <c r="X17" s="149" t="s">
        <v>806</v>
      </c>
      <c r="Y17" s="152" t="s">
        <v>807</v>
      </c>
      <c r="Z17" s="32" t="s">
        <v>112</v>
      </c>
      <c r="AA17" s="47"/>
      <c r="AB17" s="149" t="s">
        <v>812</v>
      </c>
      <c r="AC17" s="60" t="s">
        <v>814</v>
      </c>
      <c r="AD17" s="38"/>
      <c r="AE17" s="153"/>
      <c r="AF17" s="47"/>
      <c r="AG17" s="34" t="s">
        <v>80</v>
      </c>
      <c r="AH17" s="56" t="s">
        <v>817</v>
      </c>
      <c r="AI17" s="47"/>
      <c r="AJ17" s="65"/>
      <c r="AK17" s="61" t="str">
        <f t="shared" si="4"/>
        <v>MIS Sciences Corporation - GovPoint</v>
      </c>
      <c r="AL17" s="155">
        <v>42782.0</v>
      </c>
      <c r="AM17" s="58"/>
      <c r="AN17" s="63"/>
      <c r="AO17" s="84"/>
    </row>
    <row r="18" ht="24.75" customHeight="1">
      <c r="A18" s="148"/>
      <c r="B18" s="149" t="s">
        <v>826</v>
      </c>
      <c r="C18" s="149" t="s">
        <v>826</v>
      </c>
      <c r="D18" s="34" t="s">
        <v>75</v>
      </c>
      <c r="E18" s="60" t="s">
        <v>828</v>
      </c>
      <c r="F18" s="34" t="s">
        <v>140</v>
      </c>
      <c r="G18" s="34" t="s">
        <v>85</v>
      </c>
      <c r="H18" s="36"/>
      <c r="I18" s="150"/>
      <c r="J18" s="36"/>
      <c r="K18" s="32" t="s">
        <v>86</v>
      </c>
      <c r="L18" s="34" t="s">
        <v>141</v>
      </c>
      <c r="M18" s="63" t="s">
        <v>313</v>
      </c>
      <c r="N18" s="32" t="s">
        <v>89</v>
      </c>
      <c r="O18" s="32" t="s">
        <v>830</v>
      </c>
      <c r="P18" s="120"/>
      <c r="Q18" s="38"/>
      <c r="R18" s="36"/>
      <c r="S18" s="32" t="s">
        <v>830</v>
      </c>
      <c r="T18" s="151"/>
      <c r="U18" s="151"/>
      <c r="V18" s="39"/>
      <c r="W18" s="149" t="s">
        <v>831</v>
      </c>
      <c r="X18" s="149" t="s">
        <v>832</v>
      </c>
      <c r="Y18" s="149" t="s">
        <v>833</v>
      </c>
      <c r="Z18" s="32" t="s">
        <v>112</v>
      </c>
      <c r="AA18" s="47"/>
      <c r="AB18" s="149" t="s">
        <v>834</v>
      </c>
      <c r="AC18" s="60" t="s">
        <v>837</v>
      </c>
      <c r="AD18" s="38"/>
      <c r="AE18" s="153"/>
      <c r="AF18" s="47"/>
      <c r="AG18" s="157" t="s">
        <v>80</v>
      </c>
      <c r="AH18" s="63" t="s">
        <v>848</v>
      </c>
      <c r="AI18" s="47"/>
      <c r="AJ18" s="65"/>
      <c r="AK18" s="61" t="s">
        <v>849</v>
      </c>
      <c r="AL18" s="132"/>
      <c r="AM18" s="58">
        <v>42625.0</v>
      </c>
      <c r="AN18" s="63" t="s">
        <v>851</v>
      </c>
      <c r="AO18" s="84"/>
    </row>
    <row r="19" ht="24.75" customHeight="1">
      <c r="A19" s="148"/>
      <c r="B19" s="149" t="s">
        <v>854</v>
      </c>
      <c r="C19" s="149" t="s">
        <v>856</v>
      </c>
      <c r="D19" s="34" t="s">
        <v>75</v>
      </c>
      <c r="E19" s="60" t="s">
        <v>857</v>
      </c>
      <c r="F19" s="34" t="s">
        <v>140</v>
      </c>
      <c r="G19" s="34" t="s">
        <v>85</v>
      </c>
      <c r="H19" s="36"/>
      <c r="I19" s="150"/>
      <c r="J19" s="36"/>
      <c r="K19" s="32" t="s">
        <v>86</v>
      </c>
      <c r="L19" s="34" t="s">
        <v>141</v>
      </c>
      <c r="M19" s="63" t="s">
        <v>88</v>
      </c>
      <c r="N19" s="32" t="s">
        <v>89</v>
      </c>
      <c r="O19" s="32" t="s">
        <v>850</v>
      </c>
      <c r="P19" s="47"/>
      <c r="Q19" s="38"/>
      <c r="R19" s="36"/>
      <c r="S19" s="32" t="s">
        <v>850</v>
      </c>
      <c r="T19" s="164"/>
      <c r="U19" s="151"/>
      <c r="V19" s="34" t="s">
        <v>80</v>
      </c>
      <c r="W19" s="149" t="s">
        <v>862</v>
      </c>
      <c r="X19" s="149" t="s">
        <v>863</v>
      </c>
      <c r="Y19" s="149" t="s">
        <v>864</v>
      </c>
      <c r="Z19" s="32" t="s">
        <v>112</v>
      </c>
      <c r="AA19" s="47"/>
      <c r="AB19" s="149" t="s">
        <v>866</v>
      </c>
      <c r="AC19" s="60" t="s">
        <v>867</v>
      </c>
      <c r="AD19" s="122"/>
      <c r="AE19" s="153"/>
      <c r="AF19" s="120"/>
      <c r="AG19" s="157" t="s">
        <v>80</v>
      </c>
      <c r="AH19" s="63" t="s">
        <v>869</v>
      </c>
      <c r="AI19" s="47"/>
      <c r="AJ19" s="119"/>
      <c r="AK19" s="61" t="s">
        <v>871</v>
      </c>
      <c r="AL19" s="155"/>
      <c r="AM19" s="58">
        <v>42860.0</v>
      </c>
      <c r="AN19" s="63" t="s">
        <v>870</v>
      </c>
      <c r="AO19" s="84"/>
    </row>
    <row r="20" ht="24.75" customHeight="1">
      <c r="A20" s="53"/>
      <c r="B20" s="30" t="s">
        <v>873</v>
      </c>
      <c r="C20" s="149" t="s">
        <v>874</v>
      </c>
      <c r="D20" s="34" t="s">
        <v>75</v>
      </c>
      <c r="E20" s="32" t="s">
        <v>875</v>
      </c>
      <c r="F20" s="34"/>
      <c r="G20" s="34" t="s">
        <v>85</v>
      </c>
      <c r="H20" s="36"/>
      <c r="I20" s="36"/>
      <c r="J20" s="36"/>
      <c r="K20" s="32" t="s">
        <v>86</v>
      </c>
      <c r="L20" s="34" t="s">
        <v>87</v>
      </c>
      <c r="M20" s="32" t="s">
        <v>313</v>
      </c>
      <c r="N20" s="32" t="s">
        <v>89</v>
      </c>
      <c r="O20" s="38"/>
      <c r="P20" s="38"/>
      <c r="Q20" s="38"/>
      <c r="R20" s="36"/>
      <c r="S20" s="38"/>
      <c r="T20" s="42"/>
      <c r="U20" s="38"/>
      <c r="V20" s="41"/>
      <c r="W20" s="32" t="s">
        <v>878</v>
      </c>
      <c r="X20" s="32" t="s">
        <v>880</v>
      </c>
      <c r="Y20" s="45" t="s">
        <v>881</v>
      </c>
      <c r="Z20" s="32" t="s">
        <v>112</v>
      </c>
      <c r="AA20" s="38"/>
      <c r="AB20" s="60" t="s">
        <v>240</v>
      </c>
      <c r="AC20" s="60" t="s">
        <v>883</v>
      </c>
      <c r="AD20" s="168"/>
      <c r="AE20" s="51"/>
      <c r="AF20" s="53"/>
      <c r="AG20" s="90" t="s">
        <v>74</v>
      </c>
      <c r="AH20" s="56" t="s">
        <v>886</v>
      </c>
      <c r="AI20" s="53"/>
      <c r="AJ20" s="77"/>
      <c r="AK20" s="61" t="str">
        <f>IF(OR(ISBLANK(B20),ISBLANK(C20),ISBLANK(H20),ISBLANK(A20)),B20&amp;" - "&amp;C20,B20&amp;" - "&amp;C20&amp;" - "&amp;TEXT(H20,"YYYY-MM-DD")&amp; " ("&amp;A20&amp;")")</f>
        <v>OnWire - OnCloud</v>
      </c>
      <c r="AL20" s="83">
        <v>41944.0</v>
      </c>
      <c r="AM20" s="83">
        <v>41773.0</v>
      </c>
      <c r="AN20" s="171"/>
      <c r="AO20" s="176"/>
    </row>
    <row r="21" ht="22.5" customHeight="1">
      <c r="A21" s="53"/>
      <c r="B21" s="30" t="s">
        <v>901</v>
      </c>
      <c r="C21" s="149" t="s">
        <v>902</v>
      </c>
      <c r="D21" s="34" t="s">
        <v>75</v>
      </c>
      <c r="E21" s="32" t="s">
        <v>903</v>
      </c>
      <c r="F21" s="34"/>
      <c r="G21" s="34" t="s">
        <v>85</v>
      </c>
      <c r="H21" s="36"/>
      <c r="I21" s="36"/>
      <c r="J21" s="36"/>
      <c r="K21" s="32" t="s">
        <v>86</v>
      </c>
      <c r="L21" s="34" t="s">
        <v>87</v>
      </c>
      <c r="M21" s="32" t="s">
        <v>218</v>
      </c>
      <c r="N21" s="32" t="s">
        <v>89</v>
      </c>
      <c r="O21" s="38"/>
      <c r="P21" s="38"/>
      <c r="Q21" s="38"/>
      <c r="R21" s="36"/>
      <c r="S21" s="38"/>
      <c r="T21" s="42"/>
      <c r="U21" s="38"/>
      <c r="V21" s="41"/>
      <c r="W21" s="60" t="s">
        <v>904</v>
      </c>
      <c r="X21" s="57" t="s">
        <v>905</v>
      </c>
      <c r="Y21" s="67" t="s">
        <v>906</v>
      </c>
      <c r="Z21" s="32" t="s">
        <v>112</v>
      </c>
      <c r="AA21" s="38"/>
      <c r="AB21" s="60" t="s">
        <v>113</v>
      </c>
      <c r="AC21" s="60" t="s">
        <v>908</v>
      </c>
      <c r="AD21" s="51"/>
      <c r="AE21" s="53"/>
      <c r="AF21" s="180" t="s">
        <v>80</v>
      </c>
      <c r="AG21" s="56" t="s">
        <v>911</v>
      </c>
      <c r="AH21" s="53"/>
      <c r="AI21" s="77"/>
      <c r="AJ21" s="83">
        <v>42803.0</v>
      </c>
      <c r="AK21" s="83"/>
      <c r="AL21" s="42"/>
      <c r="AM21" s="83"/>
      <c r="AN21" s="171"/>
      <c r="AO21" s="176"/>
    </row>
    <row r="22" ht="24.75" customHeight="1">
      <c r="A22" s="53"/>
      <c r="B22" s="30" t="s">
        <v>912</v>
      </c>
      <c r="C22" s="149" t="s">
        <v>913</v>
      </c>
      <c r="D22" s="34" t="s">
        <v>75</v>
      </c>
      <c r="E22" s="32" t="s">
        <v>914</v>
      </c>
      <c r="F22" s="34" t="s">
        <v>140</v>
      </c>
      <c r="G22" s="34" t="s">
        <v>85</v>
      </c>
      <c r="H22" s="36"/>
      <c r="I22" s="36"/>
      <c r="J22" s="36"/>
      <c r="K22" s="32" t="s">
        <v>86</v>
      </c>
      <c r="L22" s="34" t="s">
        <v>141</v>
      </c>
      <c r="M22" s="32" t="s">
        <v>313</v>
      </c>
      <c r="N22" s="32" t="s">
        <v>89</v>
      </c>
      <c r="O22" s="122" t="s">
        <v>915</v>
      </c>
      <c r="P22" s="122" t="s">
        <v>916</v>
      </c>
      <c r="Q22" s="38"/>
      <c r="R22" s="48"/>
      <c r="S22" s="122" t="s">
        <v>915</v>
      </c>
      <c r="T22" s="181"/>
      <c r="U22" s="38"/>
      <c r="V22" s="127" t="s">
        <v>80</v>
      </c>
      <c r="W22" s="32" t="s">
        <v>920</v>
      </c>
      <c r="X22" s="32" t="s">
        <v>921</v>
      </c>
      <c r="Y22" s="32" t="s">
        <v>922</v>
      </c>
      <c r="Z22" s="32" t="s">
        <v>112</v>
      </c>
      <c r="AA22" s="38"/>
      <c r="AB22" s="60" t="s">
        <v>834</v>
      </c>
      <c r="AC22" s="60" t="s">
        <v>923</v>
      </c>
      <c r="AD22" s="168"/>
      <c r="AE22" s="51"/>
      <c r="AF22" s="53"/>
      <c r="AG22" s="105" t="s">
        <v>80</v>
      </c>
      <c r="AH22" s="63" t="s">
        <v>924</v>
      </c>
      <c r="AI22" s="53"/>
      <c r="AJ22" s="77"/>
      <c r="AK22" s="61" t="s">
        <v>925</v>
      </c>
      <c r="AL22" s="182"/>
      <c r="AM22" s="83">
        <v>42765.0</v>
      </c>
      <c r="AN22" s="183" t="s">
        <v>928</v>
      </c>
      <c r="AO22" s="184"/>
    </row>
    <row r="23" ht="24.75" customHeight="1">
      <c r="A23" s="185"/>
      <c r="B23" s="186" t="s">
        <v>934</v>
      </c>
      <c r="C23" s="149" t="s">
        <v>937</v>
      </c>
      <c r="D23" s="187" t="s">
        <v>75</v>
      </c>
      <c r="E23" s="188" t="s">
        <v>940</v>
      </c>
      <c r="F23" s="187" t="s">
        <v>93</v>
      </c>
      <c r="G23" s="187" t="s">
        <v>85</v>
      </c>
      <c r="H23" s="189"/>
      <c r="I23" s="189"/>
      <c r="J23" s="189"/>
      <c r="K23" s="188" t="s">
        <v>86</v>
      </c>
      <c r="L23" s="54" t="s">
        <v>87</v>
      </c>
      <c r="M23" s="63"/>
      <c r="N23" s="32"/>
      <c r="O23" s="188"/>
      <c r="P23" s="188"/>
      <c r="Q23" s="190"/>
      <c r="R23" s="191"/>
      <c r="S23" s="188"/>
      <c r="T23" s="32"/>
      <c r="U23" s="190"/>
      <c r="V23" s="34" t="s">
        <v>74</v>
      </c>
      <c r="W23" s="149"/>
      <c r="X23" s="32"/>
      <c r="Y23" s="32"/>
      <c r="Z23" s="32" t="s">
        <v>112</v>
      </c>
      <c r="AA23" s="47"/>
      <c r="AB23" s="57" t="s">
        <v>113</v>
      </c>
      <c r="AC23" s="60"/>
      <c r="AD23" s="194"/>
      <c r="AE23" s="195"/>
      <c r="AF23" s="196"/>
      <c r="AG23" s="90" t="s">
        <v>74</v>
      </c>
      <c r="AH23" s="63"/>
      <c r="AI23" s="196"/>
      <c r="AJ23" s="197"/>
      <c r="AK23" s="61" t="str">
        <f t="shared" ref="AK23:AK25" si="5">IF(OR(ISBLANK(B23),ISBLANK(C23),ISBLANK(H23),ISBLANK(A23)),B23&amp;" - "&amp;C23,B23&amp;" - "&amp;C23&amp;" - "&amp;TEXT(H23,"YYYY-MM-DD")&amp; " ("&amp;A23&amp;")")</f>
        <v>Xerox Corporation - Managed Print Services for US Federal Government</v>
      </c>
      <c r="AL23" s="199">
        <v>42961.0</v>
      </c>
      <c r="AM23" s="199"/>
      <c r="AN23" s="63"/>
      <c r="AO23" s="84"/>
    </row>
    <row r="24" ht="24.75" customHeight="1">
      <c r="A24" s="148"/>
      <c r="B24" s="63" t="s">
        <v>888</v>
      </c>
      <c r="C24" s="57" t="s">
        <v>962</v>
      </c>
      <c r="D24" s="41" t="s">
        <v>75</v>
      </c>
      <c r="E24" s="201" t="s">
        <v>963</v>
      </c>
      <c r="F24" s="39" t="s">
        <v>140</v>
      </c>
      <c r="G24" s="34" t="s">
        <v>85</v>
      </c>
      <c r="H24" s="36"/>
      <c r="I24" s="150"/>
      <c r="J24" s="36"/>
      <c r="K24" s="32" t="s">
        <v>86</v>
      </c>
      <c r="L24" s="34" t="s">
        <v>141</v>
      </c>
      <c r="M24" s="63" t="s">
        <v>383</v>
      </c>
      <c r="N24" s="38" t="s">
        <v>89</v>
      </c>
      <c r="O24" s="32" t="s">
        <v>969</v>
      </c>
      <c r="P24" s="57"/>
      <c r="Q24" s="38"/>
      <c r="R24" s="36"/>
      <c r="S24" s="32" t="s">
        <v>969</v>
      </c>
      <c r="T24" s="63"/>
      <c r="U24" s="151"/>
      <c r="V24" s="34" t="s">
        <v>80</v>
      </c>
      <c r="W24" s="139" t="s">
        <v>970</v>
      </c>
      <c r="X24" s="139" t="s">
        <v>868</v>
      </c>
      <c r="Y24" s="202" t="s">
        <v>971</v>
      </c>
      <c r="Z24" s="32" t="s">
        <v>112</v>
      </c>
      <c r="AA24" s="32"/>
      <c r="AB24" s="32" t="s">
        <v>113</v>
      </c>
      <c r="AC24" s="60" t="s">
        <v>978</v>
      </c>
      <c r="AD24" s="38"/>
      <c r="AE24" s="153"/>
      <c r="AF24" s="47"/>
      <c r="AG24" s="34" t="s">
        <v>80</v>
      </c>
      <c r="AH24" s="56" t="s">
        <v>979</v>
      </c>
      <c r="AI24" s="41"/>
      <c r="AJ24" s="41"/>
      <c r="AK24" s="61" t="str">
        <f t="shared" si="5"/>
        <v>Microsoft - Office 365 with International Traffic In Arms (ITAR) Support - Defense</v>
      </c>
      <c r="AL24" s="41"/>
      <c r="AM24" s="58">
        <v>42065.0</v>
      </c>
      <c r="AN24" s="56" t="s">
        <v>981</v>
      </c>
    </row>
    <row r="25" ht="24.75" customHeight="1">
      <c r="A25" s="53"/>
      <c r="B25" s="57" t="s">
        <v>983</v>
      </c>
      <c r="C25" s="57" t="s">
        <v>984</v>
      </c>
      <c r="D25" s="54" t="s">
        <v>75</v>
      </c>
      <c r="E25" s="149" t="s">
        <v>985</v>
      </c>
      <c r="F25" s="54" t="s">
        <v>140</v>
      </c>
      <c r="G25" s="54" t="s">
        <v>85</v>
      </c>
      <c r="H25" s="47"/>
      <c r="I25" s="47"/>
      <c r="J25" s="47"/>
      <c r="K25" s="32" t="s">
        <v>86</v>
      </c>
      <c r="L25" s="54" t="s">
        <v>141</v>
      </c>
      <c r="M25" s="63" t="s">
        <v>88</v>
      </c>
      <c r="N25" s="32" t="s">
        <v>89</v>
      </c>
      <c r="O25" s="57" t="s">
        <v>989</v>
      </c>
      <c r="P25" s="32"/>
      <c r="Q25" s="47"/>
      <c r="R25" s="47"/>
      <c r="S25" s="57" t="s">
        <v>989</v>
      </c>
      <c r="T25" s="38"/>
      <c r="U25" s="47"/>
      <c r="V25" s="65"/>
      <c r="W25" s="57" t="s">
        <v>991</v>
      </c>
      <c r="X25" s="57" t="s">
        <v>992</v>
      </c>
      <c r="Y25" s="67" t="s">
        <v>993</v>
      </c>
      <c r="Z25" s="32" t="s">
        <v>112</v>
      </c>
      <c r="AA25" s="47"/>
      <c r="AB25" s="57"/>
      <c r="AC25" s="68" t="s">
        <v>998</v>
      </c>
      <c r="AD25" s="47"/>
      <c r="AE25" s="73"/>
      <c r="AF25" s="47"/>
      <c r="AG25" s="54" t="s">
        <v>80</v>
      </c>
      <c r="AH25" s="56" t="s">
        <v>999</v>
      </c>
      <c r="AI25" s="47"/>
      <c r="AJ25" s="41"/>
      <c r="AK25" s="61" t="str">
        <f t="shared" si="5"/>
        <v>BMC Software - BMC Remedyforce</v>
      </c>
      <c r="AL25" s="77"/>
      <c r="AM25" s="83">
        <v>42824.0</v>
      </c>
      <c r="AN25" s="56" t="s">
        <v>1004</v>
      </c>
      <c r="AO25" s="84"/>
    </row>
  </sheetData>
  <hyperlinks>
    <hyperlink r:id="rId2" ref="Y2"/>
    <hyperlink r:id="rId3" ref="AH2"/>
    <hyperlink r:id="rId4" ref="Y3"/>
    <hyperlink r:id="rId5" ref="AH3"/>
    <hyperlink r:id="rId6" ref="AN3"/>
    <hyperlink r:id="rId7" ref="Y4"/>
    <hyperlink r:id="rId8" ref="AH4"/>
    <hyperlink r:id="rId9" ref="AN4"/>
    <hyperlink r:id="rId10" ref="Y7"/>
    <hyperlink r:id="rId11" ref="AH7"/>
    <hyperlink r:id="rId12" ref="AN7"/>
    <hyperlink r:id="rId13" ref="Y10"/>
    <hyperlink r:id="rId14" ref="AH10"/>
    <hyperlink r:id="rId15" ref="Y11"/>
    <hyperlink r:id="rId16" ref="AH11"/>
    <hyperlink r:id="rId17" ref="AN11"/>
    <hyperlink r:id="rId18" ref="Y13"/>
    <hyperlink r:id="rId19" ref="AH13"/>
    <hyperlink r:id="rId20" ref="AN13"/>
    <hyperlink r:id="rId21" ref="Y14"/>
    <hyperlink r:id="rId22" ref="AH14"/>
    <hyperlink r:id="rId23" ref="AN14"/>
    <hyperlink r:id="rId24" ref="Y16"/>
    <hyperlink r:id="rId25" ref="AH16"/>
    <hyperlink r:id="rId26" ref="AN16"/>
    <hyperlink r:id="rId27" ref="Y17"/>
    <hyperlink r:id="rId28" ref="AH17"/>
    <hyperlink r:id="rId29" ref="Y20"/>
    <hyperlink r:id="rId30" ref="AH20"/>
    <hyperlink r:id="rId31" ref="Y21"/>
    <hyperlink r:id="rId32" ref="AG21"/>
    <hyperlink r:id="rId33" ref="Y24"/>
    <hyperlink r:id="rId34" ref="AH24"/>
    <hyperlink r:id="rId35" ref="AN24"/>
    <hyperlink r:id="rId36" ref="Y25"/>
    <hyperlink r:id="rId37" ref="AH25"/>
    <hyperlink r:id="rId38" ref="AN25"/>
  </hyperlinks>
  <drawing r:id="rId39"/>
  <legacy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3.44" defaultRowHeight="15.0"/>
  <cols>
    <col customWidth="1" min="1" max="1" width="5.67"/>
    <col customWidth="1" min="2" max="2" width="22.22"/>
    <col customWidth="1" min="3" max="3" width="29.67"/>
    <col customWidth="1" min="4" max="4" width="18.89"/>
    <col customWidth="1" min="5" max="5" width="9.89"/>
    <col customWidth="1" min="6" max="6" width="7.67"/>
    <col customWidth="1" min="7" max="7" width="28.11"/>
    <col customWidth="1" min="8" max="8" width="7.44"/>
    <col customWidth="1" min="9" max="9" width="14.33"/>
    <col customWidth="1" min="10" max="10" width="12.56"/>
    <col customWidth="1" min="11" max="11" width="52.67"/>
    <col customWidth="1" min="12" max="12" width="16.22"/>
    <col customWidth="1" min="13" max="13" width="11.11"/>
  </cols>
  <sheetData>
    <row r="1">
      <c r="A1" s="204" t="s">
        <v>868</v>
      </c>
      <c r="B1" s="205" t="s">
        <v>1057</v>
      </c>
      <c r="E1" s="175"/>
      <c r="F1" s="175"/>
      <c r="H1" s="206"/>
      <c r="J1" s="175"/>
      <c r="K1" s="206"/>
      <c r="M1" s="206"/>
    </row>
    <row r="2">
      <c r="A2" s="207"/>
      <c r="B2" s="208"/>
      <c r="E2" s="175"/>
      <c r="F2" s="175"/>
      <c r="H2" s="206"/>
      <c r="J2" s="175"/>
      <c r="K2" s="206"/>
      <c r="M2" s="206"/>
    </row>
    <row r="3">
      <c r="A3" s="209" t="s">
        <v>1058</v>
      </c>
      <c r="B3" s="210" t="s">
        <v>1059</v>
      </c>
      <c r="C3" s="211" t="s">
        <v>1060</v>
      </c>
      <c r="D3" s="211" t="s">
        <v>1061</v>
      </c>
      <c r="E3" s="211" t="s">
        <v>1062</v>
      </c>
      <c r="F3" s="211" t="s">
        <v>1063</v>
      </c>
      <c r="G3" s="211" t="s">
        <v>1064</v>
      </c>
      <c r="H3" s="211" t="s">
        <v>1065</v>
      </c>
      <c r="I3" s="211" t="s">
        <v>1066</v>
      </c>
      <c r="J3" s="211" t="s">
        <v>1067</v>
      </c>
      <c r="K3" s="211" t="s">
        <v>1068</v>
      </c>
      <c r="L3" s="211" t="s">
        <v>1069</v>
      </c>
      <c r="M3" s="211" t="s">
        <v>1070</v>
      </c>
      <c r="N3" s="212"/>
      <c r="O3" s="212"/>
      <c r="P3" s="212"/>
      <c r="Q3" s="212"/>
      <c r="R3" s="212"/>
      <c r="S3" s="212"/>
      <c r="T3" s="212"/>
      <c r="U3" s="212"/>
      <c r="V3" s="212"/>
      <c r="W3" s="212"/>
      <c r="X3" s="212"/>
      <c r="Y3" s="212"/>
      <c r="Z3" s="212"/>
      <c r="AA3" s="212"/>
      <c r="AB3" s="212"/>
    </row>
    <row r="4">
      <c r="A4" s="213"/>
      <c r="B4" s="214" t="s">
        <v>1071</v>
      </c>
      <c r="C4" s="215" t="s">
        <v>1072</v>
      </c>
      <c r="D4" s="215" t="s">
        <v>1073</v>
      </c>
      <c r="E4" s="217"/>
      <c r="F4" s="217" t="s">
        <v>1074</v>
      </c>
      <c r="G4" s="218" t="s">
        <v>1075</v>
      </c>
      <c r="H4" s="215" t="s">
        <v>102</v>
      </c>
      <c r="I4" s="219" t="s">
        <v>1076</v>
      </c>
      <c r="J4" s="217" t="s">
        <v>80</v>
      </c>
      <c r="K4" s="218"/>
      <c r="L4" s="214" t="s">
        <v>1078</v>
      </c>
      <c r="M4" s="214" t="s">
        <v>1079</v>
      </c>
    </row>
    <row r="5">
      <c r="A5" s="213" t="s">
        <v>1080</v>
      </c>
      <c r="B5" s="220" t="s">
        <v>2</v>
      </c>
      <c r="C5" s="215" t="s">
        <v>1081</v>
      </c>
      <c r="D5" s="215" t="s">
        <v>1082</v>
      </c>
      <c r="E5" s="217" t="s">
        <v>1083</v>
      </c>
      <c r="F5" s="217" t="s">
        <v>1074</v>
      </c>
      <c r="G5" s="221"/>
      <c r="H5" s="215" t="s">
        <v>102</v>
      </c>
      <c r="I5" s="221"/>
      <c r="J5" s="217" t="s">
        <v>80</v>
      </c>
      <c r="K5" s="222"/>
      <c r="L5" s="214" t="s">
        <v>1084</v>
      </c>
      <c r="M5" s="214" t="s">
        <v>1079</v>
      </c>
    </row>
    <row r="6">
      <c r="A6" s="213" t="s">
        <v>1080</v>
      </c>
      <c r="B6" s="220" t="s">
        <v>3</v>
      </c>
      <c r="C6" s="215" t="s">
        <v>1087</v>
      </c>
      <c r="D6" s="215" t="s">
        <v>1082</v>
      </c>
      <c r="E6" s="217" t="s">
        <v>1083</v>
      </c>
      <c r="F6" s="217" t="s">
        <v>1074</v>
      </c>
      <c r="G6" s="221"/>
      <c r="H6" s="215" t="s">
        <v>102</v>
      </c>
      <c r="I6" s="221"/>
      <c r="J6" s="217" t="s">
        <v>80</v>
      </c>
      <c r="K6" s="222"/>
      <c r="L6" s="214" t="s">
        <v>1084</v>
      </c>
      <c r="M6" s="214" t="s">
        <v>1079</v>
      </c>
    </row>
    <row r="7">
      <c r="A7" s="213" t="s">
        <v>1080</v>
      </c>
      <c r="B7" s="220" t="s">
        <v>4</v>
      </c>
      <c r="C7" s="215" t="s">
        <v>1089</v>
      </c>
      <c r="D7" s="215" t="s">
        <v>1090</v>
      </c>
      <c r="E7" s="223"/>
      <c r="F7" s="217" t="s">
        <v>1074</v>
      </c>
      <c r="G7" s="221"/>
      <c r="H7" s="215" t="s">
        <v>102</v>
      </c>
      <c r="I7" s="215" t="s">
        <v>1091</v>
      </c>
      <c r="J7" s="217" t="s">
        <v>80</v>
      </c>
      <c r="K7" s="222"/>
      <c r="L7" s="214" t="s">
        <v>1084</v>
      </c>
      <c r="M7" s="214" t="s">
        <v>1079</v>
      </c>
    </row>
    <row r="8" ht="26.25" customHeight="1">
      <c r="A8" s="213" t="s">
        <v>1080</v>
      </c>
      <c r="B8" s="220" t="s">
        <v>5</v>
      </c>
      <c r="C8" s="215" t="s">
        <v>1092</v>
      </c>
      <c r="D8" s="215" t="s">
        <v>1093</v>
      </c>
      <c r="E8" s="217"/>
      <c r="F8" s="217" t="s">
        <v>1074</v>
      </c>
      <c r="G8" s="215" t="s">
        <v>1094</v>
      </c>
      <c r="H8" s="215" t="s">
        <v>102</v>
      </c>
      <c r="I8" s="221"/>
      <c r="J8" s="217" t="s">
        <v>80</v>
      </c>
      <c r="K8" s="218" t="s">
        <v>1095</v>
      </c>
      <c r="L8" s="214" t="s">
        <v>1084</v>
      </c>
      <c r="M8" s="214" t="s">
        <v>1079</v>
      </c>
    </row>
    <row r="9">
      <c r="A9" s="213" t="s">
        <v>1080</v>
      </c>
      <c r="B9" s="220" t="s">
        <v>6</v>
      </c>
      <c r="C9" s="215" t="s">
        <v>1097</v>
      </c>
      <c r="D9" s="215" t="s">
        <v>1082</v>
      </c>
      <c r="E9" s="217" t="s">
        <v>1083</v>
      </c>
      <c r="F9" s="217" t="s">
        <v>1074</v>
      </c>
      <c r="G9" s="221"/>
      <c r="H9" s="215" t="s">
        <v>102</v>
      </c>
      <c r="I9" s="215" t="s">
        <v>1098</v>
      </c>
      <c r="J9" s="217" t="s">
        <v>74</v>
      </c>
      <c r="K9" s="214" t="s">
        <v>1099</v>
      </c>
      <c r="L9" s="214" t="s">
        <v>1084</v>
      </c>
      <c r="M9" s="214" t="s">
        <v>1079</v>
      </c>
    </row>
    <row r="10">
      <c r="A10" s="213" t="s">
        <v>1080</v>
      </c>
      <c r="B10" s="220" t="s">
        <v>7</v>
      </c>
      <c r="C10" s="215" t="s">
        <v>1100</v>
      </c>
      <c r="D10" s="221"/>
      <c r="E10" s="223"/>
      <c r="F10" s="217" t="s">
        <v>1074</v>
      </c>
      <c r="G10" s="215"/>
      <c r="H10" s="215" t="s">
        <v>102</v>
      </c>
      <c r="I10" s="215" t="s">
        <v>1101</v>
      </c>
      <c r="J10" s="217" t="s">
        <v>80</v>
      </c>
      <c r="K10" s="222"/>
      <c r="L10" s="214" t="s">
        <v>1078</v>
      </c>
      <c r="M10" s="214" t="s">
        <v>1079</v>
      </c>
    </row>
    <row r="11" ht="146.25" customHeight="1">
      <c r="A11" s="213" t="s">
        <v>1080</v>
      </c>
      <c r="B11" s="220" t="s">
        <v>8</v>
      </c>
      <c r="C11" s="215" t="s">
        <v>1103</v>
      </c>
      <c r="D11" s="215" t="s">
        <v>1082</v>
      </c>
      <c r="E11" s="223"/>
      <c r="F11" s="217" t="s">
        <v>1104</v>
      </c>
      <c r="G11" s="215"/>
      <c r="H11" s="215" t="s">
        <v>102</v>
      </c>
      <c r="I11" s="221"/>
      <c r="J11" s="217" t="s">
        <v>80</v>
      </c>
      <c r="K11" s="214" t="s">
        <v>1105</v>
      </c>
      <c r="L11" s="214" t="s">
        <v>1078</v>
      </c>
      <c r="M11" s="214" t="s">
        <v>1079</v>
      </c>
    </row>
    <row r="12">
      <c r="A12" s="213" t="s">
        <v>1080</v>
      </c>
      <c r="B12" s="220" t="s">
        <v>10</v>
      </c>
      <c r="C12" s="215" t="s">
        <v>1106</v>
      </c>
      <c r="D12" s="215" t="s">
        <v>1082</v>
      </c>
      <c r="E12" s="223"/>
      <c r="F12" s="217" t="s">
        <v>1104</v>
      </c>
      <c r="G12" s="215"/>
      <c r="H12" s="215" t="s">
        <v>102</v>
      </c>
      <c r="I12" s="221"/>
      <c r="J12" s="217" t="s">
        <v>80</v>
      </c>
      <c r="K12" s="214" t="s">
        <v>1108</v>
      </c>
      <c r="L12" s="214" t="s">
        <v>1078</v>
      </c>
      <c r="M12" s="214" t="s">
        <v>1079</v>
      </c>
    </row>
    <row r="13">
      <c r="A13" s="213" t="s">
        <v>1080</v>
      </c>
      <c r="B13" s="220" t="s">
        <v>11</v>
      </c>
      <c r="C13" s="215" t="s">
        <v>1109</v>
      </c>
      <c r="D13" s="215" t="s">
        <v>1082</v>
      </c>
      <c r="E13" s="223"/>
      <c r="F13" s="217" t="s">
        <v>1104</v>
      </c>
      <c r="G13" s="215"/>
      <c r="H13" s="215" t="s">
        <v>102</v>
      </c>
      <c r="I13" s="221"/>
      <c r="J13" s="217" t="s">
        <v>74</v>
      </c>
      <c r="K13" s="214" t="s">
        <v>1110</v>
      </c>
      <c r="L13" s="214" t="s">
        <v>1078</v>
      </c>
      <c r="M13" s="214" t="s">
        <v>1079</v>
      </c>
    </row>
    <row r="14">
      <c r="A14" s="224"/>
      <c r="B14" s="220" t="s">
        <v>12</v>
      </c>
      <c r="C14" s="215" t="s">
        <v>1111</v>
      </c>
      <c r="D14" s="215" t="s">
        <v>1082</v>
      </c>
      <c r="E14" s="217" t="s">
        <v>1112</v>
      </c>
      <c r="F14" s="217" t="s">
        <v>1074</v>
      </c>
      <c r="G14" s="215"/>
      <c r="H14" s="215" t="s">
        <v>102</v>
      </c>
      <c r="I14" s="215" t="s">
        <v>1114</v>
      </c>
      <c r="J14" s="217" t="s">
        <v>80</v>
      </c>
      <c r="K14" s="214" t="s">
        <v>1115</v>
      </c>
      <c r="L14" s="214" t="s">
        <v>1084</v>
      </c>
      <c r="M14" s="214" t="s">
        <v>1079</v>
      </c>
    </row>
    <row r="15" ht="65.25" customHeight="1">
      <c r="A15" s="213" t="s">
        <v>1080</v>
      </c>
      <c r="B15" s="220" t="s">
        <v>13</v>
      </c>
      <c r="C15" s="215" t="s">
        <v>1116</v>
      </c>
      <c r="D15" s="215" t="s">
        <v>1117</v>
      </c>
      <c r="E15" s="217" t="s">
        <v>1118</v>
      </c>
      <c r="F15" s="217" t="s">
        <v>1074</v>
      </c>
      <c r="G15" s="215"/>
      <c r="H15" s="215" t="s">
        <v>102</v>
      </c>
      <c r="I15" s="215" t="s">
        <v>1119</v>
      </c>
      <c r="J15" s="217" t="s">
        <v>80</v>
      </c>
      <c r="K15" s="222"/>
      <c r="L15" s="214" t="s">
        <v>1084</v>
      </c>
      <c r="M15" s="214" t="s">
        <v>1079</v>
      </c>
    </row>
    <row r="16">
      <c r="A16" s="213" t="s">
        <v>1080</v>
      </c>
      <c r="B16" s="220" t="s">
        <v>14</v>
      </c>
      <c r="C16" s="215" t="s">
        <v>1120</v>
      </c>
      <c r="D16" s="215" t="s">
        <v>1121</v>
      </c>
      <c r="E16" s="223"/>
      <c r="F16" s="217" t="s">
        <v>1074</v>
      </c>
      <c r="G16" s="215"/>
      <c r="H16" s="215" t="s">
        <v>102</v>
      </c>
      <c r="I16" s="215" t="s">
        <v>1122</v>
      </c>
      <c r="J16" s="217" t="s">
        <v>80</v>
      </c>
      <c r="K16" s="222"/>
      <c r="L16" s="214" t="s">
        <v>1084</v>
      </c>
      <c r="M16" s="214" t="s">
        <v>1079</v>
      </c>
    </row>
    <row r="17">
      <c r="A17" s="213" t="s">
        <v>1080</v>
      </c>
      <c r="B17" s="220" t="s">
        <v>20</v>
      </c>
      <c r="C17" s="215" t="s">
        <v>1123</v>
      </c>
      <c r="D17" s="221"/>
      <c r="E17" s="223"/>
      <c r="F17" s="217" t="s">
        <v>1074</v>
      </c>
      <c r="G17" s="215"/>
      <c r="H17" s="215" t="s">
        <v>102</v>
      </c>
      <c r="I17" s="215" t="s">
        <v>1124</v>
      </c>
      <c r="J17" s="217" t="s">
        <v>80</v>
      </c>
      <c r="K17" s="222"/>
      <c r="L17" s="214" t="s">
        <v>1084</v>
      </c>
      <c r="M17" s="214" t="s">
        <v>1079</v>
      </c>
    </row>
    <row r="18">
      <c r="A18" s="213" t="s">
        <v>1080</v>
      </c>
      <c r="B18" s="220" t="s">
        <v>21</v>
      </c>
      <c r="C18" s="215" t="s">
        <v>1126</v>
      </c>
      <c r="D18" s="215" t="s">
        <v>1082</v>
      </c>
      <c r="E18" s="223"/>
      <c r="F18" s="217" t="s">
        <v>1074</v>
      </c>
      <c r="G18" s="221"/>
      <c r="H18" s="215" t="s">
        <v>102</v>
      </c>
      <c r="I18" s="215" t="s">
        <v>1127</v>
      </c>
      <c r="J18" s="217" t="s">
        <v>74</v>
      </c>
      <c r="K18" s="214" t="s">
        <v>1128</v>
      </c>
      <c r="L18" s="214" t="s">
        <v>1078</v>
      </c>
      <c r="M18" s="214" t="s">
        <v>1079</v>
      </c>
    </row>
    <row r="19">
      <c r="A19" s="213" t="s">
        <v>1080</v>
      </c>
      <c r="B19" s="220" t="s">
        <v>22</v>
      </c>
      <c r="C19" s="215" t="s">
        <v>1130</v>
      </c>
      <c r="D19" s="215" t="s">
        <v>1082</v>
      </c>
      <c r="E19" s="223"/>
      <c r="F19" s="217" t="s">
        <v>1074</v>
      </c>
      <c r="G19" s="221"/>
      <c r="H19" s="215" t="s">
        <v>102</v>
      </c>
      <c r="I19" s="215" t="s">
        <v>1127</v>
      </c>
      <c r="J19" s="217" t="s">
        <v>74</v>
      </c>
      <c r="K19" s="214" t="s">
        <v>1128</v>
      </c>
      <c r="L19" s="214" t="s">
        <v>1078</v>
      </c>
      <c r="M19" s="214" t="s">
        <v>1079</v>
      </c>
    </row>
    <row r="20">
      <c r="A20" s="224"/>
      <c r="B20" s="220" t="s">
        <v>23</v>
      </c>
      <c r="C20" s="215" t="s">
        <v>1132</v>
      </c>
      <c r="D20" s="215" t="s">
        <v>1082</v>
      </c>
      <c r="E20" s="223"/>
      <c r="F20" s="217" t="s">
        <v>1074</v>
      </c>
      <c r="G20" s="221"/>
      <c r="H20" s="215" t="s">
        <v>102</v>
      </c>
      <c r="I20" s="221"/>
      <c r="J20" s="217" t="s">
        <v>80</v>
      </c>
      <c r="K20" s="222"/>
      <c r="L20" s="214" t="s">
        <v>1078</v>
      </c>
      <c r="M20" s="214" t="s">
        <v>1079</v>
      </c>
    </row>
    <row r="21">
      <c r="A21" s="213" t="s">
        <v>1080</v>
      </c>
      <c r="B21" s="222" t="s">
        <v>24</v>
      </c>
      <c r="C21" s="215" t="s">
        <v>1135</v>
      </c>
      <c r="D21" s="215" t="s">
        <v>1082</v>
      </c>
      <c r="E21" s="223"/>
      <c r="F21" s="217" t="s">
        <v>1104</v>
      </c>
      <c r="G21" s="221"/>
      <c r="H21" s="215" t="s">
        <v>102</v>
      </c>
      <c r="I21" s="221"/>
      <c r="J21" s="217" t="s">
        <v>80</v>
      </c>
      <c r="K21" s="222"/>
      <c r="L21" s="214" t="s">
        <v>1078</v>
      </c>
      <c r="M21" s="214" t="s">
        <v>1079</v>
      </c>
    </row>
    <row r="22">
      <c r="A22" s="213" t="s">
        <v>1080</v>
      </c>
      <c r="B22" s="220" t="s">
        <v>27</v>
      </c>
      <c r="C22" s="215" t="s">
        <v>1136</v>
      </c>
      <c r="D22" s="215" t="s">
        <v>1082</v>
      </c>
      <c r="E22" s="223"/>
      <c r="F22" s="217" t="s">
        <v>1074</v>
      </c>
      <c r="G22" s="221"/>
      <c r="H22" s="215" t="s">
        <v>102</v>
      </c>
      <c r="I22" s="221"/>
      <c r="J22" s="217" t="s">
        <v>80</v>
      </c>
      <c r="K22" s="222"/>
      <c r="L22" s="214" t="s">
        <v>1084</v>
      </c>
      <c r="M22" s="214" t="s">
        <v>1079</v>
      </c>
    </row>
    <row r="23">
      <c r="A23" s="213"/>
      <c r="B23" s="214" t="s">
        <v>28</v>
      </c>
      <c r="C23" s="215" t="s">
        <v>1138</v>
      </c>
      <c r="D23" s="215" t="s">
        <v>1139</v>
      </c>
      <c r="E23" s="223"/>
      <c r="F23" s="217" t="s">
        <v>1074</v>
      </c>
      <c r="G23" s="221"/>
      <c r="H23" s="215" t="s">
        <v>102</v>
      </c>
      <c r="I23" s="221"/>
      <c r="J23" s="217" t="s">
        <v>80</v>
      </c>
      <c r="K23" s="222"/>
      <c r="L23" s="214"/>
      <c r="M23" s="214"/>
    </row>
    <row r="24">
      <c r="A24" s="224"/>
      <c r="B24" s="220" t="s">
        <v>37</v>
      </c>
      <c r="C24" s="215" t="s">
        <v>1141</v>
      </c>
      <c r="D24" s="215" t="s">
        <v>1139</v>
      </c>
      <c r="E24" s="223"/>
      <c r="F24" s="217" t="s">
        <v>1074</v>
      </c>
      <c r="G24" s="215" t="s">
        <v>1142</v>
      </c>
      <c r="H24" s="215" t="s">
        <v>102</v>
      </c>
      <c r="I24" s="221"/>
      <c r="J24" s="217" t="s">
        <v>80</v>
      </c>
      <c r="K24" s="222"/>
      <c r="L24" s="214" t="s">
        <v>1078</v>
      </c>
      <c r="M24" s="214" t="s">
        <v>1079</v>
      </c>
    </row>
    <row r="25">
      <c r="A25" s="224"/>
      <c r="B25" s="220" t="s">
        <v>38</v>
      </c>
      <c r="C25" s="215" t="s">
        <v>1143</v>
      </c>
      <c r="D25" s="215" t="s">
        <v>1144</v>
      </c>
      <c r="E25" s="223"/>
      <c r="F25" s="217" t="s">
        <v>1074</v>
      </c>
      <c r="G25" s="221"/>
      <c r="H25" s="215" t="s">
        <v>102</v>
      </c>
      <c r="I25" s="215" t="s">
        <v>1101</v>
      </c>
      <c r="J25" s="217" t="s">
        <v>80</v>
      </c>
      <c r="K25" s="222"/>
      <c r="L25" s="214" t="s">
        <v>1084</v>
      </c>
      <c r="M25" s="214" t="s">
        <v>1079</v>
      </c>
    </row>
    <row r="26">
      <c r="A26" s="213" t="s">
        <v>1080</v>
      </c>
      <c r="B26" s="220" t="s">
        <v>39</v>
      </c>
      <c r="C26" s="215" t="s">
        <v>1147</v>
      </c>
      <c r="D26" s="215" t="s">
        <v>1121</v>
      </c>
      <c r="E26" s="217" t="s">
        <v>1118</v>
      </c>
      <c r="F26" s="217" t="s">
        <v>1074</v>
      </c>
      <c r="G26" s="221"/>
      <c r="H26" s="215" t="s">
        <v>102</v>
      </c>
      <c r="I26" s="221"/>
      <c r="J26" s="217" t="s">
        <v>80</v>
      </c>
      <c r="K26" s="222"/>
      <c r="L26" s="214" t="s">
        <v>1084</v>
      </c>
      <c r="M26" s="214" t="s">
        <v>1079</v>
      </c>
    </row>
    <row r="27">
      <c r="A27" s="213" t="s">
        <v>1080</v>
      </c>
      <c r="B27" s="220" t="s">
        <v>40</v>
      </c>
      <c r="C27" s="215" t="s">
        <v>1151</v>
      </c>
      <c r="D27" s="215" t="s">
        <v>1121</v>
      </c>
      <c r="E27" s="217" t="s">
        <v>1118</v>
      </c>
      <c r="F27" s="217" t="s">
        <v>1074</v>
      </c>
      <c r="G27" s="221"/>
      <c r="H27" s="215" t="s">
        <v>102</v>
      </c>
      <c r="I27" s="221"/>
      <c r="J27" s="217" t="s">
        <v>80</v>
      </c>
      <c r="K27" s="222"/>
      <c r="L27" s="214" t="s">
        <v>1084</v>
      </c>
      <c r="M27" s="214" t="s">
        <v>1079</v>
      </c>
    </row>
    <row r="28">
      <c r="A28" s="213" t="s">
        <v>1080</v>
      </c>
      <c r="B28" s="220" t="s">
        <v>41</v>
      </c>
      <c r="C28" s="215" t="s">
        <v>1154</v>
      </c>
      <c r="D28" s="215" t="s">
        <v>1121</v>
      </c>
      <c r="E28" s="217" t="s">
        <v>1118</v>
      </c>
      <c r="F28" s="217" t="s">
        <v>1074</v>
      </c>
      <c r="G28" s="221"/>
      <c r="H28" s="215" t="s">
        <v>102</v>
      </c>
      <c r="I28" s="221"/>
      <c r="J28" s="217" t="s">
        <v>80</v>
      </c>
      <c r="K28" s="222"/>
      <c r="L28" s="214" t="s">
        <v>1084</v>
      </c>
      <c r="M28" s="214" t="s">
        <v>1079</v>
      </c>
    </row>
    <row r="29">
      <c r="A29" s="213"/>
      <c r="B29" s="214" t="s">
        <v>1157</v>
      </c>
      <c r="C29" s="215" t="s">
        <v>1158</v>
      </c>
      <c r="D29" s="215" t="s">
        <v>1160</v>
      </c>
      <c r="E29" s="217"/>
      <c r="F29" s="217" t="s">
        <v>1074</v>
      </c>
      <c r="G29" s="221"/>
      <c r="H29" s="215" t="s">
        <v>102</v>
      </c>
      <c r="I29" s="221"/>
      <c r="J29" s="217" t="s">
        <v>80</v>
      </c>
      <c r="K29" s="222"/>
      <c r="L29" s="214"/>
      <c r="M29" s="214" t="s">
        <v>1079</v>
      </c>
    </row>
    <row r="30">
      <c r="A30" s="213" t="s">
        <v>1080</v>
      </c>
      <c r="B30" s="220" t="s">
        <v>45</v>
      </c>
      <c r="C30" s="215" t="s">
        <v>1163</v>
      </c>
      <c r="D30" s="215" t="s">
        <v>1164</v>
      </c>
      <c r="E30" s="223"/>
      <c r="F30" s="217" t="s">
        <v>1074</v>
      </c>
      <c r="G30" s="221"/>
      <c r="H30" s="215" t="s">
        <v>102</v>
      </c>
      <c r="I30" s="215" t="s">
        <v>1168</v>
      </c>
      <c r="J30" s="217" t="s">
        <v>80</v>
      </c>
      <c r="K30" s="222"/>
      <c r="L30" s="214" t="s">
        <v>1084</v>
      </c>
      <c r="M30" s="214" t="s">
        <v>1079</v>
      </c>
    </row>
    <row r="31">
      <c r="A31" s="213" t="s">
        <v>1080</v>
      </c>
      <c r="B31" s="220" t="s">
        <v>1170</v>
      </c>
      <c r="C31" s="215" t="s">
        <v>1171</v>
      </c>
      <c r="D31" s="215" t="s">
        <v>1172</v>
      </c>
      <c r="E31" s="223"/>
      <c r="F31" s="217" t="s">
        <v>1074</v>
      </c>
      <c r="G31" s="215" t="s">
        <v>1173</v>
      </c>
      <c r="H31" s="215" t="s">
        <v>102</v>
      </c>
      <c r="I31" s="221"/>
      <c r="J31" s="217" t="s">
        <v>74</v>
      </c>
      <c r="K31" s="214" t="s">
        <v>1175</v>
      </c>
      <c r="L31" s="214" t="s">
        <v>1078</v>
      </c>
      <c r="M31" s="214" t="s">
        <v>1079</v>
      </c>
    </row>
    <row r="32">
      <c r="A32" s="213" t="s">
        <v>1080</v>
      </c>
      <c r="B32" s="214" t="s">
        <v>51</v>
      </c>
      <c r="C32" s="214" t="s">
        <v>1177</v>
      </c>
      <c r="D32" s="214" t="s">
        <v>1178</v>
      </c>
      <c r="E32" s="228" t="s">
        <v>1179</v>
      </c>
      <c r="F32" s="217" t="s">
        <v>1104</v>
      </c>
      <c r="G32" s="222"/>
      <c r="H32" s="214" t="s">
        <v>102</v>
      </c>
      <c r="I32" s="222"/>
      <c r="J32" s="217" t="s">
        <v>80</v>
      </c>
      <c r="K32" s="214" t="s">
        <v>1184</v>
      </c>
      <c r="L32" s="214" t="s">
        <v>1078</v>
      </c>
      <c r="M32" s="214" t="s">
        <v>1079</v>
      </c>
    </row>
    <row r="33">
      <c r="A33" s="224"/>
      <c r="B33" s="220" t="s">
        <v>56</v>
      </c>
      <c r="C33" s="215" t="s">
        <v>1186</v>
      </c>
      <c r="D33" s="215" t="s">
        <v>1188</v>
      </c>
      <c r="E33" s="223"/>
      <c r="F33" s="217" t="s">
        <v>1074</v>
      </c>
      <c r="G33" s="221"/>
      <c r="H33" s="215" t="s">
        <v>102</v>
      </c>
      <c r="I33" s="221"/>
      <c r="J33" s="217"/>
      <c r="K33" s="222"/>
      <c r="L33" s="214" t="s">
        <v>1078</v>
      </c>
      <c r="M33" s="214" t="s">
        <v>1079</v>
      </c>
    </row>
    <row r="34">
      <c r="A34" s="213" t="s">
        <v>1080</v>
      </c>
      <c r="B34" s="222" t="s">
        <v>57</v>
      </c>
      <c r="C34" s="214" t="s">
        <v>1192</v>
      </c>
      <c r="D34" s="214" t="s">
        <v>1188</v>
      </c>
      <c r="E34" s="229"/>
      <c r="F34" s="228" t="s">
        <v>1074</v>
      </c>
      <c r="G34" s="222"/>
      <c r="H34" s="214" t="s">
        <v>80</v>
      </c>
      <c r="I34" s="214" t="s">
        <v>1194</v>
      </c>
      <c r="J34" s="228" t="s">
        <v>80</v>
      </c>
      <c r="K34" s="222"/>
      <c r="L34" s="214" t="s">
        <v>1078</v>
      </c>
      <c r="M34" s="214" t="s">
        <v>1079</v>
      </c>
    </row>
    <row r="35">
      <c r="A35" s="213" t="s">
        <v>1080</v>
      </c>
      <c r="B35" s="222" t="s">
        <v>58</v>
      </c>
      <c r="C35" s="214" t="s">
        <v>1199</v>
      </c>
      <c r="D35" s="214" t="s">
        <v>2</v>
      </c>
      <c r="E35" s="229"/>
      <c r="F35" s="228" t="s">
        <v>1074</v>
      </c>
      <c r="G35" s="214" t="s">
        <v>1142</v>
      </c>
      <c r="H35" s="214" t="s">
        <v>102</v>
      </c>
      <c r="I35" s="214" t="s">
        <v>1200</v>
      </c>
      <c r="J35" s="228" t="s">
        <v>74</v>
      </c>
      <c r="K35" s="214" t="s">
        <v>1201</v>
      </c>
      <c r="L35" s="214" t="s">
        <v>1078</v>
      </c>
      <c r="M35" s="214" t="s">
        <v>1079</v>
      </c>
    </row>
    <row r="36" ht="112.5" customHeight="1">
      <c r="A36" s="228" t="s">
        <v>1080</v>
      </c>
      <c r="B36" s="219" t="s">
        <v>59</v>
      </c>
      <c r="C36" s="214" t="s">
        <v>1203</v>
      </c>
      <c r="D36" s="214" t="s">
        <v>1083</v>
      </c>
      <c r="E36" s="228" t="s">
        <v>1188</v>
      </c>
      <c r="F36" s="228" t="s">
        <v>1074</v>
      </c>
      <c r="G36" s="222"/>
      <c r="H36" s="214" t="s">
        <v>1207</v>
      </c>
      <c r="I36" s="214" t="s">
        <v>1208</v>
      </c>
      <c r="J36" s="228" t="s">
        <v>74</v>
      </c>
      <c r="K36" s="222"/>
      <c r="L36" s="222"/>
      <c r="M36" s="214" t="s">
        <v>1079</v>
      </c>
    </row>
    <row r="37">
      <c r="A37" s="213" t="s">
        <v>1080</v>
      </c>
      <c r="B37" s="214" t="s">
        <v>60</v>
      </c>
      <c r="C37" s="214" t="s">
        <v>1210</v>
      </c>
      <c r="D37" s="214" t="s">
        <v>1211</v>
      </c>
      <c r="E37" s="229"/>
      <c r="F37" s="228" t="s">
        <v>1104</v>
      </c>
      <c r="G37" s="222"/>
      <c r="H37" s="214" t="s">
        <v>102</v>
      </c>
      <c r="I37" s="222"/>
      <c r="J37" s="228" t="s">
        <v>74</v>
      </c>
      <c r="K37" s="214" t="s">
        <v>1213</v>
      </c>
      <c r="L37" s="222"/>
      <c r="M37" s="214" t="s">
        <v>1079</v>
      </c>
    </row>
    <row r="38">
      <c r="A38" s="213" t="s">
        <v>1080</v>
      </c>
      <c r="B38" s="214" t="s">
        <v>61</v>
      </c>
      <c r="C38" s="214" t="s">
        <v>1214</v>
      </c>
      <c r="D38" s="214" t="s">
        <v>1188</v>
      </c>
      <c r="E38" s="229"/>
      <c r="F38" s="228" t="s">
        <v>1104</v>
      </c>
      <c r="G38" s="222"/>
      <c r="H38" s="214" t="s">
        <v>102</v>
      </c>
      <c r="I38" s="222"/>
      <c r="J38" s="228" t="s">
        <v>80</v>
      </c>
      <c r="K38" s="222"/>
      <c r="L38" s="222"/>
      <c r="M38" s="214" t="s">
        <v>1079</v>
      </c>
    </row>
    <row r="39">
      <c r="A39" s="213" t="s">
        <v>1080</v>
      </c>
      <c r="B39" s="214" t="s">
        <v>62</v>
      </c>
      <c r="C39" s="214" t="s">
        <v>1216</v>
      </c>
      <c r="D39" s="214" t="s">
        <v>1188</v>
      </c>
      <c r="E39" s="229"/>
      <c r="F39" s="228" t="s">
        <v>1104</v>
      </c>
      <c r="G39" s="222"/>
      <c r="H39" s="214" t="s">
        <v>102</v>
      </c>
      <c r="I39" s="222"/>
      <c r="J39" s="228" t="s">
        <v>80</v>
      </c>
      <c r="K39" s="222"/>
      <c r="L39" s="222"/>
      <c r="M39" s="214" t="s">
        <v>1079</v>
      </c>
    </row>
    <row r="40">
      <c r="A40" s="213"/>
      <c r="B40" s="214" t="s">
        <v>63</v>
      </c>
      <c r="C40" s="214" t="s">
        <v>1219</v>
      </c>
      <c r="D40" s="214" t="s">
        <v>1188</v>
      </c>
      <c r="E40" s="229"/>
      <c r="F40" s="228" t="s">
        <v>1074</v>
      </c>
      <c r="G40" s="222"/>
      <c r="H40" s="214" t="s">
        <v>102</v>
      </c>
      <c r="I40" s="214" t="s">
        <v>1200</v>
      </c>
      <c r="J40" s="228" t="s">
        <v>80</v>
      </c>
      <c r="K40" s="222"/>
      <c r="L40" s="214" t="s">
        <v>1078</v>
      </c>
      <c r="M40" s="214" t="s">
        <v>1079</v>
      </c>
    </row>
    <row r="41">
      <c r="A41" s="229"/>
      <c r="B41" s="219"/>
      <c r="C41" s="214"/>
      <c r="D41" s="214"/>
      <c r="E41" s="229"/>
      <c r="F41" s="228"/>
      <c r="G41" s="222"/>
      <c r="H41" s="214"/>
      <c r="I41" s="222"/>
      <c r="J41" s="228"/>
      <c r="K41" s="214"/>
      <c r="L41" s="214"/>
      <c r="M41" s="214"/>
    </row>
    <row r="42">
      <c r="A42" s="228" t="s">
        <v>1080</v>
      </c>
      <c r="B42" s="214" t="s">
        <v>30</v>
      </c>
      <c r="C42" s="214" t="s">
        <v>1221</v>
      </c>
      <c r="D42" s="214" t="s">
        <v>1222</v>
      </c>
      <c r="E42" s="222"/>
      <c r="F42" s="228" t="s">
        <v>1074</v>
      </c>
      <c r="G42" s="222"/>
      <c r="H42" s="214" t="s">
        <v>102</v>
      </c>
      <c r="I42" s="222"/>
      <c r="J42" s="228" t="s">
        <v>80</v>
      </c>
      <c r="K42" s="222"/>
      <c r="L42" s="214" t="s">
        <v>1223</v>
      </c>
      <c r="M42" s="214" t="s">
        <v>1224</v>
      </c>
    </row>
    <row r="43">
      <c r="A43" s="228" t="s">
        <v>1080</v>
      </c>
      <c r="B43" s="214" t="s">
        <v>1225</v>
      </c>
      <c r="C43" s="214" t="s">
        <v>1226</v>
      </c>
      <c r="D43" s="214" t="s">
        <v>1222</v>
      </c>
      <c r="E43" s="222"/>
      <c r="F43" s="228" t="s">
        <v>1074</v>
      </c>
      <c r="G43" s="222"/>
      <c r="H43" s="215" t="s">
        <v>102</v>
      </c>
      <c r="I43" s="222"/>
      <c r="J43" s="228" t="s">
        <v>80</v>
      </c>
      <c r="K43" s="222"/>
      <c r="L43" s="214" t="s">
        <v>1223</v>
      </c>
      <c r="M43" s="214" t="s">
        <v>1224</v>
      </c>
    </row>
    <row r="44">
      <c r="A44" s="228" t="s">
        <v>1080</v>
      </c>
      <c r="B44" s="222" t="s">
        <v>1231</v>
      </c>
      <c r="C44" s="214" t="s">
        <v>1232</v>
      </c>
      <c r="D44" s="214" t="s">
        <v>1188</v>
      </c>
      <c r="E44" s="222"/>
      <c r="F44" s="228" t="s">
        <v>1074</v>
      </c>
      <c r="G44" s="222"/>
      <c r="H44" s="215" t="s">
        <v>102</v>
      </c>
      <c r="I44" s="214" t="s">
        <v>1194</v>
      </c>
      <c r="J44" s="228" t="s">
        <v>80</v>
      </c>
      <c r="K44" s="222"/>
      <c r="L44" s="214" t="s">
        <v>1223</v>
      </c>
      <c r="M44" s="214" t="s">
        <v>1224</v>
      </c>
    </row>
    <row r="45">
      <c r="A45" s="228" t="s">
        <v>1080</v>
      </c>
      <c r="B45" s="222" t="s">
        <v>1233</v>
      </c>
      <c r="C45" s="214" t="s">
        <v>1234</v>
      </c>
      <c r="D45" s="214" t="s">
        <v>1222</v>
      </c>
      <c r="E45" s="222"/>
      <c r="F45" s="228" t="s">
        <v>1074</v>
      </c>
      <c r="G45" s="222"/>
      <c r="H45" s="215" t="s">
        <v>102</v>
      </c>
      <c r="I45" s="222"/>
      <c r="J45" s="228" t="s">
        <v>80</v>
      </c>
      <c r="K45" s="222"/>
      <c r="L45" s="214" t="s">
        <v>1223</v>
      </c>
      <c r="M45" s="214" t="s">
        <v>1224</v>
      </c>
    </row>
    <row r="46">
      <c r="A46" s="228" t="s">
        <v>1080</v>
      </c>
      <c r="B46" s="222" t="s">
        <v>32</v>
      </c>
      <c r="C46" s="214" t="s">
        <v>1236</v>
      </c>
      <c r="D46" s="214" t="s">
        <v>1222</v>
      </c>
      <c r="E46" s="222"/>
      <c r="F46" s="228" t="s">
        <v>1104</v>
      </c>
      <c r="G46" s="222"/>
      <c r="H46" s="215" t="s">
        <v>102</v>
      </c>
      <c r="I46" s="222"/>
      <c r="J46" s="228" t="s">
        <v>80</v>
      </c>
      <c r="K46" s="222"/>
      <c r="L46" s="214" t="s">
        <v>1223</v>
      </c>
      <c r="M46" s="214" t="s">
        <v>1224</v>
      </c>
    </row>
    <row r="47">
      <c r="A47" s="228" t="s">
        <v>1080</v>
      </c>
      <c r="B47" s="214" t="s">
        <v>1240</v>
      </c>
      <c r="C47" s="214" t="s">
        <v>1241</v>
      </c>
      <c r="D47" s="214" t="s">
        <v>1222</v>
      </c>
      <c r="E47" s="222"/>
      <c r="F47" s="228" t="s">
        <v>1074</v>
      </c>
      <c r="G47" s="222"/>
      <c r="H47" s="215" t="s">
        <v>102</v>
      </c>
      <c r="I47" s="222"/>
      <c r="J47" s="228" t="s">
        <v>80</v>
      </c>
      <c r="K47" s="222"/>
      <c r="L47" s="214" t="s">
        <v>1223</v>
      </c>
      <c r="M47" s="214" t="s">
        <v>1224</v>
      </c>
    </row>
    <row r="48">
      <c r="A48" s="228" t="s">
        <v>1080</v>
      </c>
      <c r="B48" s="214" t="s">
        <v>1242</v>
      </c>
      <c r="C48" s="214" t="s">
        <v>1243</v>
      </c>
      <c r="D48" s="214" t="s">
        <v>1222</v>
      </c>
      <c r="E48" s="222"/>
      <c r="F48" s="228" t="s">
        <v>1074</v>
      </c>
      <c r="G48" s="214" t="s">
        <v>1244</v>
      </c>
      <c r="H48" s="215" t="s">
        <v>102</v>
      </c>
      <c r="I48" s="222"/>
      <c r="J48" s="228" t="s">
        <v>80</v>
      </c>
      <c r="K48" s="222"/>
      <c r="L48" s="214" t="s">
        <v>1223</v>
      </c>
      <c r="M48" s="214" t="s">
        <v>1224</v>
      </c>
    </row>
    <row r="49">
      <c r="A49" s="228" t="s">
        <v>1080</v>
      </c>
      <c r="B49" s="214" t="s">
        <v>34</v>
      </c>
      <c r="C49" s="214" t="s">
        <v>1246</v>
      </c>
      <c r="D49" s="214" t="s">
        <v>1222</v>
      </c>
      <c r="E49" s="222"/>
      <c r="F49" s="228" t="s">
        <v>1074</v>
      </c>
      <c r="G49" s="214" t="s">
        <v>1247</v>
      </c>
      <c r="H49" s="215" t="s">
        <v>102</v>
      </c>
      <c r="I49" s="222"/>
      <c r="J49" s="228" t="s">
        <v>80</v>
      </c>
      <c r="K49" s="222"/>
      <c r="L49" s="214" t="s">
        <v>1223</v>
      </c>
      <c r="M49" s="214" t="s">
        <v>1224</v>
      </c>
    </row>
    <row r="50">
      <c r="A50" s="228" t="s">
        <v>1080</v>
      </c>
      <c r="B50" s="214" t="s">
        <v>1248</v>
      </c>
      <c r="C50" s="214" t="s">
        <v>1249</v>
      </c>
      <c r="D50" s="214" t="s">
        <v>1222</v>
      </c>
      <c r="E50" s="222"/>
      <c r="F50" s="228" t="s">
        <v>1074</v>
      </c>
      <c r="G50" s="214" t="s">
        <v>1173</v>
      </c>
      <c r="H50" s="215" t="s">
        <v>102</v>
      </c>
      <c r="I50" s="222"/>
      <c r="J50" s="228" t="s">
        <v>80</v>
      </c>
      <c r="K50" s="222"/>
      <c r="L50" s="214" t="s">
        <v>1223</v>
      </c>
      <c r="M50" s="214" t="s">
        <v>1224</v>
      </c>
    </row>
    <row r="51">
      <c r="A51" s="228" t="s">
        <v>1080</v>
      </c>
      <c r="B51" s="222" t="s">
        <v>36</v>
      </c>
      <c r="C51" s="214" t="s">
        <v>1254</v>
      </c>
      <c r="D51" s="214" t="s">
        <v>1222</v>
      </c>
      <c r="E51" s="222"/>
      <c r="F51" s="228" t="s">
        <v>1074</v>
      </c>
      <c r="G51" s="222"/>
      <c r="H51" s="215" t="s">
        <v>102</v>
      </c>
      <c r="I51" s="222"/>
      <c r="J51" s="228" t="s">
        <v>80</v>
      </c>
      <c r="K51" s="222"/>
      <c r="L51" s="214" t="s">
        <v>1223</v>
      </c>
      <c r="M51" s="214" t="s">
        <v>1224</v>
      </c>
    </row>
    <row r="52">
      <c r="A52" s="228" t="s">
        <v>1080</v>
      </c>
      <c r="B52" s="214" t="s">
        <v>1255</v>
      </c>
      <c r="C52" s="214" t="s">
        <v>1257</v>
      </c>
      <c r="D52" s="214" t="s">
        <v>1222</v>
      </c>
      <c r="E52" s="222"/>
      <c r="F52" s="228" t="s">
        <v>1074</v>
      </c>
      <c r="G52" s="222"/>
      <c r="H52" s="215" t="s">
        <v>102</v>
      </c>
      <c r="I52" s="214" t="s">
        <v>1194</v>
      </c>
      <c r="J52" s="228" t="s">
        <v>80</v>
      </c>
      <c r="K52" s="222"/>
      <c r="L52" s="214" t="s">
        <v>1223</v>
      </c>
      <c r="M52" s="214" t="s">
        <v>1224</v>
      </c>
    </row>
    <row r="53">
      <c r="A53" s="228" t="s">
        <v>1080</v>
      </c>
      <c r="B53" s="214" t="s">
        <v>1259</v>
      </c>
      <c r="C53" s="214" t="s">
        <v>1260</v>
      </c>
      <c r="D53" s="214" t="s">
        <v>1222</v>
      </c>
      <c r="E53" s="222"/>
      <c r="F53" s="228" t="s">
        <v>1074</v>
      </c>
      <c r="G53" s="222"/>
      <c r="H53" s="215" t="s">
        <v>102</v>
      </c>
      <c r="I53" s="222"/>
      <c r="J53" s="228" t="s">
        <v>80</v>
      </c>
      <c r="K53" s="222"/>
      <c r="L53" s="214" t="s">
        <v>1223</v>
      </c>
      <c r="M53" s="214" t="s">
        <v>1224</v>
      </c>
    </row>
    <row r="54">
      <c r="A54" s="228" t="s">
        <v>1080</v>
      </c>
      <c r="B54" s="222" t="s">
        <v>48</v>
      </c>
      <c r="C54" s="214" t="s">
        <v>1264</v>
      </c>
      <c r="D54" s="214" t="s">
        <v>1222</v>
      </c>
      <c r="E54" s="222"/>
      <c r="F54" s="228" t="s">
        <v>1074</v>
      </c>
      <c r="G54" s="222"/>
      <c r="H54" s="215" t="s">
        <v>102</v>
      </c>
      <c r="I54" s="214" t="s">
        <v>1265</v>
      </c>
      <c r="J54" s="228" t="s">
        <v>80</v>
      </c>
      <c r="K54" s="222"/>
      <c r="L54" s="214" t="s">
        <v>1223</v>
      </c>
      <c r="M54" s="214" t="s">
        <v>1224</v>
      </c>
    </row>
    <row r="55">
      <c r="A55" s="228" t="s">
        <v>1080</v>
      </c>
      <c r="B55" s="214" t="s">
        <v>1266</v>
      </c>
      <c r="C55" s="214" t="s">
        <v>1267</v>
      </c>
      <c r="D55" s="214" t="s">
        <v>1222</v>
      </c>
      <c r="E55" s="222"/>
      <c r="F55" s="228" t="s">
        <v>1074</v>
      </c>
      <c r="G55" s="222"/>
      <c r="H55" s="215" t="s">
        <v>102</v>
      </c>
      <c r="I55" s="222"/>
      <c r="J55" s="228" t="s">
        <v>74</v>
      </c>
      <c r="K55" s="222"/>
      <c r="L55" s="214" t="s">
        <v>1223</v>
      </c>
      <c r="M55" s="214" t="s">
        <v>1224</v>
      </c>
    </row>
    <row r="56">
      <c r="A56" s="229"/>
      <c r="B56" s="222"/>
      <c r="C56" s="222"/>
      <c r="D56" s="222"/>
      <c r="E56" s="222"/>
      <c r="F56" s="229"/>
      <c r="G56" s="222"/>
      <c r="H56" s="222"/>
      <c r="I56" s="222"/>
      <c r="J56" s="229"/>
      <c r="K56" s="222"/>
      <c r="L56" s="214"/>
      <c r="M56" s="214"/>
    </row>
    <row r="57">
      <c r="A57" s="230"/>
      <c r="B57" s="208"/>
      <c r="F57" s="175"/>
      <c r="H57" s="206"/>
      <c r="J57" s="175"/>
      <c r="K57" s="206"/>
      <c r="M57" s="206"/>
    </row>
    <row r="58">
      <c r="A58" s="230"/>
      <c r="B58" s="208"/>
      <c r="F58" s="175"/>
      <c r="H58" s="206"/>
      <c r="J58" s="175"/>
      <c r="K58" s="206"/>
      <c r="M58" s="206"/>
    </row>
    <row r="59">
      <c r="A59" s="230"/>
      <c r="B59" s="208"/>
      <c r="F59" s="175"/>
      <c r="H59" s="206"/>
      <c r="J59" s="175"/>
      <c r="K59" s="206"/>
      <c r="M59" s="206"/>
    </row>
    <row r="60">
      <c r="A60" s="230"/>
      <c r="B60" s="208"/>
      <c r="E60" s="175"/>
      <c r="F60" s="175"/>
      <c r="H60" s="206"/>
      <c r="J60" s="175"/>
      <c r="K60" s="206"/>
      <c r="M60" s="206"/>
    </row>
    <row r="61">
      <c r="A61" s="230"/>
      <c r="B61" s="208"/>
      <c r="E61" s="175"/>
      <c r="F61" s="175"/>
      <c r="H61" s="206"/>
      <c r="J61" s="175"/>
      <c r="K61" s="206"/>
      <c r="M61" s="206"/>
    </row>
    <row r="62">
      <c r="A62" s="230"/>
      <c r="B62" s="208"/>
      <c r="E62" s="175"/>
      <c r="F62" s="175"/>
      <c r="H62" s="206"/>
      <c r="J62" s="175"/>
      <c r="K62" s="206"/>
      <c r="M62" s="206"/>
    </row>
    <row r="63">
      <c r="A63" s="230"/>
      <c r="B63" s="208"/>
      <c r="E63" s="175"/>
      <c r="F63" s="175"/>
      <c r="H63" s="206"/>
      <c r="J63" s="175"/>
      <c r="K63" s="206"/>
      <c r="M63" s="206"/>
    </row>
    <row r="64">
      <c r="A64" s="230"/>
      <c r="B64" s="208"/>
      <c r="E64" s="175"/>
      <c r="F64" s="175"/>
      <c r="H64" s="206"/>
      <c r="J64" s="175"/>
      <c r="K64" s="206"/>
      <c r="M64" s="206"/>
    </row>
    <row r="65">
      <c r="A65" s="230"/>
      <c r="B65" s="208"/>
      <c r="E65" s="175"/>
      <c r="F65" s="175"/>
      <c r="H65" s="206"/>
      <c r="J65" s="175"/>
      <c r="K65" s="206"/>
      <c r="M65" s="206"/>
    </row>
    <row r="66">
      <c r="A66" s="230"/>
      <c r="B66" s="208"/>
      <c r="E66" s="175"/>
      <c r="F66" s="175"/>
      <c r="H66" s="206"/>
      <c r="J66" s="175"/>
      <c r="K66" s="206"/>
      <c r="M66" s="206"/>
    </row>
    <row r="67">
      <c r="A67" s="230"/>
      <c r="B67" s="208"/>
      <c r="E67" s="175"/>
      <c r="F67" s="175"/>
      <c r="H67" s="206"/>
      <c r="J67" s="175"/>
      <c r="K67" s="206"/>
      <c r="M67" s="206"/>
    </row>
    <row r="68">
      <c r="A68" s="230"/>
      <c r="B68" s="208"/>
      <c r="E68" s="175"/>
      <c r="F68" s="175"/>
      <c r="H68" s="206"/>
      <c r="J68" s="175"/>
      <c r="K68" s="206"/>
      <c r="M68" s="206"/>
    </row>
    <row r="69">
      <c r="A69" s="230"/>
      <c r="B69" s="208"/>
      <c r="E69" s="175"/>
      <c r="F69" s="175"/>
      <c r="H69" s="206"/>
      <c r="J69" s="175"/>
      <c r="K69" s="206"/>
      <c r="M69" s="206"/>
    </row>
    <row r="70">
      <c r="A70" s="230"/>
      <c r="B70" s="208"/>
      <c r="E70" s="175"/>
      <c r="F70" s="175"/>
      <c r="H70" s="206"/>
      <c r="J70" s="175"/>
      <c r="K70" s="206"/>
      <c r="M70" s="206"/>
    </row>
    <row r="71">
      <c r="A71" s="230"/>
      <c r="B71" s="208"/>
      <c r="E71" s="175"/>
      <c r="F71" s="175"/>
      <c r="H71" s="206"/>
      <c r="J71" s="175"/>
      <c r="K71" s="206"/>
      <c r="M71" s="206"/>
    </row>
    <row r="72">
      <c r="A72" s="230"/>
      <c r="B72" s="208"/>
      <c r="E72" s="175"/>
      <c r="F72" s="175"/>
      <c r="H72" s="206"/>
      <c r="J72" s="175"/>
      <c r="K72" s="206"/>
      <c r="M72" s="206"/>
    </row>
    <row r="73">
      <c r="A73" s="230"/>
      <c r="B73" s="208"/>
      <c r="E73" s="175"/>
      <c r="F73" s="175"/>
      <c r="H73" s="206"/>
      <c r="J73" s="175"/>
      <c r="K73" s="206"/>
      <c r="M73" s="206"/>
    </row>
    <row r="74">
      <c r="A74" s="230"/>
      <c r="B74" s="208"/>
      <c r="E74" s="175"/>
      <c r="F74" s="175"/>
      <c r="H74" s="206"/>
      <c r="J74" s="175"/>
      <c r="K74" s="206"/>
      <c r="M74" s="206"/>
    </row>
    <row r="75">
      <c r="A75" s="230"/>
      <c r="B75" s="208"/>
      <c r="E75" s="175"/>
      <c r="F75" s="175"/>
      <c r="H75" s="206"/>
      <c r="J75" s="175"/>
      <c r="K75" s="206"/>
      <c r="M75" s="206"/>
    </row>
    <row r="76">
      <c r="A76" s="230"/>
      <c r="B76" s="208"/>
      <c r="E76" s="175"/>
      <c r="F76" s="175"/>
      <c r="H76" s="206"/>
      <c r="J76" s="175"/>
      <c r="K76" s="206"/>
      <c r="M76" s="206"/>
    </row>
    <row r="77">
      <c r="A77" s="230"/>
      <c r="B77" s="208"/>
      <c r="E77" s="175"/>
      <c r="F77" s="175"/>
      <c r="H77" s="206"/>
      <c r="J77" s="175"/>
      <c r="K77" s="206"/>
      <c r="M77" s="206"/>
    </row>
    <row r="78">
      <c r="A78" s="230"/>
      <c r="B78" s="208"/>
      <c r="E78" s="175"/>
      <c r="F78" s="175"/>
      <c r="H78" s="206"/>
      <c r="J78" s="175"/>
      <c r="K78" s="206"/>
      <c r="M78" s="206"/>
    </row>
    <row r="79">
      <c r="A79" s="230"/>
      <c r="B79" s="208"/>
      <c r="E79" s="175"/>
      <c r="F79" s="175"/>
      <c r="H79" s="206"/>
      <c r="J79" s="175"/>
      <c r="K79" s="206"/>
      <c r="M79" s="206"/>
    </row>
    <row r="80">
      <c r="A80" s="230"/>
      <c r="B80" s="208"/>
      <c r="E80" s="175"/>
      <c r="F80" s="175"/>
      <c r="H80" s="206"/>
      <c r="J80" s="175"/>
      <c r="K80" s="206"/>
      <c r="M80" s="206"/>
    </row>
    <row r="81">
      <c r="A81" s="230"/>
      <c r="B81" s="208"/>
      <c r="E81" s="175"/>
      <c r="F81" s="175"/>
      <c r="H81" s="206"/>
      <c r="J81" s="175"/>
      <c r="K81" s="206"/>
      <c r="M81" s="206"/>
    </row>
    <row r="82">
      <c r="A82" s="230"/>
      <c r="B82" s="208"/>
      <c r="E82" s="175"/>
      <c r="F82" s="175"/>
      <c r="H82" s="206"/>
      <c r="J82" s="175"/>
      <c r="K82" s="206"/>
      <c r="M82" s="206"/>
    </row>
    <row r="83">
      <c r="A83" s="230"/>
      <c r="B83" s="208"/>
      <c r="E83" s="175"/>
      <c r="F83" s="175"/>
      <c r="H83" s="206"/>
      <c r="J83" s="175"/>
      <c r="K83" s="206"/>
      <c r="M83" s="206"/>
    </row>
    <row r="84">
      <c r="A84" s="230"/>
      <c r="B84" s="208"/>
      <c r="E84" s="175"/>
      <c r="F84" s="175"/>
      <c r="H84" s="206"/>
      <c r="J84" s="175"/>
      <c r="K84" s="206"/>
      <c r="M84" s="206"/>
    </row>
    <row r="85">
      <c r="A85" s="230"/>
      <c r="B85" s="208"/>
      <c r="E85" s="175"/>
      <c r="F85" s="175"/>
      <c r="H85" s="206"/>
      <c r="J85" s="175"/>
      <c r="K85" s="206"/>
      <c r="M85" s="206"/>
    </row>
    <row r="86">
      <c r="A86" s="230"/>
      <c r="B86" s="208"/>
      <c r="E86" s="175"/>
      <c r="F86" s="175"/>
      <c r="H86" s="206"/>
      <c r="J86" s="175"/>
      <c r="K86" s="206"/>
      <c r="M86" s="206"/>
    </row>
    <row r="87">
      <c r="A87" s="230"/>
      <c r="B87" s="208"/>
      <c r="E87" s="175"/>
      <c r="F87" s="175"/>
      <c r="H87" s="206"/>
      <c r="J87" s="175"/>
      <c r="K87" s="206"/>
      <c r="M87" s="206"/>
    </row>
    <row r="88">
      <c r="A88" s="230"/>
      <c r="B88" s="208"/>
      <c r="E88" s="175"/>
      <c r="F88" s="175"/>
      <c r="H88" s="206"/>
      <c r="J88" s="175"/>
      <c r="K88" s="206"/>
      <c r="M88" s="206"/>
    </row>
    <row r="89">
      <c r="A89" s="230"/>
      <c r="B89" s="208"/>
      <c r="E89" s="175"/>
      <c r="F89" s="175"/>
      <c r="H89" s="206"/>
      <c r="J89" s="175"/>
      <c r="K89" s="206"/>
      <c r="M89" s="206"/>
    </row>
    <row r="90">
      <c r="A90" s="230"/>
      <c r="B90" s="208"/>
      <c r="E90" s="175"/>
      <c r="F90" s="175"/>
      <c r="H90" s="206"/>
      <c r="J90" s="175"/>
      <c r="K90" s="206"/>
      <c r="M90" s="206"/>
    </row>
    <row r="91">
      <c r="A91" s="230"/>
      <c r="B91" s="208"/>
      <c r="E91" s="175"/>
      <c r="F91" s="175"/>
      <c r="H91" s="206"/>
      <c r="J91" s="175"/>
      <c r="K91" s="206"/>
      <c r="M91" s="206"/>
    </row>
    <row r="92">
      <c r="A92" s="230"/>
      <c r="B92" s="208"/>
      <c r="E92" s="175"/>
      <c r="F92" s="175"/>
      <c r="H92" s="206"/>
      <c r="J92" s="175"/>
      <c r="K92" s="206"/>
      <c r="M92" s="206"/>
    </row>
    <row r="93">
      <c r="A93" s="230"/>
      <c r="B93" s="208"/>
      <c r="E93" s="175"/>
      <c r="F93" s="175"/>
      <c r="H93" s="206"/>
      <c r="J93" s="175"/>
      <c r="K93" s="206"/>
      <c r="M93" s="206"/>
    </row>
    <row r="94">
      <c r="A94" s="230"/>
      <c r="B94" s="208"/>
      <c r="E94" s="175"/>
      <c r="F94" s="175"/>
      <c r="H94" s="206"/>
      <c r="J94" s="175"/>
      <c r="K94" s="206"/>
      <c r="M94" s="206"/>
    </row>
    <row r="95">
      <c r="A95" s="230"/>
      <c r="B95" s="208"/>
      <c r="E95" s="175"/>
      <c r="F95" s="175"/>
      <c r="H95" s="206"/>
      <c r="J95" s="175"/>
      <c r="K95" s="206"/>
      <c r="M95" s="206"/>
    </row>
    <row r="96">
      <c r="A96" s="230"/>
      <c r="B96" s="208"/>
      <c r="E96" s="175"/>
      <c r="F96" s="175"/>
      <c r="H96" s="206"/>
      <c r="J96" s="175"/>
      <c r="K96" s="206"/>
      <c r="M96" s="206"/>
    </row>
    <row r="97">
      <c r="A97" s="230"/>
      <c r="B97" s="208"/>
      <c r="E97" s="175"/>
      <c r="F97" s="175"/>
      <c r="H97" s="206"/>
      <c r="J97" s="175"/>
      <c r="K97" s="206"/>
      <c r="M97" s="206"/>
    </row>
    <row r="98">
      <c r="A98" s="230"/>
      <c r="B98" s="208"/>
      <c r="E98" s="175"/>
      <c r="F98" s="175"/>
      <c r="H98" s="206"/>
      <c r="J98" s="175"/>
      <c r="K98" s="206"/>
      <c r="M98" s="206"/>
    </row>
    <row r="99">
      <c r="A99" s="230"/>
      <c r="B99" s="208"/>
      <c r="E99" s="175"/>
      <c r="F99" s="175"/>
      <c r="H99" s="206"/>
      <c r="J99" s="175"/>
      <c r="K99" s="206"/>
      <c r="M99" s="206"/>
    </row>
    <row r="100">
      <c r="A100" s="230"/>
      <c r="B100" s="208"/>
      <c r="E100" s="175"/>
      <c r="F100" s="175"/>
      <c r="H100" s="206"/>
      <c r="J100" s="175"/>
      <c r="K100" s="206"/>
      <c r="M100" s="206"/>
    </row>
    <row r="101">
      <c r="A101" s="230"/>
      <c r="B101" s="208"/>
      <c r="E101" s="175"/>
      <c r="F101" s="175"/>
      <c r="H101" s="206"/>
      <c r="J101" s="175"/>
      <c r="K101" s="206"/>
      <c r="M101" s="206"/>
    </row>
    <row r="102">
      <c r="A102" s="230"/>
      <c r="B102" s="208"/>
      <c r="E102" s="175"/>
      <c r="F102" s="175"/>
      <c r="H102" s="206"/>
      <c r="J102" s="175"/>
      <c r="K102" s="206"/>
      <c r="M102" s="206"/>
    </row>
    <row r="103">
      <c r="A103" s="230"/>
      <c r="B103" s="208"/>
      <c r="E103" s="175"/>
      <c r="F103" s="175"/>
      <c r="H103" s="206"/>
      <c r="J103" s="175"/>
      <c r="K103" s="206"/>
      <c r="M103" s="206"/>
    </row>
    <row r="104">
      <c r="A104" s="230"/>
      <c r="B104" s="208"/>
      <c r="E104" s="175"/>
      <c r="F104" s="175"/>
      <c r="H104" s="206"/>
      <c r="J104" s="175"/>
      <c r="K104" s="206"/>
      <c r="M104" s="206"/>
    </row>
    <row r="105">
      <c r="A105" s="230"/>
      <c r="B105" s="208"/>
      <c r="E105" s="175"/>
      <c r="F105" s="175"/>
      <c r="H105" s="206"/>
      <c r="J105" s="175"/>
      <c r="K105" s="206"/>
      <c r="M105" s="206"/>
    </row>
    <row r="106">
      <c r="A106" s="230"/>
      <c r="B106" s="208"/>
      <c r="E106" s="175"/>
      <c r="F106" s="175"/>
      <c r="H106" s="206"/>
      <c r="J106" s="175"/>
      <c r="K106" s="206"/>
      <c r="M106" s="206"/>
    </row>
    <row r="107">
      <c r="A107" s="230"/>
      <c r="B107" s="208"/>
      <c r="E107" s="175"/>
      <c r="F107" s="175"/>
      <c r="H107" s="206"/>
      <c r="J107" s="175"/>
      <c r="K107" s="206"/>
      <c r="M107" s="206"/>
    </row>
    <row r="108">
      <c r="A108" s="230"/>
      <c r="B108" s="208"/>
      <c r="E108" s="175"/>
      <c r="F108" s="175"/>
      <c r="H108" s="206"/>
      <c r="J108" s="175"/>
      <c r="K108" s="206"/>
      <c r="M108" s="206"/>
    </row>
    <row r="109">
      <c r="A109" s="230"/>
      <c r="B109" s="208"/>
      <c r="E109" s="175"/>
      <c r="F109" s="175"/>
      <c r="H109" s="206"/>
      <c r="J109" s="175"/>
      <c r="K109" s="206"/>
      <c r="M109" s="206"/>
    </row>
    <row r="110">
      <c r="A110" s="230"/>
      <c r="B110" s="208"/>
      <c r="E110" s="175"/>
      <c r="F110" s="175"/>
      <c r="H110" s="206"/>
      <c r="J110" s="175"/>
      <c r="K110" s="206"/>
      <c r="M110" s="206"/>
    </row>
    <row r="111">
      <c r="A111" s="230"/>
      <c r="B111" s="208"/>
      <c r="E111" s="175"/>
      <c r="F111" s="175"/>
      <c r="H111" s="206"/>
      <c r="J111" s="175"/>
      <c r="K111" s="206"/>
      <c r="M111" s="206"/>
    </row>
    <row r="112">
      <c r="A112" s="230"/>
      <c r="B112" s="208"/>
      <c r="E112" s="175"/>
      <c r="F112" s="175"/>
      <c r="H112" s="206"/>
      <c r="J112" s="175"/>
      <c r="K112" s="206"/>
      <c r="M112" s="206"/>
    </row>
    <row r="113">
      <c r="A113" s="230"/>
      <c r="B113" s="208"/>
      <c r="E113" s="175"/>
      <c r="F113" s="175"/>
      <c r="H113" s="206"/>
      <c r="J113" s="175"/>
      <c r="K113" s="206"/>
      <c r="M113" s="206"/>
    </row>
    <row r="114">
      <c r="A114" s="230"/>
      <c r="B114" s="208"/>
      <c r="E114" s="175"/>
      <c r="F114" s="175"/>
      <c r="H114" s="206"/>
      <c r="J114" s="175"/>
      <c r="K114" s="206"/>
      <c r="M114" s="206"/>
    </row>
    <row r="115">
      <c r="A115" s="230"/>
      <c r="B115" s="208"/>
      <c r="E115" s="175"/>
      <c r="F115" s="175"/>
      <c r="H115" s="206"/>
      <c r="J115" s="175"/>
      <c r="K115" s="206"/>
      <c r="M115" s="206"/>
    </row>
    <row r="116">
      <c r="A116" s="230"/>
      <c r="B116" s="208"/>
      <c r="E116" s="175"/>
      <c r="F116" s="175"/>
      <c r="H116" s="206"/>
      <c r="J116" s="175"/>
      <c r="K116" s="206"/>
      <c r="M116" s="206"/>
    </row>
    <row r="117">
      <c r="A117" s="230"/>
      <c r="B117" s="208"/>
      <c r="E117" s="175"/>
      <c r="F117" s="175"/>
      <c r="H117" s="206"/>
      <c r="J117" s="175"/>
      <c r="K117" s="206"/>
      <c r="M117" s="206"/>
    </row>
    <row r="118">
      <c r="A118" s="230"/>
      <c r="B118" s="208"/>
      <c r="E118" s="175"/>
      <c r="F118" s="175"/>
      <c r="H118" s="206"/>
      <c r="J118" s="175"/>
      <c r="K118" s="206"/>
      <c r="M118" s="206"/>
    </row>
    <row r="119">
      <c r="A119" s="230"/>
      <c r="B119" s="208"/>
      <c r="E119" s="175"/>
      <c r="F119" s="175"/>
      <c r="H119" s="206"/>
      <c r="J119" s="175"/>
      <c r="K119" s="206"/>
      <c r="M119" s="206"/>
    </row>
    <row r="120">
      <c r="A120" s="230"/>
      <c r="B120" s="208"/>
      <c r="E120" s="175"/>
      <c r="F120" s="175"/>
      <c r="H120" s="206"/>
      <c r="J120" s="175"/>
      <c r="K120" s="206"/>
      <c r="M120" s="206"/>
    </row>
    <row r="121">
      <c r="A121" s="230"/>
      <c r="B121" s="208"/>
      <c r="E121" s="175"/>
      <c r="F121" s="175"/>
      <c r="H121" s="206"/>
      <c r="J121" s="175"/>
      <c r="K121" s="206"/>
      <c r="M121" s="206"/>
    </row>
    <row r="122">
      <c r="A122" s="230"/>
      <c r="B122" s="208"/>
      <c r="E122" s="175"/>
      <c r="F122" s="175"/>
      <c r="H122" s="206"/>
      <c r="J122" s="175"/>
      <c r="K122" s="206"/>
      <c r="M122" s="206"/>
    </row>
    <row r="123">
      <c r="A123" s="230"/>
      <c r="B123" s="208"/>
      <c r="E123" s="175"/>
      <c r="F123" s="175"/>
      <c r="H123" s="206"/>
      <c r="J123" s="175"/>
      <c r="K123" s="206"/>
      <c r="M123" s="206"/>
    </row>
    <row r="124">
      <c r="A124" s="230"/>
      <c r="B124" s="208"/>
      <c r="E124" s="175"/>
      <c r="F124" s="175"/>
      <c r="H124" s="206"/>
      <c r="J124" s="175"/>
      <c r="K124" s="206"/>
      <c r="M124" s="206"/>
    </row>
    <row r="125">
      <c r="A125" s="230"/>
      <c r="B125" s="208"/>
      <c r="E125" s="175"/>
      <c r="F125" s="175"/>
      <c r="H125" s="206"/>
      <c r="J125" s="175"/>
      <c r="K125" s="206"/>
      <c r="M125" s="206"/>
    </row>
    <row r="126">
      <c r="A126" s="230"/>
      <c r="B126" s="208"/>
      <c r="E126" s="175"/>
      <c r="F126" s="175"/>
      <c r="H126" s="206"/>
      <c r="J126" s="175"/>
      <c r="K126" s="206"/>
      <c r="M126" s="206"/>
    </row>
    <row r="127">
      <c r="A127" s="230"/>
      <c r="B127" s="208"/>
      <c r="E127" s="175"/>
      <c r="F127" s="175"/>
      <c r="H127" s="206"/>
      <c r="J127" s="175"/>
      <c r="K127" s="206"/>
      <c r="M127" s="206"/>
    </row>
    <row r="128">
      <c r="A128" s="230"/>
      <c r="B128" s="208"/>
      <c r="E128" s="175"/>
      <c r="F128" s="175"/>
      <c r="H128" s="206"/>
      <c r="J128" s="175"/>
      <c r="K128" s="206"/>
      <c r="M128" s="206"/>
    </row>
    <row r="129">
      <c r="A129" s="230"/>
      <c r="B129" s="208"/>
      <c r="E129" s="175"/>
      <c r="F129" s="175"/>
      <c r="H129" s="206"/>
      <c r="J129" s="175"/>
      <c r="K129" s="206"/>
      <c r="M129" s="206"/>
    </row>
    <row r="130">
      <c r="A130" s="230"/>
      <c r="B130" s="208"/>
      <c r="E130" s="175"/>
      <c r="F130" s="175"/>
      <c r="H130" s="206"/>
      <c r="J130" s="175"/>
      <c r="K130" s="206"/>
      <c r="M130" s="206"/>
    </row>
    <row r="131">
      <c r="A131" s="230"/>
      <c r="B131" s="208"/>
      <c r="E131" s="175"/>
      <c r="F131" s="175"/>
      <c r="H131" s="206"/>
      <c r="J131" s="175"/>
      <c r="K131" s="206"/>
      <c r="M131" s="206"/>
    </row>
    <row r="132">
      <c r="A132" s="230"/>
      <c r="B132" s="208"/>
      <c r="E132" s="175"/>
      <c r="F132" s="175"/>
      <c r="H132" s="206"/>
      <c r="J132" s="175"/>
      <c r="K132" s="206"/>
      <c r="M132" s="206"/>
    </row>
    <row r="133">
      <c r="A133" s="230"/>
      <c r="B133" s="208"/>
      <c r="E133" s="175"/>
      <c r="F133" s="175"/>
      <c r="H133" s="206"/>
      <c r="J133" s="175"/>
      <c r="K133" s="206"/>
      <c r="M133" s="206"/>
    </row>
    <row r="134">
      <c r="A134" s="230"/>
      <c r="B134" s="208"/>
      <c r="E134" s="175"/>
      <c r="F134" s="175"/>
      <c r="H134" s="206"/>
      <c r="J134" s="175"/>
      <c r="K134" s="206"/>
      <c r="M134" s="206"/>
    </row>
    <row r="135">
      <c r="A135" s="230"/>
      <c r="B135" s="208"/>
      <c r="E135" s="175"/>
      <c r="F135" s="175"/>
      <c r="H135" s="206"/>
      <c r="J135" s="175"/>
      <c r="K135" s="206"/>
      <c r="M135" s="206"/>
    </row>
    <row r="136">
      <c r="A136" s="230"/>
      <c r="B136" s="208"/>
      <c r="E136" s="175"/>
      <c r="F136" s="175"/>
      <c r="H136" s="206"/>
      <c r="J136" s="175"/>
      <c r="K136" s="206"/>
      <c r="M136" s="206"/>
    </row>
    <row r="137">
      <c r="A137" s="230"/>
      <c r="B137" s="208"/>
      <c r="E137" s="175"/>
      <c r="F137" s="175"/>
      <c r="H137" s="206"/>
      <c r="J137" s="175"/>
      <c r="K137" s="206"/>
      <c r="M137" s="206"/>
    </row>
    <row r="138">
      <c r="A138" s="230"/>
      <c r="B138" s="208"/>
      <c r="E138" s="175"/>
      <c r="F138" s="175"/>
      <c r="H138" s="206"/>
      <c r="J138" s="175"/>
      <c r="K138" s="206"/>
      <c r="M138" s="206"/>
    </row>
    <row r="139">
      <c r="A139" s="230"/>
      <c r="B139" s="208"/>
      <c r="E139" s="175"/>
      <c r="F139" s="175"/>
      <c r="H139" s="206"/>
      <c r="J139" s="175"/>
      <c r="K139" s="206"/>
      <c r="M139" s="206"/>
    </row>
    <row r="140">
      <c r="A140" s="230"/>
      <c r="B140" s="208"/>
      <c r="E140" s="175"/>
      <c r="F140" s="175"/>
      <c r="H140" s="206"/>
      <c r="J140" s="175"/>
      <c r="K140" s="206"/>
      <c r="M140" s="206"/>
    </row>
    <row r="141">
      <c r="A141" s="230"/>
      <c r="B141" s="208"/>
      <c r="E141" s="175"/>
      <c r="F141" s="175"/>
      <c r="H141" s="206"/>
      <c r="J141" s="175"/>
      <c r="K141" s="206"/>
      <c r="M141" s="206"/>
    </row>
    <row r="142">
      <c r="A142" s="230"/>
      <c r="B142" s="208"/>
      <c r="E142" s="175"/>
      <c r="F142" s="175"/>
      <c r="H142" s="206"/>
      <c r="J142" s="175"/>
      <c r="K142" s="206"/>
      <c r="M142" s="206"/>
    </row>
    <row r="143">
      <c r="A143" s="230"/>
      <c r="B143" s="208"/>
      <c r="E143" s="175"/>
      <c r="F143" s="175"/>
      <c r="H143" s="206"/>
      <c r="J143" s="175"/>
      <c r="K143" s="206"/>
      <c r="M143" s="206"/>
    </row>
    <row r="144">
      <c r="A144" s="230"/>
      <c r="B144" s="208"/>
      <c r="E144" s="175"/>
      <c r="F144" s="175"/>
      <c r="H144" s="206"/>
      <c r="J144" s="175"/>
      <c r="K144" s="206"/>
      <c r="M144" s="206"/>
    </row>
    <row r="145">
      <c r="A145" s="230"/>
      <c r="B145" s="208"/>
      <c r="E145" s="175"/>
      <c r="F145" s="175"/>
      <c r="H145" s="206"/>
      <c r="J145" s="175"/>
      <c r="K145" s="206"/>
      <c r="M145" s="206"/>
    </row>
    <row r="146">
      <c r="A146" s="230"/>
      <c r="B146" s="208"/>
      <c r="E146" s="175"/>
      <c r="F146" s="175"/>
      <c r="H146" s="206"/>
      <c r="J146" s="175"/>
      <c r="K146" s="206"/>
      <c r="M146" s="206"/>
    </row>
    <row r="147">
      <c r="A147" s="230"/>
      <c r="B147" s="208"/>
      <c r="E147" s="175"/>
      <c r="F147" s="175"/>
      <c r="H147" s="206"/>
      <c r="J147" s="175"/>
      <c r="K147" s="206"/>
      <c r="M147" s="206"/>
    </row>
    <row r="148">
      <c r="A148" s="230"/>
      <c r="B148" s="208"/>
      <c r="E148" s="175"/>
      <c r="F148" s="175"/>
      <c r="H148" s="206"/>
      <c r="J148" s="175"/>
      <c r="K148" s="206"/>
      <c r="M148" s="206"/>
    </row>
    <row r="149">
      <c r="A149" s="230"/>
      <c r="B149" s="208"/>
      <c r="E149" s="175"/>
      <c r="F149" s="175"/>
      <c r="H149" s="206"/>
      <c r="J149" s="175"/>
      <c r="K149" s="206"/>
      <c r="M149" s="206"/>
    </row>
    <row r="150">
      <c r="A150" s="230"/>
      <c r="B150" s="208"/>
      <c r="E150" s="175"/>
      <c r="F150" s="175"/>
      <c r="H150" s="206"/>
      <c r="J150" s="175"/>
      <c r="K150" s="206"/>
      <c r="M150" s="206"/>
    </row>
    <row r="151">
      <c r="A151" s="230"/>
      <c r="B151" s="208"/>
      <c r="E151" s="175"/>
      <c r="F151" s="175"/>
      <c r="H151" s="206"/>
      <c r="J151" s="175"/>
      <c r="K151" s="206"/>
      <c r="M151" s="206"/>
    </row>
    <row r="152">
      <c r="A152" s="230"/>
      <c r="B152" s="208"/>
      <c r="E152" s="175"/>
      <c r="F152" s="175"/>
      <c r="H152" s="206"/>
      <c r="J152" s="175"/>
      <c r="K152" s="206"/>
      <c r="M152" s="206"/>
    </row>
    <row r="153">
      <c r="A153" s="230"/>
      <c r="B153" s="208"/>
      <c r="E153" s="175"/>
      <c r="F153" s="175"/>
      <c r="H153" s="206"/>
      <c r="J153" s="175"/>
      <c r="K153" s="206"/>
      <c r="M153" s="206"/>
    </row>
    <row r="154">
      <c r="A154" s="230"/>
      <c r="B154" s="208"/>
      <c r="E154" s="175"/>
      <c r="F154" s="175"/>
      <c r="H154" s="206"/>
      <c r="J154" s="175"/>
      <c r="K154" s="206"/>
      <c r="M154" s="206"/>
    </row>
    <row r="155">
      <c r="A155" s="230"/>
      <c r="B155" s="208"/>
      <c r="E155" s="175"/>
      <c r="F155" s="175"/>
      <c r="H155" s="206"/>
      <c r="J155" s="175"/>
      <c r="K155" s="206"/>
      <c r="M155" s="206"/>
    </row>
    <row r="156">
      <c r="A156" s="230"/>
      <c r="B156" s="208"/>
      <c r="E156" s="175"/>
      <c r="F156" s="175"/>
      <c r="H156" s="206"/>
      <c r="J156" s="175"/>
      <c r="K156" s="206"/>
      <c r="M156" s="206"/>
    </row>
    <row r="157">
      <c r="A157" s="230"/>
      <c r="B157" s="208"/>
      <c r="E157" s="175"/>
      <c r="F157" s="175"/>
      <c r="H157" s="206"/>
      <c r="J157" s="175"/>
      <c r="K157" s="206"/>
      <c r="M157" s="206"/>
    </row>
    <row r="158">
      <c r="A158" s="230"/>
      <c r="B158" s="208"/>
      <c r="E158" s="175"/>
      <c r="F158" s="175"/>
      <c r="H158" s="206"/>
      <c r="J158" s="175"/>
      <c r="K158" s="206"/>
      <c r="M158" s="206"/>
    </row>
    <row r="159">
      <c r="A159" s="230"/>
      <c r="B159" s="208"/>
      <c r="E159" s="175"/>
      <c r="F159" s="175"/>
      <c r="H159" s="206"/>
      <c r="J159" s="175"/>
      <c r="K159" s="206"/>
      <c r="M159" s="206"/>
    </row>
    <row r="160">
      <c r="A160" s="230"/>
      <c r="B160" s="208"/>
      <c r="E160" s="175"/>
      <c r="F160" s="175"/>
      <c r="H160" s="206"/>
      <c r="J160" s="175"/>
      <c r="K160" s="206"/>
      <c r="M160" s="206"/>
    </row>
    <row r="161">
      <c r="A161" s="230"/>
      <c r="B161" s="208"/>
      <c r="E161" s="175"/>
      <c r="F161" s="175"/>
      <c r="H161" s="206"/>
      <c r="J161" s="175"/>
      <c r="K161" s="206"/>
      <c r="M161" s="206"/>
    </row>
    <row r="162">
      <c r="A162" s="230"/>
      <c r="B162" s="208"/>
      <c r="E162" s="175"/>
      <c r="F162" s="175"/>
      <c r="H162" s="206"/>
      <c r="J162" s="175"/>
      <c r="K162" s="206"/>
      <c r="M162" s="206"/>
    </row>
    <row r="163">
      <c r="A163" s="230"/>
      <c r="B163" s="208"/>
      <c r="E163" s="175"/>
      <c r="F163" s="175"/>
      <c r="H163" s="206"/>
      <c r="J163" s="175"/>
      <c r="K163" s="206"/>
      <c r="M163" s="206"/>
    </row>
    <row r="164">
      <c r="A164" s="230"/>
      <c r="B164" s="208"/>
      <c r="E164" s="175"/>
      <c r="F164" s="175"/>
      <c r="H164" s="206"/>
      <c r="J164" s="175"/>
      <c r="K164" s="206"/>
      <c r="M164" s="206"/>
    </row>
    <row r="165">
      <c r="A165" s="230"/>
      <c r="B165" s="208"/>
      <c r="E165" s="175"/>
      <c r="F165" s="175"/>
      <c r="H165" s="206"/>
      <c r="J165" s="175"/>
      <c r="K165" s="206"/>
      <c r="M165" s="206"/>
    </row>
    <row r="166">
      <c r="A166" s="230"/>
      <c r="B166" s="208"/>
      <c r="E166" s="175"/>
      <c r="F166" s="175"/>
      <c r="H166" s="206"/>
      <c r="J166" s="175"/>
      <c r="K166" s="206"/>
      <c r="M166" s="206"/>
    </row>
    <row r="167">
      <c r="A167" s="230"/>
      <c r="B167" s="208"/>
      <c r="E167" s="175"/>
      <c r="F167" s="175"/>
      <c r="H167" s="206"/>
      <c r="J167" s="175"/>
      <c r="K167" s="206"/>
      <c r="M167" s="206"/>
    </row>
    <row r="168">
      <c r="A168" s="230"/>
      <c r="B168" s="208"/>
      <c r="E168" s="175"/>
      <c r="F168" s="175"/>
      <c r="H168" s="206"/>
      <c r="J168" s="175"/>
      <c r="K168" s="206"/>
      <c r="M168" s="206"/>
    </row>
    <row r="169">
      <c r="A169" s="230"/>
      <c r="B169" s="208"/>
      <c r="E169" s="175"/>
      <c r="F169" s="175"/>
      <c r="H169" s="206"/>
      <c r="J169" s="175"/>
      <c r="K169" s="206"/>
      <c r="M169" s="206"/>
    </row>
    <row r="170">
      <c r="A170" s="230"/>
      <c r="B170" s="208"/>
      <c r="E170" s="175"/>
      <c r="F170" s="175"/>
      <c r="H170" s="206"/>
      <c r="J170" s="175"/>
      <c r="K170" s="206"/>
      <c r="M170" s="206"/>
    </row>
    <row r="171">
      <c r="A171" s="230"/>
      <c r="B171" s="208"/>
      <c r="E171" s="175"/>
      <c r="F171" s="175"/>
      <c r="H171" s="206"/>
      <c r="J171" s="175"/>
      <c r="K171" s="206"/>
      <c r="M171" s="206"/>
    </row>
    <row r="172">
      <c r="A172" s="230"/>
      <c r="B172" s="208"/>
      <c r="E172" s="175"/>
      <c r="F172" s="175"/>
      <c r="H172" s="206"/>
      <c r="J172" s="175"/>
      <c r="K172" s="206"/>
      <c r="M172" s="206"/>
    </row>
    <row r="173">
      <c r="A173" s="230"/>
      <c r="B173" s="208"/>
      <c r="E173" s="175"/>
      <c r="F173" s="175"/>
      <c r="H173" s="206"/>
      <c r="J173" s="175"/>
      <c r="K173" s="206"/>
      <c r="M173" s="206"/>
    </row>
    <row r="174">
      <c r="A174" s="230"/>
      <c r="B174" s="208"/>
      <c r="E174" s="175"/>
      <c r="F174" s="175"/>
      <c r="H174" s="206"/>
      <c r="J174" s="175"/>
      <c r="K174" s="206"/>
      <c r="M174" s="206"/>
    </row>
    <row r="175">
      <c r="A175" s="230"/>
      <c r="B175" s="208"/>
      <c r="E175" s="175"/>
      <c r="F175" s="175"/>
      <c r="H175" s="206"/>
      <c r="J175" s="175"/>
      <c r="K175" s="206"/>
      <c r="M175" s="206"/>
    </row>
    <row r="176">
      <c r="A176" s="230"/>
      <c r="B176" s="208"/>
      <c r="E176" s="175"/>
      <c r="F176" s="175"/>
      <c r="H176" s="206"/>
      <c r="J176" s="175"/>
      <c r="K176" s="206"/>
      <c r="M176" s="206"/>
    </row>
    <row r="177">
      <c r="A177" s="230"/>
      <c r="B177" s="208"/>
      <c r="E177" s="175"/>
      <c r="F177" s="175"/>
      <c r="H177" s="206"/>
      <c r="J177" s="175"/>
      <c r="K177" s="206"/>
      <c r="M177" s="206"/>
    </row>
    <row r="178">
      <c r="A178" s="230"/>
      <c r="B178" s="208"/>
      <c r="E178" s="175"/>
      <c r="F178" s="175"/>
      <c r="H178" s="206"/>
      <c r="J178" s="175"/>
      <c r="K178" s="206"/>
      <c r="M178" s="206"/>
    </row>
    <row r="179">
      <c r="A179" s="230"/>
      <c r="B179" s="208"/>
      <c r="E179" s="175"/>
      <c r="F179" s="175"/>
      <c r="H179" s="206"/>
      <c r="J179" s="175"/>
      <c r="K179" s="206"/>
      <c r="M179" s="206"/>
    </row>
    <row r="180">
      <c r="A180" s="230"/>
      <c r="B180" s="208"/>
      <c r="E180" s="175"/>
      <c r="F180" s="175"/>
      <c r="H180" s="206"/>
      <c r="J180" s="175"/>
      <c r="K180" s="206"/>
      <c r="M180" s="206"/>
    </row>
    <row r="181">
      <c r="A181" s="230"/>
      <c r="B181" s="208"/>
      <c r="E181" s="175"/>
      <c r="F181" s="175"/>
      <c r="H181" s="206"/>
      <c r="J181" s="175"/>
      <c r="K181" s="206"/>
      <c r="M181" s="206"/>
    </row>
    <row r="182">
      <c r="A182" s="230"/>
      <c r="B182" s="208"/>
      <c r="E182" s="175"/>
      <c r="F182" s="175"/>
      <c r="H182" s="206"/>
      <c r="J182" s="175"/>
      <c r="K182" s="206"/>
      <c r="M182" s="206"/>
    </row>
    <row r="183">
      <c r="A183" s="230"/>
      <c r="B183" s="208"/>
      <c r="E183" s="175"/>
      <c r="F183" s="175"/>
      <c r="H183" s="206"/>
      <c r="J183" s="175"/>
      <c r="K183" s="206"/>
      <c r="M183" s="206"/>
    </row>
    <row r="184">
      <c r="A184" s="230"/>
      <c r="B184" s="208"/>
      <c r="E184" s="175"/>
      <c r="F184" s="175"/>
      <c r="H184" s="206"/>
      <c r="J184" s="175"/>
      <c r="K184" s="206"/>
      <c r="M184" s="206"/>
    </row>
    <row r="185">
      <c r="A185" s="230"/>
      <c r="B185" s="208"/>
      <c r="E185" s="175"/>
      <c r="F185" s="175"/>
      <c r="H185" s="206"/>
      <c r="J185" s="175"/>
      <c r="K185" s="206"/>
      <c r="M185" s="206"/>
    </row>
    <row r="186">
      <c r="A186" s="230"/>
      <c r="B186" s="208"/>
      <c r="E186" s="175"/>
      <c r="F186" s="175"/>
      <c r="H186" s="206"/>
      <c r="J186" s="175"/>
      <c r="K186" s="206"/>
      <c r="M186" s="206"/>
    </row>
    <row r="187">
      <c r="A187" s="230"/>
      <c r="B187" s="208"/>
      <c r="E187" s="175"/>
      <c r="F187" s="175"/>
      <c r="H187" s="206"/>
      <c r="J187" s="175"/>
      <c r="K187" s="206"/>
      <c r="M187" s="206"/>
    </row>
    <row r="188">
      <c r="A188" s="230"/>
      <c r="B188" s="208"/>
      <c r="E188" s="175"/>
      <c r="F188" s="175"/>
      <c r="H188" s="206"/>
      <c r="J188" s="175"/>
      <c r="K188" s="206"/>
      <c r="M188" s="206"/>
    </row>
    <row r="189">
      <c r="A189" s="230"/>
      <c r="B189" s="208"/>
      <c r="E189" s="175"/>
      <c r="F189" s="175"/>
      <c r="H189" s="206"/>
      <c r="J189" s="175"/>
      <c r="K189" s="206"/>
      <c r="M189" s="206"/>
    </row>
    <row r="190">
      <c r="A190" s="230"/>
      <c r="B190" s="208"/>
      <c r="E190" s="175"/>
      <c r="F190" s="175"/>
      <c r="H190" s="206"/>
      <c r="J190" s="175"/>
      <c r="K190" s="206"/>
      <c r="M190" s="206"/>
    </row>
    <row r="191">
      <c r="A191" s="230"/>
      <c r="B191" s="208"/>
      <c r="E191" s="175"/>
      <c r="F191" s="175"/>
      <c r="H191" s="206"/>
      <c r="J191" s="175"/>
      <c r="K191" s="206"/>
      <c r="M191" s="206"/>
    </row>
    <row r="192">
      <c r="A192" s="230"/>
      <c r="B192" s="208"/>
      <c r="E192" s="175"/>
      <c r="F192" s="175"/>
      <c r="H192" s="206"/>
      <c r="J192" s="175"/>
      <c r="K192" s="206"/>
      <c r="M192" s="206"/>
    </row>
    <row r="193">
      <c r="A193" s="230"/>
      <c r="B193" s="208"/>
      <c r="E193" s="175"/>
      <c r="F193" s="175"/>
      <c r="H193" s="206"/>
      <c r="J193" s="175"/>
      <c r="K193" s="206"/>
      <c r="M193" s="206"/>
    </row>
    <row r="194">
      <c r="A194" s="230"/>
      <c r="B194" s="208"/>
      <c r="E194" s="175"/>
      <c r="F194" s="175"/>
      <c r="H194" s="206"/>
      <c r="J194" s="175"/>
      <c r="K194" s="206"/>
      <c r="M194" s="206"/>
    </row>
    <row r="195">
      <c r="A195" s="230"/>
      <c r="B195" s="208"/>
      <c r="E195" s="175"/>
      <c r="F195" s="175"/>
      <c r="H195" s="206"/>
      <c r="J195" s="175"/>
      <c r="K195" s="206"/>
      <c r="M195" s="206"/>
    </row>
    <row r="196">
      <c r="A196" s="230"/>
      <c r="B196" s="208"/>
      <c r="E196" s="175"/>
      <c r="F196" s="175"/>
      <c r="H196" s="206"/>
      <c r="J196" s="175"/>
      <c r="K196" s="206"/>
      <c r="M196" s="206"/>
    </row>
    <row r="197">
      <c r="A197" s="230"/>
      <c r="B197" s="208"/>
      <c r="E197" s="175"/>
      <c r="F197" s="175"/>
      <c r="H197" s="206"/>
      <c r="J197" s="175"/>
      <c r="K197" s="206"/>
      <c r="M197" s="206"/>
    </row>
    <row r="198">
      <c r="A198" s="230"/>
      <c r="B198" s="208"/>
      <c r="E198" s="175"/>
      <c r="F198" s="175"/>
      <c r="H198" s="206"/>
      <c r="J198" s="175"/>
      <c r="K198" s="206"/>
      <c r="M198" s="206"/>
    </row>
    <row r="199">
      <c r="A199" s="230"/>
      <c r="B199" s="208"/>
      <c r="E199" s="175"/>
      <c r="F199" s="175"/>
      <c r="H199" s="206"/>
      <c r="J199" s="175"/>
      <c r="K199" s="206"/>
      <c r="M199" s="206"/>
    </row>
    <row r="200">
      <c r="A200" s="230"/>
      <c r="B200" s="208"/>
      <c r="E200" s="175"/>
      <c r="F200" s="175"/>
      <c r="H200" s="206"/>
      <c r="J200" s="175"/>
      <c r="K200" s="206"/>
      <c r="M200" s="206"/>
    </row>
    <row r="201">
      <c r="A201" s="230"/>
      <c r="B201" s="208"/>
      <c r="E201" s="175"/>
      <c r="F201" s="175"/>
      <c r="H201" s="206"/>
      <c r="J201" s="175"/>
      <c r="K201" s="206"/>
      <c r="M201" s="206"/>
    </row>
    <row r="202">
      <c r="A202" s="230"/>
      <c r="B202" s="208"/>
      <c r="E202" s="175"/>
      <c r="F202" s="175"/>
      <c r="H202" s="206"/>
      <c r="J202" s="175"/>
      <c r="K202" s="206"/>
      <c r="M202" s="206"/>
    </row>
    <row r="203">
      <c r="A203" s="230"/>
      <c r="B203" s="208"/>
      <c r="E203" s="175"/>
      <c r="F203" s="175"/>
      <c r="H203" s="206"/>
      <c r="J203" s="175"/>
      <c r="K203" s="206"/>
      <c r="M203" s="206"/>
    </row>
    <row r="204">
      <c r="A204" s="230"/>
      <c r="B204" s="208"/>
      <c r="E204" s="175"/>
      <c r="F204" s="175"/>
      <c r="H204" s="206"/>
      <c r="J204" s="175"/>
      <c r="K204" s="206"/>
      <c r="M204" s="206"/>
    </row>
    <row r="205">
      <c r="A205" s="230"/>
      <c r="B205" s="208"/>
      <c r="E205" s="175"/>
      <c r="F205" s="175"/>
      <c r="H205" s="206"/>
      <c r="J205" s="175"/>
      <c r="K205" s="206"/>
      <c r="M205" s="206"/>
    </row>
    <row r="206">
      <c r="A206" s="230"/>
      <c r="B206" s="208"/>
      <c r="E206" s="175"/>
      <c r="F206" s="175"/>
      <c r="H206" s="206"/>
      <c r="J206" s="175"/>
      <c r="K206" s="206"/>
      <c r="M206" s="206"/>
    </row>
    <row r="207">
      <c r="A207" s="230"/>
      <c r="B207" s="208"/>
      <c r="E207" s="175"/>
      <c r="F207" s="175"/>
      <c r="H207" s="206"/>
      <c r="J207" s="175"/>
      <c r="K207" s="206"/>
      <c r="M207" s="206"/>
    </row>
    <row r="208">
      <c r="A208" s="230"/>
      <c r="B208" s="208"/>
      <c r="E208" s="175"/>
      <c r="F208" s="175"/>
      <c r="H208" s="206"/>
      <c r="J208" s="175"/>
      <c r="K208" s="206"/>
      <c r="M208" s="206"/>
    </row>
    <row r="209">
      <c r="A209" s="230"/>
      <c r="B209" s="208"/>
      <c r="E209" s="175"/>
      <c r="F209" s="175"/>
      <c r="H209" s="206"/>
      <c r="J209" s="175"/>
      <c r="K209" s="206"/>
      <c r="M209" s="206"/>
    </row>
    <row r="210">
      <c r="A210" s="230"/>
      <c r="B210" s="208"/>
      <c r="E210" s="175"/>
      <c r="F210" s="175"/>
      <c r="H210" s="206"/>
      <c r="J210" s="175"/>
      <c r="K210" s="206"/>
      <c r="M210" s="206"/>
    </row>
    <row r="211">
      <c r="A211" s="230"/>
      <c r="B211" s="208"/>
      <c r="E211" s="175"/>
      <c r="F211" s="175"/>
      <c r="H211" s="206"/>
      <c r="J211" s="175"/>
      <c r="K211" s="206"/>
      <c r="M211" s="206"/>
    </row>
    <row r="212">
      <c r="A212" s="230"/>
      <c r="B212" s="208"/>
      <c r="E212" s="175"/>
      <c r="F212" s="175"/>
      <c r="H212" s="206"/>
      <c r="J212" s="175"/>
      <c r="K212" s="206"/>
      <c r="M212" s="206"/>
    </row>
    <row r="213">
      <c r="A213" s="230"/>
      <c r="B213" s="208"/>
      <c r="E213" s="175"/>
      <c r="F213" s="175"/>
      <c r="H213" s="206"/>
      <c r="J213" s="175"/>
      <c r="K213" s="206"/>
      <c r="M213" s="206"/>
    </row>
    <row r="214">
      <c r="A214" s="230"/>
      <c r="B214" s="208"/>
      <c r="E214" s="175"/>
      <c r="F214" s="175"/>
      <c r="H214" s="206"/>
      <c r="J214" s="175"/>
      <c r="K214" s="206"/>
      <c r="M214" s="206"/>
    </row>
    <row r="215">
      <c r="A215" s="230"/>
      <c r="B215" s="208"/>
      <c r="E215" s="175"/>
      <c r="F215" s="175"/>
      <c r="H215" s="206"/>
      <c r="J215" s="175"/>
      <c r="K215" s="206"/>
      <c r="M215" s="206"/>
    </row>
    <row r="216">
      <c r="A216" s="230"/>
      <c r="B216" s="208"/>
      <c r="E216" s="175"/>
      <c r="F216" s="175"/>
      <c r="H216" s="206"/>
      <c r="J216" s="175"/>
      <c r="K216" s="206"/>
      <c r="M216" s="206"/>
    </row>
    <row r="217">
      <c r="A217" s="230"/>
      <c r="B217" s="208"/>
      <c r="E217" s="175"/>
      <c r="F217" s="175"/>
      <c r="H217" s="206"/>
      <c r="J217" s="175"/>
      <c r="K217" s="206"/>
      <c r="M217" s="206"/>
    </row>
    <row r="218">
      <c r="A218" s="230"/>
      <c r="B218" s="208"/>
      <c r="E218" s="175"/>
      <c r="F218" s="175"/>
      <c r="H218" s="206"/>
      <c r="J218" s="175"/>
      <c r="K218" s="206"/>
      <c r="M218" s="206"/>
    </row>
    <row r="219">
      <c r="A219" s="230"/>
      <c r="B219" s="208"/>
      <c r="E219" s="175"/>
      <c r="F219" s="175"/>
      <c r="H219" s="206"/>
      <c r="J219" s="175"/>
      <c r="K219" s="206"/>
      <c r="M219" s="206"/>
    </row>
    <row r="220">
      <c r="A220" s="230"/>
      <c r="B220" s="208"/>
      <c r="E220" s="175"/>
      <c r="F220" s="175"/>
      <c r="H220" s="206"/>
      <c r="J220" s="175"/>
      <c r="K220" s="206"/>
      <c r="M220" s="206"/>
    </row>
    <row r="221">
      <c r="A221" s="230"/>
      <c r="B221" s="208"/>
      <c r="E221" s="175"/>
      <c r="F221" s="175"/>
      <c r="H221" s="206"/>
      <c r="J221" s="175"/>
      <c r="K221" s="206"/>
      <c r="M221" s="206"/>
    </row>
    <row r="222">
      <c r="A222" s="230"/>
      <c r="B222" s="208"/>
      <c r="E222" s="175"/>
      <c r="F222" s="175"/>
      <c r="H222" s="206"/>
      <c r="J222" s="175"/>
      <c r="K222" s="206"/>
      <c r="M222" s="206"/>
    </row>
    <row r="223">
      <c r="A223" s="230"/>
      <c r="B223" s="208"/>
      <c r="E223" s="175"/>
      <c r="F223" s="175"/>
      <c r="H223" s="206"/>
      <c r="J223" s="175"/>
      <c r="K223" s="206"/>
      <c r="M223" s="206"/>
    </row>
    <row r="224">
      <c r="A224" s="230"/>
      <c r="B224" s="208"/>
      <c r="E224" s="175"/>
      <c r="F224" s="175"/>
      <c r="H224" s="206"/>
      <c r="J224" s="175"/>
      <c r="K224" s="206"/>
      <c r="M224" s="206"/>
    </row>
    <row r="225">
      <c r="A225" s="230"/>
      <c r="B225" s="208"/>
      <c r="E225" s="175"/>
      <c r="F225" s="175"/>
      <c r="H225" s="206"/>
      <c r="J225" s="175"/>
      <c r="K225" s="206"/>
      <c r="M225" s="206"/>
    </row>
    <row r="226">
      <c r="A226" s="230"/>
      <c r="B226" s="208"/>
      <c r="E226" s="175"/>
      <c r="F226" s="175"/>
      <c r="H226" s="206"/>
      <c r="J226" s="175"/>
      <c r="K226" s="206"/>
      <c r="M226" s="206"/>
    </row>
    <row r="227">
      <c r="A227" s="230"/>
      <c r="B227" s="208"/>
      <c r="E227" s="175"/>
      <c r="F227" s="175"/>
      <c r="H227" s="206"/>
      <c r="J227" s="175"/>
      <c r="K227" s="206"/>
      <c r="M227" s="206"/>
    </row>
    <row r="228">
      <c r="A228" s="230"/>
      <c r="B228" s="208"/>
      <c r="E228" s="175"/>
      <c r="F228" s="175"/>
      <c r="H228" s="206"/>
      <c r="J228" s="175"/>
      <c r="K228" s="206"/>
      <c r="M228" s="206"/>
    </row>
    <row r="229">
      <c r="A229" s="230"/>
      <c r="B229" s="208"/>
      <c r="E229" s="175"/>
      <c r="F229" s="175"/>
      <c r="H229" s="206"/>
      <c r="J229" s="175"/>
      <c r="K229" s="206"/>
      <c r="M229" s="206"/>
    </row>
    <row r="230">
      <c r="A230" s="230"/>
      <c r="B230" s="208"/>
      <c r="E230" s="175"/>
      <c r="F230" s="175"/>
      <c r="H230" s="206"/>
      <c r="J230" s="175"/>
      <c r="K230" s="206"/>
      <c r="M230" s="206"/>
    </row>
    <row r="231">
      <c r="A231" s="230"/>
      <c r="B231" s="208"/>
      <c r="E231" s="175"/>
      <c r="F231" s="175"/>
      <c r="H231" s="206"/>
      <c r="J231" s="175"/>
      <c r="K231" s="206"/>
      <c r="M231" s="206"/>
    </row>
    <row r="232">
      <c r="A232" s="230"/>
      <c r="B232" s="208"/>
      <c r="E232" s="175"/>
      <c r="F232" s="175"/>
      <c r="H232" s="206"/>
      <c r="J232" s="175"/>
      <c r="K232" s="206"/>
      <c r="M232" s="206"/>
    </row>
    <row r="233">
      <c r="A233" s="230"/>
      <c r="B233" s="208"/>
      <c r="E233" s="175"/>
      <c r="F233" s="175"/>
      <c r="H233" s="206"/>
      <c r="J233" s="175"/>
      <c r="K233" s="206"/>
      <c r="M233" s="206"/>
    </row>
    <row r="234">
      <c r="A234" s="230"/>
      <c r="B234" s="208"/>
      <c r="E234" s="175"/>
      <c r="F234" s="175"/>
      <c r="H234" s="206"/>
      <c r="J234" s="175"/>
      <c r="K234" s="206"/>
      <c r="M234" s="206"/>
    </row>
    <row r="235">
      <c r="A235" s="230"/>
      <c r="B235" s="208"/>
      <c r="E235" s="175"/>
      <c r="F235" s="175"/>
      <c r="H235" s="206"/>
      <c r="J235" s="175"/>
      <c r="K235" s="206"/>
      <c r="M235" s="206"/>
    </row>
    <row r="236">
      <c r="A236" s="230"/>
      <c r="B236" s="208"/>
      <c r="E236" s="175"/>
      <c r="F236" s="175"/>
      <c r="H236" s="206"/>
      <c r="J236" s="175"/>
      <c r="K236" s="206"/>
      <c r="M236" s="206"/>
    </row>
    <row r="237">
      <c r="A237" s="230"/>
      <c r="B237" s="208"/>
      <c r="E237" s="175"/>
      <c r="F237" s="175"/>
      <c r="H237" s="206"/>
      <c r="J237" s="175"/>
      <c r="K237" s="206"/>
      <c r="M237" s="206"/>
    </row>
    <row r="238">
      <c r="A238" s="230"/>
      <c r="B238" s="208"/>
      <c r="E238" s="175"/>
      <c r="F238" s="175"/>
      <c r="H238" s="206"/>
      <c r="J238" s="175"/>
      <c r="K238" s="206"/>
      <c r="M238" s="206"/>
    </row>
    <row r="239">
      <c r="A239" s="230"/>
      <c r="B239" s="208"/>
      <c r="E239" s="175"/>
      <c r="F239" s="175"/>
      <c r="H239" s="206"/>
      <c r="J239" s="175"/>
      <c r="K239" s="206"/>
      <c r="M239" s="206"/>
    </row>
    <row r="240">
      <c r="A240" s="230"/>
      <c r="B240" s="208"/>
      <c r="E240" s="175"/>
      <c r="F240" s="175"/>
      <c r="H240" s="206"/>
      <c r="J240" s="175"/>
      <c r="K240" s="206"/>
      <c r="M240" s="206"/>
    </row>
    <row r="241">
      <c r="A241" s="230"/>
      <c r="B241" s="208"/>
      <c r="E241" s="175"/>
      <c r="F241" s="175"/>
      <c r="H241" s="206"/>
      <c r="J241" s="175"/>
      <c r="K241" s="206"/>
      <c r="M241" s="206"/>
    </row>
    <row r="242">
      <c r="A242" s="230"/>
      <c r="B242" s="208"/>
      <c r="E242" s="175"/>
      <c r="F242" s="175"/>
      <c r="H242" s="206"/>
      <c r="J242" s="175"/>
      <c r="K242" s="206"/>
      <c r="M242" s="206"/>
    </row>
    <row r="243">
      <c r="A243" s="230"/>
      <c r="B243" s="208"/>
      <c r="E243" s="175"/>
      <c r="F243" s="175"/>
      <c r="H243" s="206"/>
      <c r="J243" s="175"/>
      <c r="K243" s="206"/>
      <c r="M243" s="206"/>
    </row>
    <row r="244">
      <c r="A244" s="230"/>
      <c r="B244" s="208"/>
      <c r="E244" s="175"/>
      <c r="F244" s="175"/>
      <c r="H244" s="206"/>
      <c r="J244" s="175"/>
      <c r="K244" s="206"/>
      <c r="M244" s="206"/>
    </row>
    <row r="245">
      <c r="A245" s="230"/>
      <c r="B245" s="208"/>
      <c r="E245" s="175"/>
      <c r="F245" s="175"/>
      <c r="H245" s="206"/>
      <c r="J245" s="175"/>
      <c r="K245" s="206"/>
      <c r="M245" s="206"/>
    </row>
    <row r="246">
      <c r="A246" s="230"/>
      <c r="B246" s="208"/>
      <c r="E246" s="175"/>
      <c r="F246" s="175"/>
      <c r="H246" s="206"/>
      <c r="J246" s="175"/>
      <c r="K246" s="206"/>
      <c r="M246" s="206"/>
    </row>
    <row r="247">
      <c r="A247" s="230"/>
      <c r="B247" s="208"/>
      <c r="E247" s="175"/>
      <c r="F247" s="175"/>
      <c r="H247" s="206"/>
      <c r="J247" s="175"/>
      <c r="K247" s="206"/>
      <c r="M247" s="206"/>
    </row>
    <row r="248">
      <c r="A248" s="230"/>
      <c r="B248" s="208"/>
      <c r="E248" s="175"/>
      <c r="F248" s="175"/>
      <c r="H248" s="206"/>
      <c r="J248" s="175"/>
      <c r="K248" s="206"/>
      <c r="M248" s="206"/>
    </row>
    <row r="249">
      <c r="A249" s="230"/>
      <c r="B249" s="208"/>
      <c r="E249" s="175"/>
      <c r="F249" s="175"/>
      <c r="H249" s="206"/>
      <c r="J249" s="175"/>
      <c r="K249" s="206"/>
      <c r="M249" s="206"/>
    </row>
    <row r="250">
      <c r="A250" s="230"/>
      <c r="B250" s="208"/>
      <c r="E250" s="175"/>
      <c r="F250" s="175"/>
      <c r="H250" s="206"/>
      <c r="J250" s="175"/>
      <c r="K250" s="206"/>
      <c r="M250" s="206"/>
    </row>
    <row r="251">
      <c r="A251" s="230"/>
      <c r="B251" s="208"/>
      <c r="E251" s="175"/>
      <c r="F251" s="175"/>
      <c r="H251" s="206"/>
      <c r="J251" s="175"/>
      <c r="K251" s="206"/>
      <c r="M251" s="206"/>
    </row>
    <row r="252">
      <c r="A252" s="230"/>
      <c r="B252" s="208"/>
      <c r="E252" s="175"/>
      <c r="F252" s="175"/>
      <c r="H252" s="206"/>
      <c r="J252" s="175"/>
      <c r="K252" s="206"/>
      <c r="M252" s="206"/>
    </row>
    <row r="253">
      <c r="A253" s="230"/>
      <c r="B253" s="208"/>
      <c r="E253" s="175"/>
      <c r="F253" s="175"/>
      <c r="H253" s="206"/>
      <c r="J253" s="175"/>
      <c r="K253" s="206"/>
      <c r="M253" s="206"/>
    </row>
    <row r="254">
      <c r="A254" s="230"/>
      <c r="B254" s="208"/>
      <c r="E254" s="175"/>
      <c r="F254" s="175"/>
      <c r="H254" s="206"/>
      <c r="J254" s="175"/>
      <c r="K254" s="206"/>
      <c r="M254" s="206"/>
    </row>
    <row r="255">
      <c r="A255" s="230"/>
      <c r="B255" s="208"/>
      <c r="E255" s="175"/>
      <c r="F255" s="175"/>
      <c r="H255" s="206"/>
      <c r="J255" s="175"/>
      <c r="K255" s="206"/>
      <c r="M255" s="206"/>
    </row>
    <row r="256">
      <c r="A256" s="230"/>
      <c r="B256" s="208"/>
      <c r="E256" s="175"/>
      <c r="F256" s="175"/>
      <c r="H256" s="206"/>
      <c r="J256" s="175"/>
      <c r="K256" s="206"/>
      <c r="M256" s="206"/>
    </row>
  </sheetData>
  <dataValidations>
    <dataValidation type="list" allowBlank="1" sqref="J4:J33">
      <formula1>"Y,N"</formula1>
    </dataValidation>
    <dataValidation type="list" allowBlank="1" sqref="E4:F31 F32 E33:F33">
      <formula1>"Date,Number,Text"</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8.89"/>
    <col customWidth="1" min="2" max="2" width="46.89"/>
    <col customWidth="1" min="3" max="3" width="5.11"/>
    <col customWidth="1" min="4" max="4" width="36.44"/>
    <col customWidth="1" min="5" max="5" width="21.22"/>
    <col customWidth="1" min="6" max="6" width="8.89"/>
    <col customWidth="1" min="7" max="7" width="24.78"/>
    <col customWidth="1" min="8" max="8" width="8.89"/>
    <col customWidth="1" min="9" max="9" width="17.11"/>
    <col customWidth="1" min="10" max="10" width="8.89"/>
    <col customWidth="1" min="11" max="11" width="12.44"/>
    <col customWidth="1" min="12" max="12" width="8.89"/>
    <col customWidth="1" min="13" max="13" width="30.44"/>
    <col customWidth="1" min="14" max="14" width="8.56"/>
    <col customWidth="1" min="15" max="15" width="57.0"/>
    <col customWidth="1" min="16" max="16" width="8.56"/>
    <col customWidth="1" min="17" max="17" width="51.22"/>
    <col customWidth="1" min="18" max="18" width="8.56"/>
    <col customWidth="1" min="19" max="19" width="50.33"/>
    <col customWidth="1" min="20" max="20" width="8.56"/>
    <col customWidth="1" min="21" max="21" width="17.0"/>
    <col customWidth="1" min="22" max="22" width="8.56"/>
    <col customWidth="1" min="23" max="23" width="19.33"/>
    <col customWidth="1" min="24" max="24" width="8.56"/>
    <col customWidth="1" min="25" max="25" width="23.78"/>
    <col customWidth="1" min="26" max="27" width="8.56"/>
  </cols>
  <sheetData>
    <row r="1" ht="15.75" customHeight="1">
      <c r="A1" s="234"/>
      <c r="B1" s="235" t="s">
        <v>140</v>
      </c>
      <c r="C1" s="234"/>
      <c r="D1" s="235" t="s">
        <v>1383</v>
      </c>
      <c r="E1" s="235" t="s">
        <v>140</v>
      </c>
      <c r="F1" s="234"/>
      <c r="G1" s="235" t="s">
        <v>4</v>
      </c>
      <c r="H1" s="234"/>
      <c r="I1" s="235" t="s">
        <v>14</v>
      </c>
      <c r="J1" s="234"/>
      <c r="K1" s="235" t="s">
        <v>20</v>
      </c>
      <c r="L1" s="234"/>
      <c r="M1" s="236" t="s">
        <v>13</v>
      </c>
      <c r="N1" s="234"/>
      <c r="O1" s="237" t="s">
        <v>1385</v>
      </c>
      <c r="P1" s="234"/>
      <c r="Q1" s="237" t="s">
        <v>1387</v>
      </c>
      <c r="R1" s="234"/>
      <c r="S1" s="237" t="s">
        <v>1388</v>
      </c>
      <c r="T1" s="234"/>
      <c r="U1" s="237" t="s">
        <v>1389</v>
      </c>
      <c r="V1" s="234"/>
      <c r="W1" s="237" t="s">
        <v>1390</v>
      </c>
      <c r="X1" s="234"/>
      <c r="Y1" s="237" t="s">
        <v>1391</v>
      </c>
      <c r="Z1" s="234"/>
      <c r="AA1" s="234"/>
    </row>
    <row r="2" ht="14.25" customHeight="1">
      <c r="A2" s="234"/>
      <c r="B2" s="239" t="s">
        <v>1392</v>
      </c>
      <c r="C2" s="234"/>
      <c r="D2" s="240" t="s">
        <v>1397</v>
      </c>
      <c r="E2" s="240" t="s">
        <v>196</v>
      </c>
      <c r="F2" s="234"/>
      <c r="G2" s="241" t="s">
        <v>75</v>
      </c>
      <c r="H2" s="234"/>
      <c r="I2" s="242" t="s">
        <v>1400</v>
      </c>
      <c r="J2" s="234"/>
      <c r="K2" s="242" t="s">
        <v>1404</v>
      </c>
      <c r="L2" s="234"/>
      <c r="M2" s="243" t="s">
        <v>1405</v>
      </c>
      <c r="N2" s="234"/>
      <c r="O2" s="239" t="s">
        <v>1392</v>
      </c>
      <c r="P2" s="234"/>
      <c r="Q2" s="239" t="s">
        <v>1408</v>
      </c>
      <c r="R2" s="234"/>
      <c r="S2" s="244" t="str">
        <f>IFERROR(__xludf.DUMMYFUNCTION("query(ATO_PATO_DB,""select AR where AR &lt;&gt; '' order by AR "",0)"),"#VALUE!")</f>
        <v>#VALUE!</v>
      </c>
      <c r="T2" s="234" t="s">
        <v>1414</v>
      </c>
      <c r="U2" s="245" t="s">
        <v>1415</v>
      </c>
      <c r="V2" s="234"/>
      <c r="W2" s="245" t="s">
        <v>1415</v>
      </c>
      <c r="X2" s="234"/>
      <c r="Y2" s="245" t="s">
        <v>1415</v>
      </c>
      <c r="Z2" s="234"/>
      <c r="AA2" s="234"/>
    </row>
    <row r="3" ht="14.25" customHeight="1">
      <c r="A3" s="234"/>
      <c r="B3" s="240" t="s">
        <v>1416</v>
      </c>
      <c r="C3" s="234"/>
      <c r="D3" s="239" t="s">
        <v>1417</v>
      </c>
      <c r="E3" s="239" t="s">
        <v>1418</v>
      </c>
      <c r="F3" s="234"/>
      <c r="G3" s="246" t="s">
        <v>1419</v>
      </c>
      <c r="H3" s="234"/>
      <c r="I3" s="239" t="s">
        <v>313</v>
      </c>
      <c r="J3" s="234"/>
      <c r="K3" s="239" t="s">
        <v>89</v>
      </c>
      <c r="L3" s="234"/>
      <c r="M3" s="247" t="s">
        <v>1423</v>
      </c>
      <c r="N3" s="234"/>
      <c r="O3" s="240" t="s">
        <v>1416</v>
      </c>
      <c r="P3" s="234"/>
      <c r="Q3" s="240" t="s">
        <v>1425</v>
      </c>
      <c r="R3" s="234"/>
      <c r="S3" s="244"/>
      <c r="T3" s="234"/>
      <c r="U3" s="248" t="str">
        <f>IFERROR(__xludf.DUMMYFUNCTION("query(ATO_PATO_DB,""select B, count(C) where B &lt;&gt; '' group by (B) order by (B) label B '', count(C) ''  "",-1)"),"18F")</f>
        <v>18F</v>
      </c>
      <c r="V3" s="234">
        <f>IFERROR(__xludf.DUMMYFUNCTION("""COMPUTED_VALUE"""),"8")</f>
        <v>8</v>
      </c>
      <c r="W3" s="234" t="str">
        <f>IFERROR(__xludf.DUMMYFUNCTION("query(ATO_PATO_DB,""select C, count(B) where C &lt;&gt; '' group by (C) order by (C) label C '', count(B) '' "",-1)"),"18F Cloud.gov")</f>
        <v>18F Cloud.gov</v>
      </c>
      <c r="X3" s="234">
        <f>IFERROR(__xludf.DUMMYFUNCTION("""COMPUTED_VALUE"""),"8")</f>
        <v>8</v>
      </c>
      <c r="Y3" s="234" t="str">
        <f>IFERROR(__xludf.DUMMYFUNCTION("query(ATO_PATO_DB,""select P, count(B) where P &lt;&gt; '' group by (P) label P '', count(B) '' "",-1)"),"Administration for Children and Families")</f>
        <v>Administration for Children and Families</v>
      </c>
      <c r="Z3" s="234">
        <f>IFERROR(__xludf.DUMMYFUNCTION("""COMPUTED_VALUE"""),"1")</f>
        <v>1</v>
      </c>
      <c r="AA3" s="234"/>
    </row>
    <row r="4" ht="14.25" customHeight="1">
      <c r="A4" s="234"/>
      <c r="B4" s="239" t="s">
        <v>1433</v>
      </c>
      <c r="C4" s="234"/>
      <c r="D4" s="239" t="s">
        <v>1434</v>
      </c>
      <c r="E4" s="239" t="s">
        <v>196</v>
      </c>
      <c r="F4" s="234"/>
      <c r="G4" s="241" t="s">
        <v>91</v>
      </c>
      <c r="H4" s="234"/>
      <c r="I4" s="242" t="s">
        <v>1435</v>
      </c>
      <c r="J4" s="234"/>
      <c r="K4" s="242" t="s">
        <v>434</v>
      </c>
      <c r="L4" s="234"/>
      <c r="M4" s="247" t="s">
        <v>1436</v>
      </c>
      <c r="N4" s="234"/>
      <c r="O4" s="239" t="s">
        <v>1433</v>
      </c>
      <c r="P4" s="234"/>
      <c r="Q4" s="239" t="s">
        <v>1437</v>
      </c>
      <c r="R4" s="234"/>
      <c r="S4" s="244"/>
      <c r="T4" s="234"/>
      <c r="U4" s="234" t="str">
        <f>IFERROR(__xludf.DUMMYFUNCTION("""COMPUTED_VALUE"""),"1901 Group")</f>
        <v>1901 Group</v>
      </c>
      <c r="V4" s="234">
        <f>IFERROR(__xludf.DUMMYFUNCTION("""COMPUTED_VALUE"""),"3")</f>
        <v>3</v>
      </c>
      <c r="W4" s="234" t="str">
        <f>IFERROR(__xludf.DUMMYFUNCTION("""COMPUTED_VALUE"""),"4tell Platform for Government™ ")</f>
        <v>4tell Platform for Government™ </v>
      </c>
      <c r="X4" s="234">
        <f>IFERROR(__xludf.DUMMYFUNCTION("""COMPUTED_VALUE"""),"1")</f>
        <v>1</v>
      </c>
      <c r="Y4" s="234" t="str">
        <f>IFERROR(__xludf.DUMMYFUNCTION("""COMPUTED_VALUE"""),"Administrative Office of the United States Courts")</f>
        <v>Administrative Office of the United States Courts</v>
      </c>
      <c r="Z4" s="234">
        <f>IFERROR(__xludf.DUMMYFUNCTION("""COMPUTED_VALUE"""),"1")</f>
        <v>1</v>
      </c>
      <c r="AA4" s="234"/>
    </row>
    <row r="5" ht="14.25" customHeight="1">
      <c r="A5" s="234"/>
      <c r="B5" s="240" t="s">
        <v>1443</v>
      </c>
      <c r="C5" s="234"/>
      <c r="D5" s="239" t="s">
        <v>1134</v>
      </c>
      <c r="E5" s="239" t="s">
        <v>1133</v>
      </c>
      <c r="F5" s="234"/>
      <c r="G5" s="246" t="s">
        <v>1444</v>
      </c>
      <c r="H5" s="234"/>
      <c r="I5" s="239" t="s">
        <v>383</v>
      </c>
      <c r="J5" s="234"/>
      <c r="K5" s="234"/>
      <c r="L5" s="234"/>
      <c r="M5" s="243" t="s">
        <v>87</v>
      </c>
      <c r="N5" s="234"/>
      <c r="O5" s="240" t="s">
        <v>1443</v>
      </c>
      <c r="P5" s="234"/>
      <c r="Q5" s="240" t="s">
        <v>1445</v>
      </c>
      <c r="R5" s="234"/>
      <c r="S5" s="244"/>
      <c r="T5" s="234"/>
      <c r="U5" s="234" t="str">
        <f>IFERROR(__xludf.DUMMYFUNCTION("""COMPUTED_VALUE"""),"4tell Solutions")</f>
        <v>4tell Solutions</v>
      </c>
      <c r="V5" s="234">
        <f>IFERROR(__xludf.DUMMYFUNCTION("""COMPUTED_VALUE"""),"1")</f>
        <v>1</v>
      </c>
      <c r="W5" s="234" t="str">
        <f>IFERROR(__xludf.DUMMYFUNCTION("""COMPUTED_VALUE"""),"Acadis Readiness Suite")</f>
        <v>Acadis Readiness Suite</v>
      </c>
      <c r="X5" s="234">
        <f>IFERROR(__xludf.DUMMYFUNCTION("""COMPUTED_VALUE"""),"1")</f>
        <v>1</v>
      </c>
      <c r="Y5" s="234" t="str">
        <f>IFERROR(__xludf.DUMMYFUNCTION("""COMPUTED_VALUE"""),"Agency for Healthcare Research and Quality")</f>
        <v>Agency for Healthcare Research and Quality</v>
      </c>
      <c r="Z5" s="234">
        <f>IFERROR(__xludf.DUMMYFUNCTION("""COMPUTED_VALUE"""),"1")</f>
        <v>1</v>
      </c>
      <c r="AA5" s="234"/>
    </row>
    <row r="6" ht="14.25" customHeight="1">
      <c r="A6" s="234"/>
      <c r="B6" s="239" t="s">
        <v>1449</v>
      </c>
      <c r="C6" s="234"/>
      <c r="D6" s="239" t="s">
        <v>1451</v>
      </c>
      <c r="E6" s="239" t="s">
        <v>1452</v>
      </c>
      <c r="F6" s="234"/>
      <c r="G6" s="241" t="s">
        <v>1453</v>
      </c>
      <c r="H6" s="234"/>
      <c r="I6" s="242" t="s">
        <v>88</v>
      </c>
      <c r="J6" s="234"/>
      <c r="K6" s="234"/>
      <c r="L6" s="234"/>
      <c r="M6" s="234"/>
      <c r="N6" s="234"/>
      <c r="O6" s="239" t="s">
        <v>1449</v>
      </c>
      <c r="P6" s="234"/>
      <c r="Q6" s="239" t="s">
        <v>1454</v>
      </c>
      <c r="R6" s="234"/>
      <c r="S6" s="244"/>
      <c r="T6" s="234"/>
      <c r="U6" s="234" t="str">
        <f>IFERROR(__xludf.DUMMYFUNCTION("""COMPUTED_VALUE"""),"Accellion")</f>
        <v>Accellion</v>
      </c>
      <c r="V6" s="234">
        <f>IFERROR(__xludf.DUMMYFUNCTION("""COMPUTED_VALUE"""),"6")</f>
        <v>6</v>
      </c>
      <c r="W6" s="234" t="str">
        <f>IFERROR(__xludf.DUMMYFUNCTION("""COMPUTED_VALUE"""),"Accenture Federal Cloud ERP")</f>
        <v>Accenture Federal Cloud ERP</v>
      </c>
      <c r="X6" s="234">
        <f>IFERROR(__xludf.DUMMYFUNCTION("""COMPUTED_VALUE"""),"2")</f>
        <v>2</v>
      </c>
      <c r="Y6" s="234" t="str">
        <f>IFERROR(__xludf.DUMMYFUNCTION("""COMPUTED_VALUE"""),"Animal and Plant Health Inspection Service")</f>
        <v>Animal and Plant Health Inspection Service</v>
      </c>
      <c r="Z6" s="234">
        <f>IFERROR(__xludf.DUMMYFUNCTION("""COMPUTED_VALUE"""),"2")</f>
        <v>2</v>
      </c>
      <c r="AA6" s="234"/>
    </row>
    <row r="7" ht="14.25" customHeight="1">
      <c r="A7" s="234"/>
      <c r="B7" s="240" t="s">
        <v>1458</v>
      </c>
      <c r="C7" s="234"/>
      <c r="D7" s="240" t="s">
        <v>1459</v>
      </c>
      <c r="E7" s="240" t="s">
        <v>196</v>
      </c>
      <c r="F7" s="234"/>
      <c r="G7" s="249"/>
      <c r="H7" s="234"/>
      <c r="I7" s="234"/>
      <c r="J7" s="234"/>
      <c r="K7" s="234"/>
      <c r="L7" s="234"/>
      <c r="M7" s="234"/>
      <c r="N7" s="234"/>
      <c r="O7" s="240" t="s">
        <v>1458</v>
      </c>
      <c r="P7" s="234"/>
      <c r="Q7" s="240" t="s">
        <v>1461</v>
      </c>
      <c r="R7" s="234"/>
      <c r="S7" s="244"/>
      <c r="T7" s="234"/>
      <c r="U7" s="234" t="str">
        <f>IFERROR(__xludf.DUMMYFUNCTION("""COMPUTED_VALUE"""),"Accenture")</f>
        <v>Accenture</v>
      </c>
      <c r="V7" s="234">
        <f>IFERROR(__xludf.DUMMYFUNCTION("""COMPUTED_VALUE"""),"3")</f>
        <v>3</v>
      </c>
      <c r="W7" s="234" t="str">
        <f>IFERROR(__xludf.DUMMYFUNCTION("""COMPUTED_VALUE"""),"Accenture Insights Platform (AIP) For Government")</f>
        <v>Accenture Insights Platform (AIP) For Government</v>
      </c>
      <c r="X7" s="234">
        <f>IFERROR(__xludf.DUMMYFUNCTION("""COMPUTED_VALUE"""),"1")</f>
        <v>1</v>
      </c>
      <c r="Y7" s="234" t="str">
        <f>IFERROR(__xludf.DUMMYFUNCTION("""COMPUTED_VALUE"""),"Benefits Review Board")</f>
        <v>Benefits Review Board</v>
      </c>
      <c r="Z7" s="234">
        <f>IFERROR(__xludf.DUMMYFUNCTION("""COMPUTED_VALUE"""),"2")</f>
        <v>2</v>
      </c>
      <c r="AA7" s="234"/>
    </row>
    <row r="8" ht="14.25" customHeight="1">
      <c r="A8" s="234"/>
      <c r="B8" s="239" t="s">
        <v>1464</v>
      </c>
      <c r="C8" s="234"/>
      <c r="D8" s="239" t="s">
        <v>1465</v>
      </c>
      <c r="E8" s="239" t="s">
        <v>850</v>
      </c>
      <c r="F8" s="234"/>
      <c r="G8" s="234"/>
      <c r="H8" s="234"/>
      <c r="I8" s="234"/>
      <c r="J8" s="234"/>
      <c r="K8" s="234"/>
      <c r="L8" s="234"/>
      <c r="M8" s="234"/>
      <c r="N8" s="234"/>
      <c r="O8" s="239" t="s">
        <v>1464</v>
      </c>
      <c r="P8" s="234"/>
      <c r="Q8" s="239" t="s">
        <v>1466</v>
      </c>
      <c r="R8" s="234"/>
      <c r="S8" s="244"/>
      <c r="T8" s="234"/>
      <c r="U8" s="234" t="str">
        <f>IFERROR(__xludf.DUMMYFUNCTION("""COMPUTED_VALUE"""),"Acendre, Inc.")</f>
        <v>Acendre, Inc.</v>
      </c>
      <c r="V8" s="234">
        <f>IFERROR(__xludf.DUMMYFUNCTION("""COMPUTED_VALUE"""),"1")</f>
        <v>1</v>
      </c>
      <c r="W8" s="234" t="str">
        <f>IFERROR(__xludf.DUMMYFUNCTION("""COMPUTED_VALUE"""),"Acendre Talent Management Solution Suite")</f>
        <v>Acendre Talent Management Solution Suite</v>
      </c>
      <c r="X8" s="234">
        <f>IFERROR(__xludf.DUMMYFUNCTION("""COMPUTED_VALUE"""),"1")</f>
        <v>1</v>
      </c>
      <c r="Y8" s="234" t="str">
        <f>IFERROR(__xludf.DUMMYFUNCTION("""COMPUTED_VALUE"""),"Bureau of Alcohol, Tobacco, Firearms and Explosives")</f>
        <v>Bureau of Alcohol, Tobacco, Firearms and Explosives</v>
      </c>
      <c r="Z8" s="234">
        <f>IFERROR(__xludf.DUMMYFUNCTION("""COMPUTED_VALUE"""),"1")</f>
        <v>1</v>
      </c>
      <c r="AA8" s="234"/>
    </row>
    <row r="9" ht="14.25" customHeight="1">
      <c r="A9" s="234"/>
      <c r="B9" s="240" t="s">
        <v>1468</v>
      </c>
      <c r="C9" s="234"/>
      <c r="D9" s="240" t="s">
        <v>1469</v>
      </c>
      <c r="E9" s="240" t="s">
        <v>850</v>
      </c>
      <c r="F9" s="234"/>
      <c r="G9" s="237" t="s">
        <v>1470</v>
      </c>
      <c r="H9" s="234"/>
      <c r="I9" s="234"/>
      <c r="J9" s="234"/>
      <c r="K9" s="234"/>
      <c r="L9" s="234"/>
      <c r="M9" s="234"/>
      <c r="N9" s="234"/>
      <c r="O9" s="240" t="s">
        <v>1468</v>
      </c>
      <c r="P9" s="234"/>
      <c r="Q9" s="240" t="s">
        <v>1471</v>
      </c>
      <c r="R9" s="234"/>
      <c r="S9" s="244"/>
      <c r="T9" s="234"/>
      <c r="U9" s="234" t="str">
        <f>IFERROR(__xludf.DUMMYFUNCTION("""COMPUTED_VALUE"""),"Aconex Limited")</f>
        <v>Aconex Limited</v>
      </c>
      <c r="V9" s="234">
        <f>IFERROR(__xludf.DUMMYFUNCTION("""COMPUTED_VALUE"""),"1")</f>
        <v>1</v>
      </c>
      <c r="W9" s="234" t="str">
        <f>IFERROR(__xludf.DUMMYFUNCTION("""COMPUTED_VALUE"""),"Aconex Collaboration Platform for Project Information and Process Management")</f>
        <v>Aconex Collaboration Platform for Project Information and Process Management</v>
      </c>
      <c r="X9" s="234">
        <f>IFERROR(__xludf.DUMMYFUNCTION("""COMPUTED_VALUE"""),"1")</f>
        <v>1</v>
      </c>
      <c r="Y9" s="234" t="str">
        <f>IFERROR(__xludf.DUMMYFUNCTION("""COMPUTED_VALUE"""),"Bureau of Engraving and Printing")</f>
        <v>Bureau of Engraving and Printing</v>
      </c>
      <c r="Z9" s="234">
        <f>IFERROR(__xludf.DUMMYFUNCTION("""COMPUTED_VALUE"""),"2")</f>
        <v>2</v>
      </c>
      <c r="AA9" s="234"/>
    </row>
    <row r="10" ht="14.25" customHeight="1">
      <c r="A10" s="234"/>
      <c r="B10" s="239" t="s">
        <v>1473</v>
      </c>
      <c r="C10" s="234"/>
      <c r="D10" s="240" t="s">
        <v>1474</v>
      </c>
      <c r="E10" s="240" t="s">
        <v>142</v>
      </c>
      <c r="F10" s="234"/>
      <c r="G10" s="237" t="s">
        <v>1475</v>
      </c>
      <c r="H10" s="234"/>
      <c r="I10" s="234"/>
      <c r="J10" s="234"/>
      <c r="K10" s="234"/>
      <c r="L10" s="234"/>
      <c r="M10" s="234"/>
      <c r="N10" s="234"/>
      <c r="O10" s="239" t="s">
        <v>1473</v>
      </c>
      <c r="P10" s="234"/>
      <c r="Q10" s="239" t="s">
        <v>1477</v>
      </c>
      <c r="R10" s="234"/>
      <c r="S10" s="244"/>
      <c r="T10" s="234"/>
      <c r="U10" s="234" t="str">
        <f>IFERROR(__xludf.DUMMYFUNCTION("""COMPUTED_VALUE"""),"Acquia Inc.")</f>
        <v>Acquia Inc.</v>
      </c>
      <c r="V10" s="234">
        <f>IFERROR(__xludf.DUMMYFUNCTION("""COMPUTED_VALUE"""),"11")</f>
        <v>11</v>
      </c>
      <c r="W10" s="234" t="str">
        <f>IFERROR(__xludf.DUMMYFUNCTION("""COMPUTED_VALUE"""),"Acquia Cloud")</f>
        <v>Acquia Cloud</v>
      </c>
      <c r="X10" s="234">
        <f>IFERROR(__xludf.DUMMYFUNCTION("""COMPUTED_VALUE"""),"11")</f>
        <v>11</v>
      </c>
      <c r="Y10" s="234" t="str">
        <f>IFERROR(__xludf.DUMMYFUNCTION("""COMPUTED_VALUE"""),"Bureau of Indian Affairs")</f>
        <v>Bureau of Indian Affairs</v>
      </c>
      <c r="Z10" s="234">
        <f>IFERROR(__xludf.DUMMYFUNCTION("""COMPUTED_VALUE"""),"1")</f>
        <v>1</v>
      </c>
      <c r="AA10" s="234"/>
    </row>
    <row r="11" ht="14.25" customHeight="1">
      <c r="A11" s="234"/>
      <c r="B11" s="240" t="s">
        <v>1480</v>
      </c>
      <c r="C11" s="234"/>
      <c r="D11" s="239" t="s">
        <v>1481</v>
      </c>
      <c r="E11" s="239" t="s">
        <v>1023</v>
      </c>
      <c r="F11" s="234"/>
      <c r="G11" s="234" t="str">
        <f>IFERROR(__xludf.DUMMYFUNCTION("query(ATO_PATO_DB,""select C, count(P) where B ='""&amp;Dashboard!B5&amp;""' AND L='Active' group by C label count(P) '' "" ,0)"),"#REF!")</f>
        <v>#REF!</v>
      </c>
      <c r="H11" s="234"/>
      <c r="I11" s="234"/>
      <c r="J11" s="234"/>
      <c r="K11" s="234"/>
      <c r="L11" s="234"/>
      <c r="M11" s="234"/>
      <c r="N11" s="234"/>
      <c r="O11" s="240" t="s">
        <v>1480</v>
      </c>
      <c r="P11" s="234"/>
      <c r="Q11" s="251"/>
      <c r="R11" s="234"/>
      <c r="S11" s="244"/>
      <c r="T11" s="234"/>
      <c r="U11" s="234" t="str">
        <f>IFERROR(__xludf.DUMMYFUNCTION("""COMPUTED_VALUE"""),"Adobe")</f>
        <v>Adobe</v>
      </c>
      <c r="V11" s="234">
        <f>IFERROR(__xludf.DUMMYFUNCTION("""COMPUTED_VALUE"""),"12")</f>
        <v>12</v>
      </c>
      <c r="W11" s="234" t="str">
        <f>IFERROR(__xludf.DUMMYFUNCTION("""COMPUTED_VALUE"""),"Administrative Data Research Facility (ADRF)")</f>
        <v>Administrative Data Research Facility (ADRF)</v>
      </c>
      <c r="X11" s="234">
        <f>IFERROR(__xludf.DUMMYFUNCTION("""COMPUTED_VALUE"""),"1")</f>
        <v>1</v>
      </c>
      <c r="Y11" s="234" t="str">
        <f>IFERROR(__xludf.DUMMYFUNCTION("""COMPUTED_VALUE"""),"Bureau of Public Affairs")</f>
        <v>Bureau of Public Affairs</v>
      </c>
      <c r="Z11" s="234">
        <f>IFERROR(__xludf.DUMMYFUNCTION("""COMPUTED_VALUE"""),"1")</f>
        <v>1</v>
      </c>
      <c r="AA11" s="234"/>
    </row>
    <row r="12" ht="14.25" customHeight="1">
      <c r="A12" s="234"/>
      <c r="B12" s="239" t="s">
        <v>1485</v>
      </c>
      <c r="C12" s="234"/>
      <c r="D12" s="239" t="s">
        <v>1486</v>
      </c>
      <c r="E12" s="239" t="s">
        <v>142</v>
      </c>
      <c r="F12" s="234"/>
      <c r="G12" s="234"/>
      <c r="H12" s="234"/>
      <c r="I12" s="234"/>
      <c r="J12" s="234"/>
      <c r="K12" s="234"/>
      <c r="L12" s="234"/>
      <c r="M12" s="234"/>
      <c r="N12" s="234"/>
      <c r="O12" s="239" t="s">
        <v>1485</v>
      </c>
      <c r="P12" s="234"/>
      <c r="Q12" s="234"/>
      <c r="R12" s="234"/>
      <c r="S12" s="244"/>
      <c r="T12" s="234"/>
      <c r="U12" s="234" t="str">
        <f>IFERROR(__xludf.DUMMYFUNCTION("""COMPUTED_VALUE"""),"AINS")</f>
        <v>AINS</v>
      </c>
      <c r="V12" s="234">
        <f>IFERROR(__xludf.DUMMYFUNCTION("""COMPUTED_VALUE"""),"8")</f>
        <v>8</v>
      </c>
      <c r="W12" s="234" t="str">
        <f>IFERROR(__xludf.DUMMYFUNCTION("""COMPUTED_VALUE"""),"Adobe Connect Managed Services (ACMS-EW)")</f>
        <v>Adobe Connect Managed Services (ACMS-EW)</v>
      </c>
      <c r="X12" s="234">
        <f>IFERROR(__xludf.DUMMYFUNCTION("""COMPUTED_VALUE"""),"1")</f>
        <v>1</v>
      </c>
      <c r="Y12" s="234" t="str">
        <f>IFERROR(__xludf.DUMMYFUNCTION("""COMPUTED_VALUE"""),"Bureau of Safety and Enivronmental Enforcement")</f>
        <v>Bureau of Safety and Enivronmental Enforcement</v>
      </c>
      <c r="Z12" s="234">
        <f>IFERROR(__xludf.DUMMYFUNCTION("""COMPUTED_VALUE"""),"2")</f>
        <v>2</v>
      </c>
      <c r="AA12" s="234"/>
    </row>
    <row r="13" ht="14.25" customHeight="1">
      <c r="A13" s="234"/>
      <c r="B13" s="240" t="s">
        <v>1489</v>
      </c>
      <c r="C13" s="234"/>
      <c r="D13" s="239" t="s">
        <v>1486</v>
      </c>
      <c r="E13" s="239" t="s">
        <v>196</v>
      </c>
      <c r="F13" s="234"/>
      <c r="G13" s="234"/>
      <c r="H13" s="234"/>
      <c r="I13" s="234"/>
      <c r="J13" s="234"/>
      <c r="K13" s="234"/>
      <c r="L13" s="234"/>
      <c r="M13" s="234"/>
      <c r="N13" s="234"/>
      <c r="O13" s="240" t="s">
        <v>1489</v>
      </c>
      <c r="P13" s="234"/>
      <c r="Q13" s="234"/>
      <c r="R13" s="234"/>
      <c r="S13" s="244"/>
      <c r="T13" s="234"/>
      <c r="U13" s="234" t="str">
        <f>IFERROR(__xludf.DUMMYFUNCTION("""COMPUTED_VALUE"""),"AirWatch")</f>
        <v>AirWatch</v>
      </c>
      <c r="V13" s="234">
        <f>IFERROR(__xludf.DUMMYFUNCTION("""COMPUTED_VALUE"""),"3")</f>
        <v>3</v>
      </c>
      <c r="W13" s="234" t="str">
        <f>IFERROR(__xludf.DUMMYFUNCTION("""COMPUTED_VALUE"""),"Adobe Connect Managed Services (ACMS-GC)")</f>
        <v>Adobe Connect Managed Services (ACMS-GC)</v>
      </c>
      <c r="X13" s="234">
        <f>IFERROR(__xludf.DUMMYFUNCTION("""COMPUTED_VALUE"""),"3")</f>
        <v>3</v>
      </c>
      <c r="Y13" s="234" t="str">
        <f>IFERROR(__xludf.DUMMYFUNCTION("""COMPUTED_VALUE"""),"Bureau of the Fiscal Service")</f>
        <v>Bureau of the Fiscal Service</v>
      </c>
      <c r="Z13" s="234">
        <f>IFERROR(__xludf.DUMMYFUNCTION("""COMPUTED_VALUE"""),"4")</f>
        <v>4</v>
      </c>
      <c r="AA13" s="234"/>
    </row>
    <row r="14" ht="14.25" customHeight="1">
      <c r="A14" s="234"/>
      <c r="B14" s="239" t="s">
        <v>523</v>
      </c>
      <c r="C14" s="234"/>
      <c r="D14" s="239" t="s">
        <v>1491</v>
      </c>
      <c r="E14" s="239" t="s">
        <v>1492</v>
      </c>
      <c r="F14" s="234"/>
      <c r="G14" s="234"/>
      <c r="H14" s="234"/>
      <c r="I14" s="234"/>
      <c r="J14" s="234"/>
      <c r="K14" s="234"/>
      <c r="L14" s="234"/>
      <c r="M14" s="234"/>
      <c r="N14" s="234"/>
      <c r="O14" s="239" t="s">
        <v>523</v>
      </c>
      <c r="P14" s="234"/>
      <c r="Q14" s="234"/>
      <c r="R14" s="234"/>
      <c r="S14" s="244"/>
      <c r="T14" s="234"/>
      <c r="U14" s="234" t="str">
        <f>IFERROR(__xludf.DUMMYFUNCTION("""COMPUTED_VALUE"""),"Akamai")</f>
        <v>Akamai</v>
      </c>
      <c r="V14" s="234">
        <f>IFERROR(__xludf.DUMMYFUNCTION("""COMPUTED_VALUE"""),"25")</f>
        <v>25</v>
      </c>
      <c r="W14" s="234" t="str">
        <f>IFERROR(__xludf.DUMMYFUNCTION("""COMPUTED_VALUE"""),"Adobe Creative Cloud for enterprise")</f>
        <v>Adobe Creative Cloud for enterprise</v>
      </c>
      <c r="X14" s="234">
        <f>IFERROR(__xludf.DUMMYFUNCTION("""COMPUTED_VALUE"""),"1")</f>
        <v>1</v>
      </c>
      <c r="Y14" s="234" t="str">
        <f>IFERROR(__xludf.DUMMYFUNCTION("""COMPUTED_VALUE"""),"Centers for Medicare and Medicaid Services")</f>
        <v>Centers for Medicare and Medicaid Services</v>
      </c>
      <c r="Z14" s="234">
        <f>IFERROR(__xludf.DUMMYFUNCTION("""COMPUTED_VALUE"""),"10")</f>
        <v>10</v>
      </c>
      <c r="AA14" s="234"/>
    </row>
    <row r="15" ht="14.25" customHeight="1">
      <c r="A15" s="234"/>
      <c r="B15" s="240" t="s">
        <v>1494</v>
      </c>
      <c r="C15" s="234"/>
      <c r="D15" s="239" t="s">
        <v>1496</v>
      </c>
      <c r="E15" s="239" t="s">
        <v>850</v>
      </c>
      <c r="F15" s="234"/>
      <c r="G15" s="234"/>
      <c r="H15" s="234"/>
      <c r="I15" s="234"/>
      <c r="J15" s="234"/>
      <c r="K15" s="234"/>
      <c r="L15" s="234"/>
      <c r="M15" s="234"/>
      <c r="N15" s="234"/>
      <c r="O15" s="240" t="s">
        <v>1494</v>
      </c>
      <c r="P15" s="234"/>
      <c r="Q15" s="252"/>
      <c r="R15" s="252"/>
      <c r="S15" s="244"/>
      <c r="T15" s="234"/>
      <c r="U15" s="234" t="str">
        <f>IFERROR(__xludf.DUMMYFUNCTION("""COMPUTED_VALUE"""),"Amazon")</f>
        <v>Amazon</v>
      </c>
      <c r="V15" s="234">
        <f>IFERROR(__xludf.DUMMYFUNCTION("""COMPUTED_VALUE"""),"99")</f>
        <v>99</v>
      </c>
      <c r="W15" s="234" t="str">
        <f>IFERROR(__xludf.DUMMYFUNCTION("""COMPUTED_VALUE"""),"Adobe Document Cloud (PDF Services &amp; Adobe Sign)")</f>
        <v>Adobe Document Cloud (PDF Services &amp; Adobe Sign)</v>
      </c>
      <c r="X15" s="234">
        <f>IFERROR(__xludf.DUMMYFUNCTION("""COMPUTED_VALUE"""),"1")</f>
        <v>1</v>
      </c>
      <c r="Y15" s="234" t="str">
        <f>IFERROR(__xludf.DUMMYFUNCTION("""COMPUTED_VALUE"""),"Customs and Border Protection")</f>
        <v>Customs and Border Protection</v>
      </c>
      <c r="Z15" s="234">
        <f>IFERROR(__xludf.DUMMYFUNCTION("""COMPUTED_VALUE"""),"6")</f>
        <v>6</v>
      </c>
      <c r="AA15" s="234"/>
    </row>
    <row r="16" ht="14.25" customHeight="1">
      <c r="A16" s="234"/>
      <c r="B16" s="239" t="s">
        <v>1498</v>
      </c>
      <c r="C16" s="234"/>
      <c r="D16" s="240" t="s">
        <v>1499</v>
      </c>
      <c r="E16" s="240" t="s">
        <v>1500</v>
      </c>
      <c r="F16" s="234"/>
      <c r="G16" s="234"/>
      <c r="H16" s="234"/>
      <c r="I16" s="234"/>
      <c r="J16" s="234"/>
      <c r="K16" s="234"/>
      <c r="L16" s="234"/>
      <c r="M16" s="234"/>
      <c r="N16" s="234"/>
      <c r="O16" s="239" t="s">
        <v>1498</v>
      </c>
      <c r="P16" s="234"/>
      <c r="Q16" s="252"/>
      <c r="R16" s="252"/>
      <c r="S16" s="244"/>
      <c r="T16" s="234"/>
      <c r="U16" s="234" t="str">
        <f>IFERROR(__xludf.DUMMYFUNCTION("""COMPUTED_VALUE"""),"Appian")</f>
        <v>Appian</v>
      </c>
      <c r="V16" s="234">
        <f>IFERROR(__xludf.DUMMYFUNCTION("""COMPUTED_VALUE"""),"5")</f>
        <v>5</v>
      </c>
      <c r="W16" s="234" t="str">
        <f>IFERROR(__xludf.DUMMYFUNCTION("""COMPUTED_VALUE"""),"Adobe Experience Manager Managed Services (AEMMS-EW)")</f>
        <v>Adobe Experience Manager Managed Services (AEMMS-EW)</v>
      </c>
      <c r="X16" s="234">
        <f>IFERROR(__xludf.DUMMYFUNCTION("""COMPUTED_VALUE"""),"2")</f>
        <v>2</v>
      </c>
      <c r="Y16" s="234" t="str">
        <f>IFERROR(__xludf.DUMMYFUNCTION("""COMPUTED_VALUE"""),"Defense Health Agency")</f>
        <v>Defense Health Agency</v>
      </c>
      <c r="Z16" s="234">
        <f>IFERROR(__xludf.DUMMYFUNCTION("""COMPUTED_VALUE"""),"2")</f>
        <v>2</v>
      </c>
      <c r="AA16" s="234"/>
    </row>
    <row r="17" ht="14.25" customHeight="1">
      <c r="A17" s="234"/>
      <c r="B17" s="240" t="s">
        <v>1503</v>
      </c>
      <c r="C17" s="234"/>
      <c r="D17" s="240" t="s">
        <v>1504</v>
      </c>
      <c r="E17" s="240" t="s">
        <v>1492</v>
      </c>
      <c r="F17" s="234"/>
      <c r="G17" s="234"/>
      <c r="H17" s="234"/>
      <c r="I17" s="234"/>
      <c r="J17" s="234"/>
      <c r="K17" s="234"/>
      <c r="L17" s="234"/>
      <c r="M17" s="234"/>
      <c r="N17" s="234"/>
      <c r="O17" s="240" t="s">
        <v>1503</v>
      </c>
      <c r="P17" s="234"/>
      <c r="Q17" s="252"/>
      <c r="R17" s="252"/>
      <c r="S17" s="244"/>
      <c r="T17" s="234"/>
      <c r="U17" s="234" t="str">
        <f>IFERROR(__xludf.DUMMYFUNCTION("""COMPUTED_VALUE"""),"Apptio")</f>
        <v>Apptio</v>
      </c>
      <c r="V17" s="234">
        <f>IFERROR(__xludf.DUMMYFUNCTION("""COMPUTED_VALUE"""),"2")</f>
        <v>2</v>
      </c>
      <c r="W17" s="234" t="str">
        <f>IFERROR(__xludf.DUMMYFUNCTION("""COMPUTED_VALUE"""),"Adobe Experience Manager Managed Services (AEMMS-GC)")</f>
        <v>Adobe Experience Manager Managed Services (AEMMS-GC)</v>
      </c>
      <c r="X17" s="234">
        <f>IFERROR(__xludf.DUMMYFUNCTION("""COMPUTED_VALUE"""),"2")</f>
        <v>2</v>
      </c>
      <c r="Y17" s="234" t="str">
        <f>IFERROR(__xludf.DUMMYFUNCTION("""COMPUTED_VALUE"""),"Defense Healthcare Management Systems")</f>
        <v>Defense Healthcare Management Systems</v>
      </c>
      <c r="Z17" s="234">
        <f>IFERROR(__xludf.DUMMYFUNCTION("""COMPUTED_VALUE"""),"2")</f>
        <v>2</v>
      </c>
      <c r="AA17" s="234"/>
    </row>
    <row r="18" ht="14.25" customHeight="1">
      <c r="A18" s="234"/>
      <c r="B18" s="239" t="s">
        <v>1505</v>
      </c>
      <c r="C18" s="234"/>
      <c r="D18" s="240" t="s">
        <v>1506</v>
      </c>
      <c r="E18" s="240" t="s">
        <v>142</v>
      </c>
      <c r="F18" s="234"/>
      <c r="G18" s="234"/>
      <c r="H18" s="234"/>
      <c r="I18" s="234"/>
      <c r="J18" s="234"/>
      <c r="K18" s="234"/>
      <c r="L18" s="234"/>
      <c r="M18" s="234"/>
      <c r="N18" s="234"/>
      <c r="O18" s="239" t="s">
        <v>1505</v>
      </c>
      <c r="P18" s="234"/>
      <c r="Q18" s="252"/>
      <c r="R18" s="252"/>
      <c r="S18" s="244"/>
      <c r="T18" s="234"/>
      <c r="U18" s="234" t="str">
        <f>IFERROR(__xludf.DUMMYFUNCTION("""COMPUTED_VALUE"""),"Armedia, LLC")</f>
        <v>Armedia, LLC</v>
      </c>
      <c r="V18" s="234">
        <f>IFERROR(__xludf.DUMMYFUNCTION("""COMPUTED_VALUE"""),"1")</f>
        <v>1</v>
      </c>
      <c r="W18" s="234" t="str">
        <f>IFERROR(__xludf.DUMMYFUNCTION("""COMPUTED_VALUE"""),"Adobe LiveCycle Managed Services (LCMS-EW)")</f>
        <v>Adobe LiveCycle Managed Services (LCMS-EW)</v>
      </c>
      <c r="X18" s="234">
        <f>IFERROR(__xludf.DUMMYFUNCTION("""COMPUTED_VALUE"""),"1")</f>
        <v>1</v>
      </c>
      <c r="Y18" s="234" t="str">
        <f>IFERROR(__xludf.DUMMYFUNCTION("""COMPUTED_VALUE"""),"Defense Information Systems Agency")</f>
        <v>Defense Information Systems Agency</v>
      </c>
      <c r="Z18" s="234">
        <f>IFERROR(__xludf.DUMMYFUNCTION("""COMPUTED_VALUE"""),"60")</f>
        <v>60</v>
      </c>
      <c r="AA18" s="234"/>
    </row>
    <row r="19" ht="14.25" customHeight="1">
      <c r="A19" s="234"/>
      <c r="B19" s="240" t="s">
        <v>1508</v>
      </c>
      <c r="C19" s="234"/>
      <c r="D19" s="240" t="s">
        <v>1509</v>
      </c>
      <c r="E19" s="240" t="s">
        <v>1510</v>
      </c>
      <c r="F19" s="234"/>
      <c r="G19" s="234"/>
      <c r="H19" s="234"/>
      <c r="I19" s="234"/>
      <c r="J19" s="234"/>
      <c r="K19" s="234"/>
      <c r="L19" s="234"/>
      <c r="M19" s="234"/>
      <c r="N19" s="234"/>
      <c r="O19" s="240" t="s">
        <v>1508</v>
      </c>
      <c r="P19" s="234"/>
      <c r="Q19" s="252"/>
      <c r="R19" s="252"/>
      <c r="S19" s="244"/>
      <c r="T19" s="234"/>
      <c r="U19" s="234" t="str">
        <f>IFERROR(__xludf.DUMMYFUNCTION("""COMPUTED_VALUE"""),"Asure Software")</f>
        <v>Asure Software</v>
      </c>
      <c r="V19" s="234">
        <f>IFERROR(__xludf.DUMMYFUNCTION("""COMPUTED_VALUE"""),"1")</f>
        <v>1</v>
      </c>
      <c r="W19" s="234" t="str">
        <f>IFERROR(__xludf.DUMMYFUNCTION("""COMPUTED_VALUE"""),"Adobe LiveCycle Managed Services (LCMS-GC)")</f>
        <v>Adobe LiveCycle Managed Services (LCMS-GC)</v>
      </c>
      <c r="X19" s="234">
        <f>IFERROR(__xludf.DUMMYFUNCTION("""COMPUTED_VALUE"""),"1")</f>
        <v>1</v>
      </c>
      <c r="Y19" s="234" t="str">
        <f>IFERROR(__xludf.DUMMYFUNCTION("""COMPUTED_VALUE"""),"Defense Logistics Agency")</f>
        <v>Defense Logistics Agency</v>
      </c>
      <c r="Z19" s="234">
        <f>IFERROR(__xludf.DUMMYFUNCTION("""COMPUTED_VALUE"""),"1")</f>
        <v>1</v>
      </c>
      <c r="AA19" s="234"/>
    </row>
    <row r="20" ht="14.25" customHeight="1">
      <c r="A20" s="234"/>
      <c r="B20" s="239" t="s">
        <v>1513</v>
      </c>
      <c r="C20" s="234"/>
      <c r="D20" s="240" t="s">
        <v>1514</v>
      </c>
      <c r="E20" s="240" t="s">
        <v>743</v>
      </c>
      <c r="F20" s="234"/>
      <c r="G20" s="234"/>
      <c r="H20" s="234"/>
      <c r="I20" s="234"/>
      <c r="J20" s="234"/>
      <c r="K20" s="234"/>
      <c r="L20" s="234"/>
      <c r="M20" s="234"/>
      <c r="N20" s="234"/>
      <c r="O20" s="239" t="s">
        <v>1513</v>
      </c>
      <c r="P20" s="234"/>
      <c r="Q20" s="252"/>
      <c r="R20" s="252"/>
      <c r="S20" s="244"/>
      <c r="T20" s="234"/>
      <c r="U20" s="234" t="str">
        <f>IFERROR(__xludf.DUMMYFUNCTION("""COMPUTED_VALUE"""),"AT&amp;T")</f>
        <v>AT&amp;T</v>
      </c>
      <c r="V20" s="234">
        <f>IFERROR(__xludf.DUMMYFUNCTION("""COMPUTED_VALUE"""),"6")</f>
        <v>6</v>
      </c>
      <c r="W20" s="234" t="str">
        <f>IFERROR(__xludf.DUMMYFUNCTION("""COMPUTED_VALUE"""),"AEON")</f>
        <v>AEON</v>
      </c>
      <c r="X20" s="234">
        <f>IFERROR(__xludf.DUMMYFUNCTION("""COMPUTED_VALUE"""),"1")</f>
        <v>1</v>
      </c>
      <c r="Y20" s="234" t="str">
        <f>IFERROR(__xludf.DUMMYFUNCTION("""COMPUTED_VALUE"""),"Defense Media Agency")</f>
        <v>Defense Media Agency</v>
      </c>
      <c r="Z20" s="234">
        <f>IFERROR(__xludf.DUMMYFUNCTION("""COMPUTED_VALUE"""),"1")</f>
        <v>1</v>
      </c>
      <c r="AA20" s="234"/>
    </row>
    <row r="21" ht="14.25" customHeight="1">
      <c r="A21" s="234"/>
      <c r="B21" s="240" t="s">
        <v>1515</v>
      </c>
      <c r="C21" s="234"/>
      <c r="D21" s="239" t="s">
        <v>1516</v>
      </c>
      <c r="E21" s="239" t="s">
        <v>1500</v>
      </c>
      <c r="F21" s="234"/>
      <c r="G21" s="234"/>
      <c r="H21" s="234"/>
      <c r="I21" s="234"/>
      <c r="J21" s="234"/>
      <c r="K21" s="234"/>
      <c r="L21" s="234"/>
      <c r="M21" s="234"/>
      <c r="N21" s="234"/>
      <c r="O21" s="240" t="s">
        <v>1515</v>
      </c>
      <c r="P21" s="234"/>
      <c r="Q21" s="252"/>
      <c r="R21" s="252"/>
      <c r="S21" s="244"/>
      <c r="T21" s="234"/>
      <c r="U21" s="234" t="str">
        <f>IFERROR(__xludf.DUMMYFUNCTION("""COMPUTED_VALUE"""),"Autonomic Resources a wholly-owned subsidiary of CSRA LLC")</f>
        <v>Autonomic Resources a wholly-owned subsidiary of CSRA LLC</v>
      </c>
      <c r="V21" s="234">
        <f>IFERROR(__xludf.DUMMYFUNCTION("""COMPUTED_VALUE"""),"13")</f>
        <v>13</v>
      </c>
      <c r="W21" s="234" t="str">
        <f>IFERROR(__xludf.DUMMYFUNCTION("""COMPUTED_VALUE"""),"Airwatch by VMware Government Services (AGS)")</f>
        <v>Airwatch by VMware Government Services (AGS)</v>
      </c>
      <c r="X21" s="234">
        <f>IFERROR(__xludf.DUMMYFUNCTION("""COMPUTED_VALUE"""),"3")</f>
        <v>3</v>
      </c>
      <c r="Y21" s="234" t="str">
        <f>IFERROR(__xludf.DUMMYFUNCTION("""COMPUTED_VALUE"""),"Department of the Navy")</f>
        <v>Department of the Navy</v>
      </c>
      <c r="Z21" s="234">
        <f>IFERROR(__xludf.DUMMYFUNCTION("""COMPUTED_VALUE"""),"1")</f>
        <v>1</v>
      </c>
      <c r="AA21" s="234"/>
    </row>
    <row r="22" ht="14.25" customHeight="1">
      <c r="A22" s="234"/>
      <c r="B22" s="239" t="s">
        <v>1518</v>
      </c>
      <c r="C22" s="234"/>
      <c r="D22" s="239" t="s">
        <v>1519</v>
      </c>
      <c r="E22" s="239" t="s">
        <v>969</v>
      </c>
      <c r="F22" s="234"/>
      <c r="G22" s="234"/>
      <c r="H22" s="234"/>
      <c r="I22" s="234"/>
      <c r="J22" s="234"/>
      <c r="K22" s="234"/>
      <c r="L22" s="234"/>
      <c r="M22" s="234"/>
      <c r="N22" s="234"/>
      <c r="O22" s="239" t="s">
        <v>1518</v>
      </c>
      <c r="P22" s="234"/>
      <c r="Q22" s="252"/>
      <c r="R22" s="252"/>
      <c r="S22" s="244"/>
      <c r="T22" s="234"/>
      <c r="U22" s="234" t="str">
        <f>IFERROR(__xludf.DUMMYFUNCTION("""COMPUTED_VALUE"""),"Avaya, Inc.")</f>
        <v>Avaya, Inc.</v>
      </c>
      <c r="V22" s="234">
        <f>IFERROR(__xludf.DUMMYFUNCTION("""COMPUTED_VALUE"""),"1")</f>
        <v>1</v>
      </c>
      <c r="W22" s="234" t="str">
        <f>IFERROR(__xludf.DUMMYFUNCTION("""COMPUTED_VALUE"""),"aiWARE Government")</f>
        <v>aiWARE Government</v>
      </c>
      <c r="X22" s="234">
        <f>IFERROR(__xludf.DUMMYFUNCTION("""COMPUTED_VALUE"""),"1")</f>
        <v>1</v>
      </c>
      <c r="Y22" s="234" t="str">
        <f>IFERROR(__xludf.DUMMYFUNCTION("""COMPUTED_VALUE"""),"Energy Information Administration")</f>
        <v>Energy Information Administration</v>
      </c>
      <c r="Z22" s="234">
        <f>IFERROR(__xludf.DUMMYFUNCTION("""COMPUTED_VALUE"""),"2")</f>
        <v>2</v>
      </c>
      <c r="AA22" s="234"/>
    </row>
    <row r="23" ht="14.25" customHeight="1">
      <c r="A23" s="234"/>
      <c r="B23" s="240" t="s">
        <v>1522</v>
      </c>
      <c r="C23" s="234"/>
      <c r="D23" s="240" t="s">
        <v>1523</v>
      </c>
      <c r="E23" s="240" t="s">
        <v>1023</v>
      </c>
      <c r="F23" s="234"/>
      <c r="G23" s="234"/>
      <c r="H23" s="234"/>
      <c r="I23" s="234"/>
      <c r="J23" s="234"/>
      <c r="K23" s="234"/>
      <c r="L23" s="234"/>
      <c r="M23" s="234"/>
      <c r="N23" s="234"/>
      <c r="O23" s="240" t="s">
        <v>1522</v>
      </c>
      <c r="P23" s="234"/>
      <c r="Q23" s="252"/>
      <c r="R23" s="252"/>
      <c r="S23" s="244"/>
      <c r="T23" s="234"/>
      <c r="U23" s="234" t="str">
        <f>IFERROR(__xludf.DUMMYFUNCTION("""COMPUTED_VALUE"""),"Avue Technologies")</f>
        <v>Avue Technologies</v>
      </c>
      <c r="V23" s="234">
        <f>IFERROR(__xludf.DUMMYFUNCTION("""COMPUTED_VALUE"""),"3")</f>
        <v>3</v>
      </c>
      <c r="W23" s="234" t="str">
        <f>IFERROR(__xludf.DUMMYFUNCTION("""COMPUTED_VALUE"""),"Alma and Primo")</f>
        <v>Alma and Primo</v>
      </c>
      <c r="X23" s="234">
        <f>IFERROR(__xludf.DUMMYFUNCTION("""COMPUTED_VALUE"""),"1")</f>
        <v>1</v>
      </c>
      <c r="Y23" s="234" t="str">
        <f>IFERROR(__xludf.DUMMYFUNCTION("""COMPUTED_VALUE"""),"FHFA Office of the Inspector General")</f>
        <v>FHFA Office of the Inspector General</v>
      </c>
      <c r="Z23" s="234">
        <f>IFERROR(__xludf.DUMMYFUNCTION("""COMPUTED_VALUE"""),"2")</f>
        <v>2</v>
      </c>
      <c r="AA23" s="234"/>
    </row>
    <row r="24" ht="14.25" customHeight="1">
      <c r="A24" s="234"/>
      <c r="B24" s="239" t="s">
        <v>1524</v>
      </c>
      <c r="C24" s="234"/>
      <c r="D24" s="239" t="s">
        <v>1525</v>
      </c>
      <c r="E24" s="239" t="s">
        <v>220</v>
      </c>
      <c r="F24" s="234"/>
      <c r="G24" s="234"/>
      <c r="H24" s="234"/>
      <c r="I24" s="234"/>
      <c r="J24" s="234"/>
      <c r="K24" s="234"/>
      <c r="L24" s="234"/>
      <c r="M24" s="234"/>
      <c r="N24" s="234"/>
      <c r="O24" s="239" t="s">
        <v>1524</v>
      </c>
      <c r="P24" s="234"/>
      <c r="Q24" s="234"/>
      <c r="R24" s="234"/>
      <c r="S24" s="244"/>
      <c r="T24" s="234"/>
      <c r="U24" s="234" t="str">
        <f>IFERROR(__xludf.DUMMYFUNCTION("""COMPUTED_VALUE"""),"Avue Technologies ")</f>
        <v>Avue Technologies </v>
      </c>
      <c r="V24" s="234">
        <f>IFERROR(__xludf.DUMMYFUNCTION("""COMPUTED_VALUE"""),"2")</f>
        <v>2</v>
      </c>
      <c r="W24" s="234" t="str">
        <f>IFERROR(__xludf.DUMMYFUNCTION("""COMPUTED_VALUE"""),"American Heart Association Precision Medicine Platform (AHA-PMP)")</f>
        <v>American Heart Association Precision Medicine Platform (AHA-PMP)</v>
      </c>
      <c r="X24" s="234">
        <f>IFERROR(__xludf.DUMMYFUNCTION("""COMPUTED_VALUE"""),"1")</f>
        <v>1</v>
      </c>
      <c r="Y24" s="234" t="str">
        <f>IFERROR(__xludf.DUMMYFUNCTION("""COMPUTED_VALUE"""),"Federal Aviation Administration")</f>
        <v>Federal Aviation Administration</v>
      </c>
      <c r="Z24" s="234">
        <f>IFERROR(__xludf.DUMMYFUNCTION("""COMPUTED_VALUE"""),"5")</f>
        <v>5</v>
      </c>
      <c r="AA24" s="234"/>
    </row>
    <row r="25" ht="14.25" customHeight="1">
      <c r="A25" s="234"/>
      <c r="B25" s="240" t="s">
        <v>1527</v>
      </c>
      <c r="C25" s="234"/>
      <c r="D25" s="239" t="s">
        <v>1528</v>
      </c>
      <c r="E25" s="239" t="s">
        <v>954</v>
      </c>
      <c r="F25" s="234"/>
      <c r="G25" s="234"/>
      <c r="H25" s="234"/>
      <c r="I25" s="234"/>
      <c r="J25" s="234"/>
      <c r="K25" s="234"/>
      <c r="L25" s="234"/>
      <c r="M25" s="234"/>
      <c r="N25" s="234"/>
      <c r="O25" s="240" t="s">
        <v>1527</v>
      </c>
      <c r="P25" s="234"/>
      <c r="Q25" s="234"/>
      <c r="R25" s="234"/>
      <c r="S25" s="244"/>
      <c r="T25" s="234"/>
      <c r="U25" s="234" t="str">
        <f>IFERROR(__xludf.DUMMYFUNCTION("""COMPUTED_VALUE"""),"Axon")</f>
        <v>Axon</v>
      </c>
      <c r="V25" s="234">
        <f>IFERROR(__xludf.DUMMYFUNCTION("""COMPUTED_VALUE"""),"1")</f>
        <v>1</v>
      </c>
      <c r="W25" s="234" t="str">
        <f>IFERROR(__xludf.DUMMYFUNCTION("""COMPUTED_VALUE"""),"Anypoint Platform - Federal Edition")</f>
        <v>Anypoint Platform - Federal Edition</v>
      </c>
      <c r="X25" s="234">
        <f>IFERROR(__xludf.DUMMYFUNCTION("""COMPUTED_VALUE"""),"1")</f>
        <v>1</v>
      </c>
      <c r="Y25" s="234" t="str">
        <f>IFERROR(__xludf.DUMMYFUNCTION("""COMPUTED_VALUE"""),"Federal Bureau of Investigation")</f>
        <v>Federal Bureau of Investigation</v>
      </c>
      <c r="Z25" s="234">
        <f>IFERROR(__xludf.DUMMYFUNCTION("""COMPUTED_VALUE"""),"1")</f>
        <v>1</v>
      </c>
      <c r="AA25" s="234"/>
    </row>
    <row r="26" ht="14.25" customHeight="1">
      <c r="A26" s="234"/>
      <c r="B26" s="239" t="s">
        <v>1531</v>
      </c>
      <c r="C26" s="234"/>
      <c r="D26" s="240" t="s">
        <v>1532</v>
      </c>
      <c r="E26" s="240" t="s">
        <v>1195</v>
      </c>
      <c r="F26" s="234"/>
      <c r="G26" s="234"/>
      <c r="H26" s="234"/>
      <c r="I26" s="234"/>
      <c r="K26" s="234"/>
      <c r="L26" s="234"/>
      <c r="M26" s="234"/>
      <c r="N26" s="234"/>
      <c r="O26" s="239" t="s">
        <v>1531</v>
      </c>
      <c r="P26" s="234"/>
      <c r="Q26" s="234"/>
      <c r="R26" s="234"/>
      <c r="S26" s="244"/>
      <c r="T26" s="234"/>
      <c r="U26" s="234" t="str">
        <f>IFERROR(__xludf.DUMMYFUNCTION("""COMPUTED_VALUE"""),"BlackBerry")</f>
        <v>BlackBerry</v>
      </c>
      <c r="V26" s="234">
        <f>IFERROR(__xludf.DUMMYFUNCTION("""COMPUTED_VALUE"""),"2")</f>
        <v>2</v>
      </c>
      <c r="W26" s="234" t="str">
        <f>IFERROR(__xludf.DUMMYFUNCTION("""COMPUTED_VALUE"""),"AppDynamics by Cisco")</f>
        <v>AppDynamics by Cisco</v>
      </c>
      <c r="X26" s="234">
        <f>IFERROR(__xludf.DUMMYFUNCTION("""COMPUTED_VALUE"""),"1")</f>
        <v>1</v>
      </c>
      <c r="Y26" s="234" t="str">
        <f>IFERROR(__xludf.DUMMYFUNCTION("""COMPUTED_VALUE"""),"Federal Bureau of Prisons")</f>
        <v>Federal Bureau of Prisons</v>
      </c>
      <c r="Z26" s="234">
        <f>IFERROR(__xludf.DUMMYFUNCTION("""COMPUTED_VALUE"""),"4")</f>
        <v>4</v>
      </c>
      <c r="AA26" s="234"/>
    </row>
    <row r="27" ht="14.25" customHeight="1">
      <c r="A27" s="234"/>
      <c r="B27" s="240" t="s">
        <v>1534</v>
      </c>
      <c r="C27" s="234"/>
      <c r="D27" s="240" t="s">
        <v>1535</v>
      </c>
      <c r="E27" s="240" t="s">
        <v>220</v>
      </c>
      <c r="F27" s="234"/>
      <c r="G27" s="234"/>
      <c r="H27" s="234"/>
      <c r="I27" s="234"/>
      <c r="J27" s="234"/>
      <c r="K27" s="234"/>
      <c r="L27" s="234"/>
      <c r="M27" s="234"/>
      <c r="N27" s="234"/>
      <c r="O27" s="240" t="s">
        <v>1534</v>
      </c>
      <c r="P27" s="234"/>
      <c r="Q27" s="234"/>
      <c r="R27" s="234"/>
      <c r="S27" s="244"/>
      <c r="T27" s="234"/>
      <c r="U27" s="234" t="str">
        <f>IFERROR(__xludf.DUMMYFUNCTION("""COMPUTED_VALUE"""),"Blackberry")</f>
        <v>Blackberry</v>
      </c>
      <c r="V27" s="234">
        <f>IFERROR(__xludf.DUMMYFUNCTION("""COMPUTED_VALUE"""),"7")</f>
        <v>7</v>
      </c>
      <c r="W27" s="234" t="str">
        <f>IFERROR(__xludf.DUMMYFUNCTION("""COMPUTED_VALUE"""),"Appian Cloud")</f>
        <v>Appian Cloud</v>
      </c>
      <c r="X27" s="234">
        <f>IFERROR(__xludf.DUMMYFUNCTION("""COMPUTED_VALUE"""),"5")</f>
        <v>5</v>
      </c>
      <c r="Y27" s="234" t="str">
        <f>IFERROR(__xludf.DUMMYFUNCTION("""COMPUTED_VALUE"""),"Federal Emergency Management Agency")</f>
        <v>Federal Emergency Management Agency</v>
      </c>
      <c r="Z27" s="234">
        <f>IFERROR(__xludf.DUMMYFUNCTION("""COMPUTED_VALUE"""),"2")</f>
        <v>2</v>
      </c>
      <c r="AA27" s="234"/>
    </row>
    <row r="28" ht="14.25" customHeight="1">
      <c r="A28" s="234"/>
      <c r="B28" s="239" t="s">
        <v>850</v>
      </c>
      <c r="C28" s="234"/>
      <c r="D28" s="239" t="s">
        <v>1537</v>
      </c>
      <c r="E28" s="239" t="s">
        <v>220</v>
      </c>
      <c r="F28" s="234"/>
      <c r="G28" s="234"/>
      <c r="H28" s="234"/>
      <c r="I28" s="234"/>
      <c r="J28" s="234"/>
      <c r="K28" s="234"/>
      <c r="L28" s="234"/>
      <c r="M28" s="234"/>
      <c r="N28" s="245"/>
      <c r="O28" s="239" t="s">
        <v>1538</v>
      </c>
      <c r="P28" s="234"/>
      <c r="Q28" s="234"/>
      <c r="R28" s="234"/>
      <c r="S28" s="253"/>
      <c r="T28" s="234"/>
      <c r="U28" s="234" t="str">
        <f>IFERROR(__xludf.DUMMYFUNCTION("""COMPUTED_VALUE"""),"Blackboard")</f>
        <v>Blackboard</v>
      </c>
      <c r="V28" s="234">
        <f>IFERROR(__xludf.DUMMYFUNCTION("""COMPUTED_VALUE"""),"1")</f>
        <v>1</v>
      </c>
      <c r="W28" s="234" t="str">
        <f>IFERROR(__xludf.DUMMYFUNCTION("""COMPUTED_VALUE"""),"ArcGIS Online (AGO)")</f>
        <v>ArcGIS Online (AGO)</v>
      </c>
      <c r="X28" s="234">
        <f>IFERROR(__xludf.DUMMYFUNCTION("""COMPUTED_VALUE"""),"1")</f>
        <v>1</v>
      </c>
      <c r="Y28" s="234" t="str">
        <f>IFERROR(__xludf.DUMMYFUNCTION("""COMPUTED_VALUE"""),"Federal Energy Regulatory Commission")</f>
        <v>Federal Energy Regulatory Commission</v>
      </c>
      <c r="Z28" s="234">
        <f>IFERROR(__xludf.DUMMYFUNCTION("""COMPUTED_VALUE"""),"7")</f>
        <v>7</v>
      </c>
      <c r="AA28" s="234"/>
    </row>
    <row r="29" ht="14.25" customHeight="1">
      <c r="A29" s="234"/>
      <c r="B29" s="240" t="s">
        <v>954</v>
      </c>
      <c r="C29" s="234"/>
      <c r="D29" s="240" t="s">
        <v>1540</v>
      </c>
      <c r="E29" s="240" t="s">
        <v>220</v>
      </c>
      <c r="F29" s="234"/>
      <c r="G29" s="234"/>
      <c r="H29" s="234"/>
      <c r="I29" s="234"/>
      <c r="J29" s="234"/>
      <c r="K29" s="234"/>
      <c r="L29" s="234"/>
      <c r="M29" s="234"/>
      <c r="N29" s="245"/>
      <c r="O29" s="240" t="s">
        <v>1541</v>
      </c>
      <c r="P29" s="234"/>
      <c r="Q29" s="234"/>
      <c r="R29" s="234"/>
      <c r="S29" s="253"/>
      <c r="T29" s="234"/>
      <c r="U29" s="234" t="str">
        <f>IFERROR(__xludf.DUMMYFUNCTION("""COMPUTED_VALUE"""),"Blackmesh")</f>
        <v>Blackmesh</v>
      </c>
      <c r="V29" s="234">
        <f>IFERROR(__xludf.DUMMYFUNCTION("""COMPUTED_VALUE"""),"3")</f>
        <v>3</v>
      </c>
      <c r="W29" s="234" t="str">
        <f>IFERROR(__xludf.DUMMYFUNCTION("""COMPUTED_VALUE"""),"ARCWRX ")</f>
        <v>ARCWRX </v>
      </c>
      <c r="X29" s="234">
        <f>IFERROR(__xludf.DUMMYFUNCTION("""COMPUTED_VALUE"""),"2")</f>
        <v>2</v>
      </c>
      <c r="Y29" s="234" t="str">
        <f>IFERROR(__xludf.DUMMYFUNCTION("""COMPUTED_VALUE"""),"Federal Highway Administration")</f>
        <v>Federal Highway Administration</v>
      </c>
      <c r="Z29" s="234">
        <f>IFERROR(__xludf.DUMMYFUNCTION("""COMPUTED_VALUE"""),"3")</f>
        <v>3</v>
      </c>
      <c r="AA29" s="234"/>
    </row>
    <row r="30" ht="14.25" customHeight="1">
      <c r="A30" s="234"/>
      <c r="B30" s="239" t="s">
        <v>142</v>
      </c>
      <c r="C30" s="234"/>
      <c r="D30" s="239" t="s">
        <v>1543</v>
      </c>
      <c r="E30" s="239" t="s">
        <v>220</v>
      </c>
      <c r="F30" s="234"/>
      <c r="G30" s="234"/>
      <c r="H30" s="234"/>
      <c r="I30" s="234"/>
      <c r="J30" s="234"/>
      <c r="K30" s="234"/>
      <c r="L30" s="234"/>
      <c r="M30" s="234"/>
      <c r="N30" s="245"/>
      <c r="O30" s="239" t="s">
        <v>1544</v>
      </c>
      <c r="P30" s="234"/>
      <c r="Q30" s="234"/>
      <c r="R30" s="234"/>
      <c r="S30" s="253"/>
      <c r="T30" s="234"/>
      <c r="U30" s="234" t="str">
        <f>IFERROR(__xludf.DUMMYFUNCTION("""COMPUTED_VALUE"""),"BMC Software")</f>
        <v>BMC Software</v>
      </c>
      <c r="V30" s="234">
        <f>IFERROR(__xludf.DUMMYFUNCTION("""COMPUTED_VALUE"""),"2")</f>
        <v>2</v>
      </c>
      <c r="W30" s="234" t="str">
        <f>IFERROR(__xludf.DUMMYFUNCTION("""COMPUTED_VALUE"""),"Armedia Content Cloud")</f>
        <v>Armedia Content Cloud</v>
      </c>
      <c r="X30" s="234">
        <f>IFERROR(__xludf.DUMMYFUNCTION("""COMPUTED_VALUE"""),"1")</f>
        <v>1</v>
      </c>
      <c r="Y30" s="234" t="str">
        <f>IFERROR(__xludf.DUMMYFUNCTION("""COMPUTED_VALUE"""),"Federal Law Enforcement Training Centers")</f>
        <v>Federal Law Enforcement Training Centers</v>
      </c>
      <c r="Z30" s="234">
        <f>IFERROR(__xludf.DUMMYFUNCTION("""COMPUTED_VALUE"""),"3")</f>
        <v>3</v>
      </c>
      <c r="AA30" s="234"/>
    </row>
    <row r="31" ht="14.25" customHeight="1">
      <c r="A31" s="234"/>
      <c r="B31" s="240" t="s">
        <v>989</v>
      </c>
      <c r="C31" s="234"/>
      <c r="D31" s="240" t="s">
        <v>1546</v>
      </c>
      <c r="E31" s="240" t="s">
        <v>220</v>
      </c>
      <c r="F31" s="234"/>
      <c r="G31" s="234"/>
      <c r="H31" s="234"/>
      <c r="I31" s="234"/>
      <c r="J31" s="234"/>
      <c r="K31" s="234"/>
      <c r="L31" s="234"/>
      <c r="M31" s="234"/>
      <c r="N31" s="245"/>
      <c r="O31" s="240" t="s">
        <v>1296</v>
      </c>
      <c r="P31" s="234"/>
      <c r="Q31" s="234"/>
      <c r="R31" s="234"/>
      <c r="S31" s="234"/>
      <c r="T31" s="234"/>
      <c r="U31" s="234" t="str">
        <f>IFERROR(__xludf.DUMMYFUNCTION("""COMPUTED_VALUE"""),"Box Inc.")</f>
        <v>Box Inc.</v>
      </c>
      <c r="V31" s="234">
        <f>IFERROR(__xludf.DUMMYFUNCTION("""COMPUTED_VALUE"""),"10")</f>
        <v>10</v>
      </c>
      <c r="W31" s="234" t="str">
        <f>IFERROR(__xludf.DUMMYFUNCTION("""COMPUTED_VALUE"""),"AT&amp;T Government Cloud")</f>
        <v>AT&amp;T Government Cloud</v>
      </c>
      <c r="X31" s="234">
        <f>IFERROR(__xludf.DUMMYFUNCTION("""COMPUTED_VALUE"""),"2")</f>
        <v>2</v>
      </c>
      <c r="Y31" s="234" t="str">
        <f>IFERROR(__xludf.DUMMYFUNCTION("""COMPUTED_VALUE"""),"Federal Railroad Administration")</f>
        <v>Federal Railroad Administration</v>
      </c>
      <c r="Z31" s="234">
        <f>IFERROR(__xludf.DUMMYFUNCTION("""COMPUTED_VALUE"""),"1")</f>
        <v>1</v>
      </c>
      <c r="AA31" s="234"/>
    </row>
    <row r="32" ht="14.25" customHeight="1">
      <c r="A32" s="234"/>
      <c r="B32" s="239" t="s">
        <v>994</v>
      </c>
      <c r="C32" s="234"/>
      <c r="D32" s="240" t="s">
        <v>1550</v>
      </c>
      <c r="E32" s="240" t="s">
        <v>954</v>
      </c>
      <c r="F32" s="234"/>
      <c r="G32" s="234"/>
      <c r="H32" s="234"/>
      <c r="I32" s="234"/>
      <c r="J32" s="234"/>
      <c r="K32" s="234"/>
      <c r="L32" s="234"/>
      <c r="M32" s="234"/>
      <c r="N32" s="245"/>
      <c r="O32" s="239" t="s">
        <v>1551</v>
      </c>
      <c r="P32" s="234"/>
      <c r="Q32" s="234"/>
      <c r="R32" s="234"/>
      <c r="S32" s="234"/>
      <c r="T32" s="234"/>
      <c r="U32" s="234" t="str">
        <f>IFERROR(__xludf.DUMMYFUNCTION("""COMPUTED_VALUE"""),"BrightWork")</f>
        <v>BrightWork</v>
      </c>
      <c r="V32" s="234">
        <f>IFERROR(__xludf.DUMMYFUNCTION("""COMPUTED_VALUE"""),"1")</f>
        <v>1</v>
      </c>
      <c r="W32" s="234" t="str">
        <f>IFERROR(__xludf.DUMMYFUNCTION("""COMPUTED_VALUE"""),"Avaya Cloud Secure")</f>
        <v>Avaya Cloud Secure</v>
      </c>
      <c r="X32" s="234">
        <f>IFERROR(__xludf.DUMMYFUNCTION("""COMPUTED_VALUE"""),"1")</f>
        <v>1</v>
      </c>
      <c r="Y32" s="234" t="str">
        <f>IFERROR(__xludf.DUMMYFUNCTION("""COMPUTED_VALUE"""),"Federal Student Aid")</f>
        <v>Federal Student Aid</v>
      </c>
      <c r="Z32" s="234">
        <f>IFERROR(__xludf.DUMMYFUNCTION("""COMPUTED_VALUE"""),"8")</f>
        <v>8</v>
      </c>
      <c r="AA32" s="234"/>
    </row>
    <row r="33" ht="14.25" customHeight="1">
      <c r="A33" s="234"/>
      <c r="B33" s="240" t="s">
        <v>196</v>
      </c>
      <c r="C33" s="234"/>
      <c r="D33" s="239" t="s">
        <v>1557</v>
      </c>
      <c r="E33" s="239" t="s">
        <v>1023</v>
      </c>
      <c r="F33" s="234"/>
      <c r="G33" s="234"/>
      <c r="H33" s="234"/>
      <c r="I33" s="234"/>
      <c r="J33" s="234"/>
      <c r="K33" s="234"/>
      <c r="L33" s="234"/>
      <c r="M33" s="234"/>
      <c r="N33" s="245"/>
      <c r="O33" s="240" t="s">
        <v>1559</v>
      </c>
      <c r="P33" s="234"/>
      <c r="Q33" s="234"/>
      <c r="R33" s="234"/>
      <c r="S33" s="234"/>
      <c r="T33" s="234"/>
      <c r="U33" s="234" t="str">
        <f>IFERROR(__xludf.DUMMYFUNCTION("""COMPUTED_VALUE"""),"BroadSoft Inc.")</f>
        <v>BroadSoft Inc.</v>
      </c>
      <c r="V33" s="234">
        <f>IFERROR(__xludf.DUMMYFUNCTION("""COMPUTED_VALUE"""),"1")</f>
        <v>1</v>
      </c>
      <c r="W33" s="234" t="str">
        <f>IFERROR(__xludf.DUMMYFUNCTION("""COMPUTED_VALUE"""),"Avue Digital Services ")</f>
        <v>Avue Digital Services </v>
      </c>
      <c r="X33" s="234">
        <f>IFERROR(__xludf.DUMMYFUNCTION("""COMPUTED_VALUE"""),"5")</f>
        <v>5</v>
      </c>
      <c r="Y33" s="234" t="str">
        <f>IFERROR(__xludf.DUMMYFUNCTION("""COMPUTED_VALUE"""),"Federal Transportation Administration")</f>
        <v>Federal Transportation Administration</v>
      </c>
      <c r="Z33" s="234">
        <f>IFERROR(__xludf.DUMMYFUNCTION("""COMPUTED_VALUE"""),"1")</f>
        <v>1</v>
      </c>
      <c r="AA33" s="234"/>
    </row>
    <row r="34" ht="14.25" customHeight="1">
      <c r="A34" s="234"/>
      <c r="B34" s="239" t="s">
        <v>175</v>
      </c>
      <c r="C34" s="234"/>
      <c r="D34" s="239" t="s">
        <v>1564</v>
      </c>
      <c r="E34" s="239" t="s">
        <v>1492</v>
      </c>
      <c r="F34" s="234"/>
      <c r="G34" s="234"/>
      <c r="H34" s="234"/>
      <c r="I34" s="234"/>
      <c r="J34" s="234"/>
      <c r="K34" s="234"/>
      <c r="L34" s="234"/>
      <c r="M34" s="234"/>
      <c r="N34" s="245"/>
      <c r="O34" s="239" t="s">
        <v>1565</v>
      </c>
      <c r="P34" s="234"/>
      <c r="Q34" s="234"/>
      <c r="R34" s="234"/>
      <c r="S34" s="234"/>
      <c r="T34" s="234"/>
      <c r="U34" s="234" t="str">
        <f>IFERROR(__xludf.DUMMYFUNCTION("""COMPUTED_VALUE"""),"CA Technologies Inc.")</f>
        <v>CA Technologies Inc.</v>
      </c>
      <c r="V34" s="234">
        <f>IFERROR(__xludf.DUMMYFUNCTION("""COMPUTED_VALUE"""),"2")</f>
        <v>2</v>
      </c>
      <c r="W34" s="234" t="str">
        <f>IFERROR(__xludf.DUMMYFUNCTION("""COMPUTED_VALUE"""),"AWS GovCloud")</f>
        <v>AWS GovCloud</v>
      </c>
      <c r="X34" s="234">
        <f>IFERROR(__xludf.DUMMYFUNCTION("""COMPUTED_VALUE"""),"42")</f>
        <v>42</v>
      </c>
      <c r="Y34" s="234" t="str">
        <f>IFERROR(__xludf.DUMMYFUNCTION("""COMPUTED_VALUE"""),"FirstNet")</f>
        <v>FirstNet</v>
      </c>
      <c r="Z34" s="234">
        <f>IFERROR(__xludf.DUMMYFUNCTION("""COMPUTED_VALUE"""),"4")</f>
        <v>4</v>
      </c>
      <c r="AA34" s="234"/>
    </row>
    <row r="35" ht="14.25" customHeight="1">
      <c r="A35" s="234"/>
      <c r="B35" s="240" t="s">
        <v>1012</v>
      </c>
      <c r="C35" s="234"/>
      <c r="D35" s="240" t="s">
        <v>1566</v>
      </c>
      <c r="E35" s="240" t="s">
        <v>196</v>
      </c>
      <c r="F35" s="234"/>
      <c r="G35" s="234"/>
      <c r="H35" s="234"/>
      <c r="I35" s="234"/>
      <c r="J35" s="234"/>
      <c r="K35" s="234"/>
      <c r="L35" s="234"/>
      <c r="M35" s="234"/>
      <c r="N35" s="245"/>
      <c r="O35" s="240" t="s">
        <v>1567</v>
      </c>
      <c r="P35" s="234"/>
      <c r="Q35" s="234"/>
      <c r="R35" s="234"/>
      <c r="S35" s="234"/>
      <c r="T35" s="234"/>
      <c r="U35" s="234" t="str">
        <f>IFERROR(__xludf.DUMMYFUNCTION("""COMPUTED_VALUE"""),"Centrify")</f>
        <v>Centrify</v>
      </c>
      <c r="V35" s="234">
        <f>IFERROR(__xludf.DUMMYFUNCTION("""COMPUTED_VALUE"""),"1")</f>
        <v>1</v>
      </c>
      <c r="W35" s="234" t="str">
        <f>IFERROR(__xludf.DUMMYFUNCTION("""COMPUTED_VALUE"""),"AWS US East/West")</f>
        <v>AWS US East/West</v>
      </c>
      <c r="X35" s="234">
        <f>IFERROR(__xludf.DUMMYFUNCTION("""COMPUTED_VALUE"""),"16")</f>
        <v>16</v>
      </c>
      <c r="Y35" s="234" t="str">
        <f>IFERROR(__xludf.DUMMYFUNCTION("""COMPUTED_VALUE"""),"Fish and Wildlife Service")</f>
        <v>Fish and Wildlife Service</v>
      </c>
      <c r="Z35" s="234">
        <f>IFERROR(__xludf.DUMMYFUNCTION("""COMPUTED_VALUE"""),"1")</f>
        <v>1</v>
      </c>
      <c r="AA35" s="234"/>
    </row>
    <row r="36" ht="14.25" customHeight="1">
      <c r="A36" s="234"/>
      <c r="B36" s="239" t="s">
        <v>969</v>
      </c>
      <c r="C36" s="234"/>
      <c r="D36" s="239" t="s">
        <v>1569</v>
      </c>
      <c r="E36" s="239" t="s">
        <v>196</v>
      </c>
      <c r="F36" s="234"/>
      <c r="G36" s="234"/>
      <c r="H36" s="234"/>
      <c r="I36" s="234"/>
      <c r="J36" s="234"/>
      <c r="K36" s="234"/>
      <c r="L36" s="234"/>
      <c r="M36" s="234"/>
      <c r="N36" s="245"/>
      <c r="O36" s="239" t="s">
        <v>1570</v>
      </c>
      <c r="P36" s="234"/>
      <c r="Q36" s="234"/>
      <c r="R36" s="234"/>
      <c r="S36" s="234"/>
      <c r="T36" s="234"/>
      <c r="U36" s="234" t="str">
        <f>IFERROR(__xludf.DUMMYFUNCTION("""COMPUTED_VALUE"""),"CFI Group")</f>
        <v>CFI Group</v>
      </c>
      <c r="V36" s="234">
        <f>IFERROR(__xludf.DUMMYFUNCTION("""COMPUTED_VALUE"""),"1")</f>
        <v>1</v>
      </c>
      <c r="W36" s="234" t="str">
        <f>IFERROR(__xludf.DUMMYFUNCTION("""COMPUTED_VALUE"""),"AWS US East/West ")</f>
        <v>AWS US East/West </v>
      </c>
      <c r="X36" s="234">
        <f>IFERROR(__xludf.DUMMYFUNCTION("""COMPUTED_VALUE"""),"41")</f>
        <v>41</v>
      </c>
      <c r="Y36" s="234" t="str">
        <f>IFERROR(__xludf.DUMMYFUNCTION("""COMPUTED_VALUE"""),"Food and Drug Administration")</f>
        <v>Food and Drug Administration</v>
      </c>
      <c r="Z36" s="234">
        <f>IFERROR(__xludf.DUMMYFUNCTION("""COMPUTED_VALUE"""),"14")</f>
        <v>14</v>
      </c>
      <c r="AA36" s="234"/>
    </row>
    <row r="37" ht="14.25" customHeight="1">
      <c r="A37" s="234"/>
      <c r="B37" s="240" t="s">
        <v>1195</v>
      </c>
      <c r="C37" s="234"/>
      <c r="D37" s="239" t="s">
        <v>1572</v>
      </c>
      <c r="E37" s="239" t="s">
        <v>220</v>
      </c>
      <c r="F37" s="234"/>
      <c r="G37" s="234"/>
      <c r="H37" s="234"/>
      <c r="I37" s="234"/>
      <c r="J37" s="234"/>
      <c r="K37" s="234"/>
      <c r="L37" s="234"/>
      <c r="M37" s="234"/>
      <c r="N37" s="245"/>
      <c r="O37" s="240" t="s">
        <v>1510</v>
      </c>
      <c r="P37" s="234"/>
      <c r="Q37" s="234"/>
      <c r="R37" s="234"/>
      <c r="S37" s="234"/>
      <c r="T37" s="234"/>
      <c r="U37" s="234" t="str">
        <f>IFERROR(__xludf.DUMMYFUNCTION("""COMPUTED_VALUE"""),"CGI Federal")</f>
        <v>CGI Federal</v>
      </c>
      <c r="V37" s="234">
        <f>IFERROR(__xludf.DUMMYFUNCTION("""COMPUTED_VALUE"""),"20")</f>
        <v>20</v>
      </c>
      <c r="W37" s="234" t="str">
        <f>IFERROR(__xludf.DUMMYFUNCTION("""COMPUTED_VALUE"""),"Axon Evidence.com")</f>
        <v>Axon Evidence.com</v>
      </c>
      <c r="X37" s="234">
        <f>IFERROR(__xludf.DUMMYFUNCTION("""COMPUTED_VALUE"""),"1")</f>
        <v>1</v>
      </c>
      <c r="Y37" s="234" t="str">
        <f>IFERROR(__xludf.DUMMYFUNCTION("""COMPUTED_VALUE"""),"HHS Office of the Inspector General")</f>
        <v>HHS Office of the Inspector General</v>
      </c>
      <c r="Z37" s="234">
        <f>IFERROR(__xludf.DUMMYFUNCTION("""COMPUTED_VALUE"""),"2")</f>
        <v>2</v>
      </c>
      <c r="AA37" s="234"/>
    </row>
    <row r="38" ht="14.25" customHeight="1">
      <c r="A38" s="234"/>
      <c r="B38" s="239" t="s">
        <v>1418</v>
      </c>
      <c r="C38" s="234"/>
      <c r="D38" s="239" t="s">
        <v>1576</v>
      </c>
      <c r="E38" s="239" t="s">
        <v>175</v>
      </c>
      <c r="F38" s="234"/>
      <c r="G38" s="234"/>
      <c r="H38" s="234"/>
      <c r="I38" s="234"/>
      <c r="J38" s="234"/>
      <c r="K38" s="234"/>
      <c r="L38" s="234"/>
      <c r="M38" s="234"/>
      <c r="N38" s="245"/>
      <c r="O38" s="239" t="s">
        <v>1577</v>
      </c>
      <c r="P38" s="234"/>
      <c r="Q38" s="234"/>
      <c r="R38" s="234"/>
      <c r="S38" s="234"/>
      <c r="T38" s="234"/>
      <c r="U38" s="234" t="str">
        <f>IFERROR(__xludf.DUMMYFUNCTION("""COMPUTED_VALUE"""),"CircleCI")</f>
        <v>CircleCI</v>
      </c>
      <c r="V38" s="234">
        <f>IFERROR(__xludf.DUMMYFUNCTION("""COMPUTED_VALUE"""),"1")</f>
        <v>1</v>
      </c>
      <c r="W38" s="234" t="str">
        <f>IFERROR(__xludf.DUMMYFUNCTION("""COMPUTED_VALUE"""),"Azure Commercial Cloud")</f>
        <v>Azure Commercial Cloud</v>
      </c>
      <c r="X38" s="234">
        <f>IFERROR(__xludf.DUMMYFUNCTION("""COMPUTED_VALUE"""),"27")</f>
        <v>27</v>
      </c>
      <c r="Y38" s="234" t="str">
        <f>IFERROR(__xludf.DUMMYFUNCTION("""COMPUTED_VALUE"""),"Health Resources and Services Administration")</f>
        <v>Health Resources and Services Administration</v>
      </c>
      <c r="Z38" s="234">
        <f>IFERROR(__xludf.DUMMYFUNCTION("""COMPUTED_VALUE"""),"1")</f>
        <v>1</v>
      </c>
      <c r="AA38" s="234"/>
    </row>
    <row r="39" ht="14.25" customHeight="1">
      <c r="A39" s="234"/>
      <c r="B39" s="240" t="s">
        <v>220</v>
      </c>
      <c r="C39" s="234"/>
      <c r="D39" s="239" t="s">
        <v>1582</v>
      </c>
      <c r="E39" s="239" t="s">
        <v>1012</v>
      </c>
      <c r="F39" s="234"/>
      <c r="G39" s="234"/>
      <c r="H39" s="234"/>
      <c r="I39" s="234"/>
      <c r="J39" s="234"/>
      <c r="K39" s="234"/>
      <c r="L39" s="234"/>
      <c r="M39" s="234"/>
      <c r="N39" s="245"/>
      <c r="O39" s="240" t="s">
        <v>1583</v>
      </c>
      <c r="P39" s="234"/>
      <c r="Q39" s="234"/>
      <c r="R39" s="234"/>
      <c r="S39" s="234"/>
      <c r="T39" s="234"/>
      <c r="U39" s="234" t="str">
        <f>IFERROR(__xludf.DUMMYFUNCTION("""COMPUTED_VALUE"""),"Cisco Systems Inc.")</f>
        <v>Cisco Systems Inc.</v>
      </c>
      <c r="V39" s="234">
        <f>IFERROR(__xludf.DUMMYFUNCTION("""COMPUTED_VALUE"""),"8")</f>
        <v>8</v>
      </c>
      <c r="W39" s="234" t="str">
        <f>IFERROR(__xludf.DUMMYFUNCTION("""COMPUTED_VALUE"""),"Azure Government")</f>
        <v>Azure Government</v>
      </c>
      <c r="X39" s="234">
        <f>IFERROR(__xludf.DUMMYFUNCTION("""COMPUTED_VALUE"""),"9")</f>
        <v>9</v>
      </c>
      <c r="Y39" s="234" t="str">
        <f>IFERROR(__xludf.DUMMYFUNCTION("""COMPUTED_VALUE"""),"Immigration and Customs Enforcement")</f>
        <v>Immigration and Customs Enforcement</v>
      </c>
      <c r="Z39" s="234">
        <f>IFERROR(__xludf.DUMMYFUNCTION("""COMPUTED_VALUE"""),"3")</f>
        <v>3</v>
      </c>
      <c r="AA39" s="234"/>
    </row>
    <row r="40" ht="14.25" customHeight="1">
      <c r="A40" s="234"/>
      <c r="B40" s="239" t="s">
        <v>1023</v>
      </c>
      <c r="C40" s="234"/>
      <c r="D40" s="240" t="s">
        <v>1587</v>
      </c>
      <c r="E40" s="240" t="s">
        <v>1023</v>
      </c>
      <c r="F40" s="234"/>
      <c r="G40" s="234"/>
      <c r="H40" s="234"/>
      <c r="I40" s="234"/>
      <c r="J40" s="234"/>
      <c r="K40" s="234"/>
      <c r="L40" s="234"/>
      <c r="M40" s="234"/>
      <c r="N40" s="245"/>
      <c r="O40" s="239" t="s">
        <v>1583</v>
      </c>
      <c r="P40" s="234"/>
      <c r="Q40" s="234"/>
      <c r="R40" s="234"/>
      <c r="S40" s="234"/>
      <c r="T40" s="234"/>
      <c r="U40" s="234" t="str">
        <f>IFERROR(__xludf.DUMMYFUNCTION("""COMPUTED_VALUE"""),"Clear Government Solutions (CGS)")</f>
        <v>Clear Government Solutions (CGS)</v>
      </c>
      <c r="V40" s="234">
        <f>IFERROR(__xludf.DUMMYFUNCTION("""COMPUTED_VALUE"""),"2")</f>
        <v>2</v>
      </c>
      <c r="W40" s="234" t="str">
        <f>IFERROR(__xludf.DUMMYFUNCTION("""COMPUTED_VALUE"""),"Beacon")</f>
        <v>Beacon</v>
      </c>
      <c r="X40" s="234">
        <f>IFERROR(__xludf.DUMMYFUNCTION("""COMPUTED_VALUE"""),"1")</f>
        <v>1</v>
      </c>
      <c r="Y40" s="234" t="str">
        <f>IFERROR(__xludf.DUMMYFUNCTION("""COMPUTED_VALUE"""),"Internal Revenue Service")</f>
        <v>Internal Revenue Service</v>
      </c>
      <c r="Z40" s="234">
        <f>IFERROR(__xludf.DUMMYFUNCTION("""COMPUTED_VALUE"""),"18")</f>
        <v>18</v>
      </c>
      <c r="AA40" s="234"/>
    </row>
    <row r="41" ht="14.25" customHeight="1">
      <c r="A41" s="234"/>
      <c r="B41" s="240" t="s">
        <v>327</v>
      </c>
      <c r="C41" s="234"/>
      <c r="D41" s="239" t="s">
        <v>1593</v>
      </c>
      <c r="E41" s="239" t="s">
        <v>1500</v>
      </c>
      <c r="F41" s="234"/>
      <c r="G41" s="234"/>
      <c r="H41" s="234"/>
      <c r="I41" s="234"/>
      <c r="J41" s="234"/>
      <c r="K41" s="234"/>
      <c r="L41" s="234"/>
      <c r="M41" s="234"/>
      <c r="N41" s="245"/>
      <c r="O41" s="240" t="s">
        <v>1594</v>
      </c>
      <c r="P41" s="234"/>
      <c r="Q41" s="234"/>
      <c r="R41" s="234"/>
      <c r="S41" s="234"/>
      <c r="T41" s="234"/>
      <c r="U41" s="234" t="str">
        <f>IFERROR(__xludf.DUMMYFUNCTION("""COMPUTED_VALUE"""),"Collab9")</f>
        <v>Collab9</v>
      </c>
      <c r="V41" s="234">
        <f>IFERROR(__xludf.DUMMYFUNCTION("""COMPUTED_VALUE"""),"1")</f>
        <v>1</v>
      </c>
      <c r="W41" s="234" t="str">
        <f>IFERROR(__xludf.DUMMYFUNCTION("""COMPUTED_VALUE"""),"BlackBerry Cloud - AtHoc Services for Government")</f>
        <v>BlackBerry Cloud - AtHoc Services for Government</v>
      </c>
      <c r="X41" s="234">
        <f>IFERROR(__xludf.DUMMYFUNCTION("""COMPUTED_VALUE"""),"9")</f>
        <v>9</v>
      </c>
      <c r="Y41" s="234" t="str">
        <f>IFERROR(__xludf.DUMMYFUNCTION("""COMPUTED_VALUE"""),"International Trade Administration")</f>
        <v>International Trade Administration</v>
      </c>
      <c r="Z41" s="234">
        <f>IFERROR(__xludf.DUMMYFUNCTION("""COMPUTED_VALUE"""),"6")</f>
        <v>6</v>
      </c>
      <c r="AA41" s="234"/>
    </row>
    <row r="42" ht="14.25" customHeight="1">
      <c r="A42" s="234"/>
      <c r="B42" s="239" t="s">
        <v>743</v>
      </c>
      <c r="C42" s="234"/>
      <c r="D42" s="239" t="s">
        <v>1599</v>
      </c>
      <c r="E42" s="239" t="s">
        <v>743</v>
      </c>
      <c r="F42" s="234"/>
      <c r="G42" s="234"/>
      <c r="H42" s="234"/>
      <c r="I42" s="234"/>
      <c r="J42" s="234"/>
      <c r="K42" s="234"/>
      <c r="L42" s="234"/>
      <c r="M42" s="234"/>
      <c r="N42" s="245"/>
      <c r="O42" s="239" t="s">
        <v>1600</v>
      </c>
      <c r="P42" s="234"/>
      <c r="Q42" s="234"/>
      <c r="R42" s="234"/>
      <c r="S42" s="234"/>
      <c r="T42" s="234"/>
      <c r="U42" s="234" t="str">
        <f>IFERROR(__xludf.DUMMYFUNCTION("""COMPUTED_VALUE"""),"Collibra")</f>
        <v>Collibra</v>
      </c>
      <c r="V42" s="234">
        <f>IFERROR(__xludf.DUMMYFUNCTION("""COMPUTED_VALUE"""),"1")</f>
        <v>1</v>
      </c>
      <c r="W42" s="234" t="str">
        <f>IFERROR(__xludf.DUMMYFUNCTION("""COMPUTED_VALUE"""),"Blackboard Learn SaaS")</f>
        <v>Blackboard Learn SaaS</v>
      </c>
      <c r="X42" s="234">
        <f>IFERROR(__xludf.DUMMYFUNCTION("""COMPUTED_VALUE"""),"1")</f>
        <v>1</v>
      </c>
      <c r="Y42" s="234" t="str">
        <f>IFERROR(__xludf.DUMMYFUNCTION("""COMPUTED_VALUE"""),"Joint Communications Support Element")</f>
        <v>Joint Communications Support Element</v>
      </c>
      <c r="Z42" s="234">
        <f>IFERROR(__xludf.DUMMYFUNCTION("""COMPUTED_VALUE"""),"1")</f>
        <v>1</v>
      </c>
      <c r="AA42" s="234"/>
    </row>
    <row r="43" ht="14.25" customHeight="1">
      <c r="A43" s="234"/>
      <c r="B43" s="240" t="s">
        <v>1538</v>
      </c>
      <c r="C43" s="234"/>
      <c r="D43" s="239" t="s">
        <v>1602</v>
      </c>
      <c r="E43" s="239" t="s">
        <v>1296</v>
      </c>
      <c r="F43" s="234"/>
      <c r="G43" s="234"/>
      <c r="H43" s="234"/>
      <c r="I43" s="234"/>
      <c r="J43" s="234"/>
      <c r="K43" s="234"/>
      <c r="L43" s="234"/>
      <c r="M43" s="234"/>
      <c r="N43" s="234"/>
      <c r="O43" s="240" t="s">
        <v>1603</v>
      </c>
      <c r="P43" s="234"/>
      <c r="Q43" s="234"/>
      <c r="R43" s="234"/>
      <c r="S43" s="234"/>
      <c r="T43" s="234"/>
      <c r="U43" s="234" t="str">
        <f>IFERROR(__xludf.DUMMYFUNCTION("""COMPUTED_VALUE"""),"Companion Data Services")</f>
        <v>Companion Data Services</v>
      </c>
      <c r="V43" s="234">
        <f>IFERROR(__xludf.DUMMYFUNCTION("""COMPUTED_VALUE"""),"1")</f>
        <v>1</v>
      </c>
      <c r="W43" s="234" t="str">
        <f>IFERROR(__xludf.DUMMYFUNCTION("""COMPUTED_VALUE"""),"BMC Remedy Fed-SaaS (BMC Remedy OnDemand for Public Sector)")</f>
        <v>BMC Remedy Fed-SaaS (BMC Remedy OnDemand for Public Sector)</v>
      </c>
      <c r="X43" s="234">
        <f>IFERROR(__xludf.DUMMYFUNCTION("""COMPUTED_VALUE"""),"2")</f>
        <v>2</v>
      </c>
      <c r="Y43" s="234" t="str">
        <f>IFERROR(__xludf.DUMMYFUNCTION("""COMPUTED_VALUE"""),"Justice Management Division")</f>
        <v>Justice Management Division</v>
      </c>
      <c r="Z43" s="234">
        <f>IFERROR(__xludf.DUMMYFUNCTION("""COMPUTED_VALUE"""),"3")</f>
        <v>3</v>
      </c>
      <c r="AA43" s="234"/>
    </row>
    <row r="44" ht="14.25" customHeight="1">
      <c r="A44" s="234"/>
      <c r="B44" s="239" t="s">
        <v>1541</v>
      </c>
      <c r="C44" s="234"/>
      <c r="D44" s="240" t="s">
        <v>1606</v>
      </c>
      <c r="E44" s="240" t="s">
        <v>1296</v>
      </c>
      <c r="F44" s="234"/>
      <c r="G44" s="234"/>
      <c r="H44" s="234"/>
      <c r="I44" s="234"/>
      <c r="J44" s="234"/>
      <c r="K44" s="234"/>
      <c r="L44" s="234"/>
      <c r="M44" s="234"/>
      <c r="N44" s="234"/>
      <c r="O44" s="239" t="s">
        <v>1608</v>
      </c>
      <c r="P44" s="234"/>
      <c r="Q44" s="234"/>
      <c r="R44" s="234"/>
      <c r="S44" s="234"/>
      <c r="T44" s="234"/>
      <c r="U44" s="234" t="str">
        <f>IFERROR(__xludf.DUMMYFUNCTION("""COMPUTED_VALUE"""),"Complete Discovery Source")</f>
        <v>Complete Discovery Source</v>
      </c>
      <c r="V44" s="234">
        <f>IFERROR(__xludf.DUMMYFUNCTION("""COMPUTED_VALUE"""),"1")</f>
        <v>1</v>
      </c>
      <c r="W44" s="234" t="str">
        <f>IFERROR(__xludf.DUMMYFUNCTION("""COMPUTED_VALUE"""),"Box Enterprise Cloud Content Collaboration Platform")</f>
        <v>Box Enterprise Cloud Content Collaboration Platform</v>
      </c>
      <c r="X44" s="234">
        <f>IFERROR(__xludf.DUMMYFUNCTION("""COMPUTED_VALUE"""),"10")</f>
        <v>10</v>
      </c>
      <c r="Y44" s="234" t="str">
        <f>IFERROR(__xludf.DUMMYFUNCTION("""COMPUTED_VALUE"""),"Los Alamos National Laboratory")</f>
        <v>Los Alamos National Laboratory</v>
      </c>
      <c r="Z44" s="234">
        <f>IFERROR(__xludf.DUMMYFUNCTION("""COMPUTED_VALUE"""),"3")</f>
        <v>3</v>
      </c>
      <c r="AA44" s="234"/>
    </row>
    <row r="45" ht="14.25" customHeight="1">
      <c r="A45" s="234"/>
      <c r="B45" s="240" t="s">
        <v>1610</v>
      </c>
      <c r="C45" s="234"/>
      <c r="D45" s="240" t="s">
        <v>1612</v>
      </c>
      <c r="E45" s="240" t="s">
        <v>1133</v>
      </c>
      <c r="F45" s="234"/>
      <c r="G45" s="234"/>
      <c r="H45" s="234"/>
      <c r="I45" s="234"/>
      <c r="J45" s="234"/>
      <c r="K45" s="234"/>
      <c r="L45" s="234"/>
      <c r="M45" s="234"/>
      <c r="N45" s="245"/>
      <c r="O45" s="240" t="s">
        <v>1613</v>
      </c>
      <c r="P45" s="234"/>
      <c r="Q45" s="234"/>
      <c r="R45" s="234"/>
      <c r="S45" s="234"/>
      <c r="T45" s="234"/>
      <c r="U45" s="234" t="str">
        <f>IFERROR(__xludf.DUMMYFUNCTION("""COMPUTED_VALUE"""),"Compusearch Software Systems, Inc.")</f>
        <v>Compusearch Software Systems, Inc.</v>
      </c>
      <c r="V45" s="234">
        <f>IFERROR(__xludf.DUMMYFUNCTION("""COMPUTED_VALUE"""),"2")</f>
        <v>2</v>
      </c>
      <c r="W45" s="234" t="str">
        <f>IFERROR(__xludf.DUMMYFUNCTION("""COMPUTED_VALUE"""),"Briidge.net Exchange™ for Connect.Gov ")</f>
        <v>Briidge.net Exchange™ for Connect.Gov </v>
      </c>
      <c r="X45" s="234">
        <f>IFERROR(__xludf.DUMMYFUNCTION("""COMPUTED_VALUE"""),"3")</f>
        <v>3</v>
      </c>
      <c r="Y45" s="234" t="str">
        <f>IFERROR(__xludf.DUMMYFUNCTION("""COMPUTED_VALUE"""),"National Appeals Division")</f>
        <v>National Appeals Division</v>
      </c>
      <c r="Z45" s="234">
        <f>IFERROR(__xludf.DUMMYFUNCTION("""COMPUTED_VALUE"""),"1")</f>
        <v>1</v>
      </c>
      <c r="AA45" s="234"/>
    </row>
    <row r="46" ht="14.25" customHeight="1">
      <c r="A46" s="234"/>
      <c r="B46" s="239" t="s">
        <v>1544</v>
      </c>
      <c r="C46" s="234"/>
      <c r="D46" s="240" t="s">
        <v>876</v>
      </c>
      <c r="E46" s="240" t="s">
        <v>175</v>
      </c>
      <c r="F46" s="234"/>
      <c r="G46" s="234"/>
      <c r="H46" s="234"/>
      <c r="I46" s="234"/>
      <c r="J46" s="234"/>
      <c r="K46" s="234"/>
      <c r="L46" s="234"/>
      <c r="M46" s="234"/>
      <c r="N46" s="234"/>
      <c r="O46" s="239" t="s">
        <v>1615</v>
      </c>
      <c r="P46" s="234"/>
      <c r="Q46" s="234"/>
      <c r="R46" s="234"/>
      <c r="S46" s="234"/>
      <c r="T46" s="234"/>
      <c r="U46" s="234" t="str">
        <f>IFERROR(__xludf.DUMMYFUNCTION("""COMPUTED_VALUE"""),"Concurrent Technologies Corporation")</f>
        <v>Concurrent Technologies Corporation</v>
      </c>
      <c r="V46" s="234">
        <f>IFERROR(__xludf.DUMMYFUNCTION("""COMPUTED_VALUE"""),"2")</f>
        <v>2</v>
      </c>
      <c r="W46" s="234" t="str">
        <f>IFERROR(__xludf.DUMMYFUNCTION("""COMPUTED_VALUE"""),"BroadSoft Government Cloud")</f>
        <v>BroadSoft Government Cloud</v>
      </c>
      <c r="X46" s="234">
        <f>IFERROR(__xludf.DUMMYFUNCTION("""COMPUTED_VALUE"""),"1")</f>
        <v>1</v>
      </c>
      <c r="Y46" s="234" t="str">
        <f>IFERROR(__xludf.DUMMYFUNCTION("""COMPUTED_VALUE"""),"National Cancer Institute")</f>
        <v>National Cancer Institute</v>
      </c>
      <c r="Z46" s="234">
        <f>IFERROR(__xludf.DUMMYFUNCTION("""COMPUTED_VALUE"""),"3")</f>
        <v>3</v>
      </c>
      <c r="AA46" s="234"/>
    </row>
    <row r="47" ht="14.25" customHeight="1">
      <c r="A47" s="234"/>
      <c r="B47" s="240" t="s">
        <v>1296</v>
      </c>
      <c r="C47" s="234"/>
      <c r="D47" s="251" t="s">
        <v>1050</v>
      </c>
      <c r="E47" s="239" t="s">
        <v>142</v>
      </c>
      <c r="F47" s="234"/>
      <c r="G47" s="234"/>
      <c r="H47" s="234"/>
      <c r="I47" s="234"/>
      <c r="J47" s="234"/>
      <c r="K47" s="234"/>
      <c r="L47" s="234"/>
      <c r="M47" s="234"/>
      <c r="N47" s="234"/>
      <c r="O47" s="240" t="s">
        <v>1617</v>
      </c>
      <c r="P47" s="234"/>
      <c r="Q47" s="234"/>
      <c r="R47" s="234"/>
      <c r="S47" s="234"/>
      <c r="T47" s="234"/>
      <c r="U47" s="234" t="str">
        <f>IFERROR(__xludf.DUMMYFUNCTION("""COMPUTED_VALUE"""),"Conservation Biology Institute")</f>
        <v>Conservation Biology Institute</v>
      </c>
      <c r="V47" s="234">
        <f>IFERROR(__xludf.DUMMYFUNCTION("""COMPUTED_VALUE"""),"1")</f>
        <v>1</v>
      </c>
      <c r="W47" s="234" t="str">
        <f>IFERROR(__xludf.DUMMYFUNCTION("""COMPUTED_VALUE"""),"CA Infrastructure General Support Systems (GSS)")</f>
        <v>CA Infrastructure General Support Systems (GSS)</v>
      </c>
      <c r="X47" s="234">
        <f>IFERROR(__xludf.DUMMYFUNCTION("""COMPUTED_VALUE"""),"1")</f>
        <v>1</v>
      </c>
      <c r="Y47" s="234" t="str">
        <f>IFERROR(__xludf.DUMMYFUNCTION("""COMPUTED_VALUE"""),"National Finance Center")</f>
        <v>National Finance Center</v>
      </c>
      <c r="Z47" s="234">
        <f>IFERROR(__xludf.DUMMYFUNCTION("""COMPUTED_VALUE"""),"1")</f>
        <v>1</v>
      </c>
      <c r="AA47" s="234"/>
    </row>
    <row r="48" ht="14.25" customHeight="1">
      <c r="A48" s="234"/>
      <c r="B48" s="239" t="s">
        <v>1551</v>
      </c>
      <c r="C48" s="234"/>
      <c r="D48" s="239" t="s">
        <v>1619</v>
      </c>
      <c r="E48" s="239" t="s">
        <v>142</v>
      </c>
      <c r="F48" s="234"/>
      <c r="G48" s="234"/>
      <c r="H48" s="234"/>
      <c r="I48" s="234"/>
      <c r="J48" s="234"/>
      <c r="K48" s="234"/>
      <c r="L48" s="234"/>
      <c r="M48" s="234"/>
      <c r="N48" s="234"/>
      <c r="O48" s="239" t="s">
        <v>1621</v>
      </c>
      <c r="P48" s="234"/>
      <c r="Q48" s="234"/>
      <c r="R48" s="234"/>
      <c r="S48" s="234"/>
      <c r="T48" s="234"/>
      <c r="U48" s="234" t="str">
        <f>IFERROR(__xludf.DUMMYFUNCTION("""COMPUTED_VALUE"""),"Coras")</f>
        <v>Coras</v>
      </c>
      <c r="V48" s="234">
        <f>IFERROR(__xludf.DUMMYFUNCTION("""COMPUTED_VALUE"""),"1")</f>
        <v>1</v>
      </c>
      <c r="W48" s="234" t="str">
        <f>IFERROR(__xludf.DUMMYFUNCTION("""COMPUTED_VALUE"""),"CA Project &amp; Portfolio Management (PPM)")</f>
        <v>CA Project &amp; Portfolio Management (PPM)</v>
      </c>
      <c r="X48" s="234">
        <f>IFERROR(__xludf.DUMMYFUNCTION("""COMPUTED_VALUE"""),"1")</f>
        <v>1</v>
      </c>
      <c r="Y48" s="234" t="str">
        <f>IFERROR(__xludf.DUMMYFUNCTION("""COMPUTED_VALUE"""),"National Geospatial-Intelligence Agency")</f>
        <v>National Geospatial-Intelligence Agency</v>
      </c>
      <c r="Z48" s="234">
        <f>IFERROR(__xludf.DUMMYFUNCTION("""COMPUTED_VALUE"""),"1")</f>
        <v>1</v>
      </c>
      <c r="AA48" s="234"/>
    </row>
    <row r="49" ht="14.25" customHeight="1">
      <c r="A49" s="234"/>
      <c r="B49" s="240" t="s">
        <v>1559</v>
      </c>
      <c r="C49" s="234"/>
      <c r="D49" s="239" t="s">
        <v>1627</v>
      </c>
      <c r="E49" s="239" t="s">
        <v>220</v>
      </c>
      <c r="F49" s="234"/>
      <c r="G49" s="234"/>
      <c r="H49" s="234"/>
      <c r="I49" s="234"/>
      <c r="J49" s="234"/>
      <c r="K49" s="234"/>
      <c r="L49" s="234"/>
      <c r="M49" s="234"/>
      <c r="N49" s="234"/>
      <c r="O49" s="240" t="s">
        <v>1629</v>
      </c>
      <c r="P49" s="234"/>
      <c r="Q49" s="234"/>
      <c r="R49" s="234"/>
      <c r="S49" s="234"/>
      <c r="T49" s="234"/>
      <c r="U49" s="234" t="str">
        <f>IFERROR(__xludf.DUMMYFUNCTION("""COMPUTED_VALUE"""),"Cornerstone OnDemand")</f>
        <v>Cornerstone OnDemand</v>
      </c>
      <c r="V49" s="234">
        <f>IFERROR(__xludf.DUMMYFUNCTION("""COMPUTED_VALUE"""),"9")</f>
        <v>9</v>
      </c>
      <c r="W49" s="234" t="str">
        <f>IFERROR(__xludf.DUMMYFUNCTION("""COMPUTED_VALUE"""),"CDS Cloud Companion System")</f>
        <v>CDS Cloud Companion System</v>
      </c>
      <c r="X49" s="234">
        <f>IFERROR(__xludf.DUMMYFUNCTION("""COMPUTED_VALUE"""),"1")</f>
        <v>1</v>
      </c>
      <c r="Y49" s="234" t="str">
        <f>IFERROR(__xludf.DUMMYFUNCTION("""COMPUTED_VALUE"""),"National Institute of Food and Agriculture")</f>
        <v>National Institute of Food and Agriculture</v>
      </c>
      <c r="Z49" s="234">
        <f>IFERROR(__xludf.DUMMYFUNCTION("""COMPUTED_VALUE"""),"1")</f>
        <v>1</v>
      </c>
      <c r="AA49" s="234"/>
    </row>
    <row r="50" ht="14.25" customHeight="1">
      <c r="A50" s="234"/>
      <c r="B50" s="239" t="s">
        <v>1565</v>
      </c>
      <c r="C50" s="234"/>
      <c r="D50" s="240" t="s">
        <v>1638</v>
      </c>
      <c r="E50" s="240" t="s">
        <v>989</v>
      </c>
      <c r="F50" s="234"/>
      <c r="G50" s="234"/>
      <c r="H50" s="234"/>
      <c r="I50" s="234"/>
      <c r="J50" s="234"/>
      <c r="K50" s="234"/>
      <c r="L50" s="234"/>
      <c r="M50" s="234"/>
      <c r="N50" s="234"/>
      <c r="O50" s="239" t="s">
        <v>1640</v>
      </c>
      <c r="P50" s="234"/>
      <c r="Q50" s="234"/>
      <c r="R50" s="234"/>
      <c r="S50" s="234"/>
      <c r="T50" s="234"/>
      <c r="U50" s="234" t="str">
        <f>IFERROR(__xludf.DUMMYFUNCTION("""COMPUTED_VALUE"""),"CoSo Cloud, LLC.")</f>
        <v>CoSo Cloud, LLC.</v>
      </c>
      <c r="V50" s="234">
        <f>IFERROR(__xludf.DUMMYFUNCTION("""COMPUTED_VALUE"""),"3")</f>
        <v>3</v>
      </c>
      <c r="W50" s="234" t="str">
        <f>IFERROR(__xludf.DUMMYFUNCTION("""COMPUTED_VALUE"""),"Centrify Identity Services &amp; Centrify Privilege Services")</f>
        <v>Centrify Identity Services &amp; Centrify Privilege Services</v>
      </c>
      <c r="X50" s="234">
        <f>IFERROR(__xludf.DUMMYFUNCTION("""COMPUTED_VALUE"""),"1")</f>
        <v>1</v>
      </c>
      <c r="Y50" s="234" t="str">
        <f>IFERROR(__xludf.DUMMYFUNCTION("""COMPUTED_VALUE"""),"National Institute of Standards and Technology")</f>
        <v>National Institute of Standards and Technology</v>
      </c>
      <c r="Z50" s="234">
        <f>IFERROR(__xludf.DUMMYFUNCTION("""COMPUTED_VALUE"""),"13")</f>
        <v>13</v>
      </c>
      <c r="AA50" s="234"/>
    </row>
    <row r="51" ht="14.25" customHeight="1">
      <c r="A51" s="234"/>
      <c r="B51" s="240" t="s">
        <v>1567</v>
      </c>
      <c r="C51" s="234"/>
      <c r="D51" s="240" t="s">
        <v>1638</v>
      </c>
      <c r="E51" s="240" t="s">
        <v>743</v>
      </c>
      <c r="F51" s="234"/>
      <c r="G51" s="234"/>
      <c r="H51" s="234"/>
      <c r="I51" s="234"/>
      <c r="J51" s="234"/>
      <c r="K51" s="234"/>
      <c r="L51" s="234"/>
      <c r="M51" s="234"/>
      <c r="N51" s="234"/>
      <c r="O51" s="240" t="s">
        <v>605</v>
      </c>
      <c r="P51" s="234"/>
      <c r="Q51" s="234"/>
      <c r="R51" s="234"/>
      <c r="S51" s="234"/>
      <c r="T51" s="234"/>
      <c r="U51" s="234" t="str">
        <f>IFERROR(__xludf.DUMMYFUNCTION("""COMPUTED_VALUE"""),"CrowdStrike, Inc.")</f>
        <v>CrowdStrike, Inc.</v>
      </c>
      <c r="V51" s="234">
        <f>IFERROR(__xludf.DUMMYFUNCTION("""COMPUTED_VALUE"""),"1")</f>
        <v>1</v>
      </c>
      <c r="W51" s="234" t="str">
        <f>IFERROR(__xludf.DUMMYFUNCTION("""COMPUTED_VALUE"""),"CGI IaaS Cloud")</f>
        <v>CGI IaaS Cloud</v>
      </c>
      <c r="X51" s="234">
        <f>IFERROR(__xludf.DUMMYFUNCTION("""COMPUTED_VALUE"""),"20")</f>
        <v>20</v>
      </c>
      <c r="Y51" s="234" t="str">
        <f>IFERROR(__xludf.DUMMYFUNCTION("""COMPUTED_VALUE"""),"National Institutes of Health")</f>
        <v>National Institutes of Health</v>
      </c>
      <c r="Z51" s="234">
        <f>IFERROR(__xludf.DUMMYFUNCTION("""COMPUTED_VALUE"""),"7")</f>
        <v>7</v>
      </c>
      <c r="AA51" s="234"/>
    </row>
    <row r="52" ht="14.25" customHeight="1">
      <c r="A52" s="234"/>
      <c r="B52" s="239" t="s">
        <v>1570</v>
      </c>
      <c r="C52" s="234"/>
      <c r="D52" s="240" t="s">
        <v>1647</v>
      </c>
      <c r="E52" s="240" t="s">
        <v>850</v>
      </c>
      <c r="F52" s="234"/>
      <c r="G52" s="234"/>
      <c r="H52" s="234"/>
      <c r="I52" s="234"/>
      <c r="J52" s="234"/>
      <c r="K52" s="234"/>
      <c r="L52" s="234"/>
      <c r="M52" s="234"/>
      <c r="N52" s="234"/>
      <c r="O52" s="239" t="s">
        <v>1648</v>
      </c>
      <c r="P52" s="234"/>
      <c r="Q52" s="234"/>
      <c r="R52" s="234"/>
      <c r="S52" s="234"/>
      <c r="T52" s="234"/>
      <c r="U52" s="234" t="str">
        <f>IFERROR(__xludf.DUMMYFUNCTION("""COMPUTED_VALUE"""),"Cylance, Inc.")</f>
        <v>Cylance, Inc.</v>
      </c>
      <c r="V52" s="234">
        <f>IFERROR(__xludf.DUMMYFUNCTION("""COMPUTED_VALUE"""),"2")</f>
        <v>2</v>
      </c>
      <c r="W52" s="234" t="str">
        <f>IFERROR(__xludf.DUMMYFUNCTION("""COMPUTED_VALUE"""),"CircleCI Cloud")</f>
        <v>CircleCI Cloud</v>
      </c>
      <c r="X52" s="234">
        <f>IFERROR(__xludf.DUMMYFUNCTION("""COMPUTED_VALUE"""),"1")</f>
        <v>1</v>
      </c>
      <c r="Y52" s="234" t="str">
        <f>IFERROR(__xludf.DUMMYFUNCTION("""COMPUTED_VALUE"""),"National Institutes of Standards and Technology")</f>
        <v>National Institutes of Standards and Technology</v>
      </c>
      <c r="Z52" s="234">
        <f>IFERROR(__xludf.DUMMYFUNCTION("""COMPUTED_VALUE"""),"1")</f>
        <v>1</v>
      </c>
      <c r="AA52" s="234"/>
    </row>
    <row r="53" ht="14.25" customHeight="1">
      <c r="A53" s="234"/>
      <c r="B53" s="240" t="s">
        <v>1510</v>
      </c>
      <c r="C53" s="234"/>
      <c r="D53" s="239" t="s">
        <v>1647</v>
      </c>
      <c r="E53" s="239" t="s">
        <v>954</v>
      </c>
      <c r="F53" s="234"/>
      <c r="G53" s="234"/>
      <c r="H53" s="234"/>
      <c r="I53" s="234"/>
      <c r="J53" s="234"/>
      <c r="K53" s="234"/>
      <c r="L53" s="234"/>
      <c r="M53" s="234"/>
      <c r="N53" s="234"/>
      <c r="O53" s="240" t="s">
        <v>1653</v>
      </c>
      <c r="P53" s="234"/>
      <c r="Q53" s="234"/>
      <c r="R53" s="234"/>
      <c r="S53" s="234"/>
      <c r="T53" s="234"/>
      <c r="U53" s="234" t="str">
        <f>IFERROR(__xludf.DUMMYFUNCTION("""COMPUTED_VALUE"""),"Decision Lens Inc.")</f>
        <v>Decision Lens Inc.</v>
      </c>
      <c r="V53" s="234">
        <f>IFERROR(__xludf.DUMMYFUNCTION("""COMPUTED_VALUE"""),"2")</f>
        <v>2</v>
      </c>
      <c r="W53" s="234" t="str">
        <f>IFERROR(__xludf.DUMMYFUNCTION("""COMPUTED_VALUE"""),"Cisco Cloudlock for Government")</f>
        <v>Cisco Cloudlock for Government</v>
      </c>
      <c r="X53" s="234">
        <f>IFERROR(__xludf.DUMMYFUNCTION("""COMPUTED_VALUE"""),"1")</f>
        <v>1</v>
      </c>
      <c r="Y53" s="234" t="str">
        <f>IFERROR(__xludf.DUMMYFUNCTION("""COMPUTED_VALUE"""),"National Nuclear Security Administration / Lawrence Livermore National Laboratory")</f>
        <v>National Nuclear Security Administration / Lawrence Livermore National Laboratory</v>
      </c>
      <c r="Z53" s="234">
        <f>IFERROR(__xludf.DUMMYFUNCTION("""COMPUTED_VALUE"""),"5")</f>
        <v>5</v>
      </c>
      <c r="AA53" s="234"/>
    </row>
    <row r="54" ht="14.25" customHeight="1">
      <c r="A54" s="234"/>
      <c r="B54" s="239" t="s">
        <v>1577</v>
      </c>
      <c r="C54" s="234"/>
      <c r="D54" s="239" t="s">
        <v>1647</v>
      </c>
      <c r="E54" s="239" t="s">
        <v>989</v>
      </c>
      <c r="F54" s="234"/>
      <c r="G54" s="234"/>
      <c r="H54" s="234"/>
      <c r="I54" s="234"/>
      <c r="J54" s="234"/>
      <c r="K54" s="234"/>
      <c r="L54" s="234"/>
      <c r="M54" s="234"/>
      <c r="N54" s="234"/>
      <c r="O54" s="239" t="s">
        <v>1659</v>
      </c>
      <c r="P54" s="234"/>
      <c r="Q54" s="234"/>
      <c r="R54" s="234"/>
      <c r="S54" s="234"/>
      <c r="T54" s="234"/>
      <c r="U54" s="234" t="str">
        <f>IFERROR(__xludf.DUMMYFUNCTION("""COMPUTED_VALUE"""),"Deloitte")</f>
        <v>Deloitte</v>
      </c>
      <c r="V54" s="234">
        <f>IFERROR(__xludf.DUMMYFUNCTION("""COMPUTED_VALUE"""),"4")</f>
        <v>4</v>
      </c>
      <c r="W54" s="234" t="str">
        <f>IFERROR(__xludf.DUMMYFUNCTION("""COMPUTED_VALUE"""),"Cisco Hosted Collaboration Solution for Government (HCS-G)")</f>
        <v>Cisco Hosted Collaboration Solution for Government (HCS-G)</v>
      </c>
      <c r="X54" s="234">
        <f>IFERROR(__xludf.DUMMYFUNCTION("""COMPUTED_VALUE"""),"1")</f>
        <v>1</v>
      </c>
      <c r="Y54" s="234" t="str">
        <f>IFERROR(__xludf.DUMMYFUNCTION("""COMPUTED_VALUE"""),"National Oceanic and Atmospheric Administration")</f>
        <v>National Oceanic and Atmospheric Administration</v>
      </c>
      <c r="Z54" s="234">
        <f>IFERROR(__xludf.DUMMYFUNCTION("""COMPUTED_VALUE"""),"14")</f>
        <v>14</v>
      </c>
      <c r="AA54" s="234"/>
    </row>
    <row r="55" ht="14.25" customHeight="1">
      <c r="A55" s="234"/>
      <c r="B55" s="240" t="s">
        <v>1583</v>
      </c>
      <c r="C55" s="234"/>
      <c r="D55" s="240" t="s">
        <v>1647</v>
      </c>
      <c r="E55" s="240" t="s">
        <v>196</v>
      </c>
      <c r="F55" s="234"/>
      <c r="G55" s="234"/>
      <c r="H55" s="234"/>
      <c r="I55" s="234"/>
      <c r="J55" s="234"/>
      <c r="K55" s="234"/>
      <c r="L55" s="234"/>
      <c r="M55" s="234"/>
      <c r="N55" s="234"/>
      <c r="O55" s="240" t="s">
        <v>1663</v>
      </c>
      <c r="P55" s="234"/>
      <c r="Q55" s="234"/>
      <c r="R55" s="234"/>
      <c r="S55" s="234"/>
      <c r="T55" s="234"/>
      <c r="U55" s="234" t="str">
        <f>IFERROR(__xludf.DUMMYFUNCTION("""COMPUTED_VALUE"""),"Distributed Solutions, Inc.")</f>
        <v>Distributed Solutions, Inc.</v>
      </c>
      <c r="V55" s="234">
        <f>IFERROR(__xludf.DUMMYFUNCTION("""COMPUTED_VALUE"""),"1")</f>
        <v>1</v>
      </c>
      <c r="W55" s="234" t="str">
        <f>IFERROR(__xludf.DUMMYFUNCTION("""COMPUTED_VALUE"""),"Cisco WebEx")</f>
        <v>Cisco WebEx</v>
      </c>
      <c r="X55" s="234">
        <f>IFERROR(__xludf.DUMMYFUNCTION("""COMPUTED_VALUE"""),"2")</f>
        <v>2</v>
      </c>
      <c r="Y55" s="234" t="str">
        <f>IFERROR(__xludf.DUMMYFUNCTION("""COMPUTED_VALUE"""),"National Renewable Energy Laboratory")</f>
        <v>National Renewable Energy Laboratory</v>
      </c>
      <c r="Z55" s="234">
        <f>IFERROR(__xludf.DUMMYFUNCTION("""COMPUTED_VALUE"""),"3")</f>
        <v>3</v>
      </c>
      <c r="AA55" s="234"/>
    </row>
    <row r="56" ht="14.25" customHeight="1">
      <c r="A56" s="234"/>
      <c r="B56" s="239" t="s">
        <v>1583</v>
      </c>
      <c r="C56" s="234"/>
      <c r="D56" s="239" t="s">
        <v>1647</v>
      </c>
      <c r="E56" s="239" t="s">
        <v>1195</v>
      </c>
      <c r="F56" s="234"/>
      <c r="G56" s="234"/>
      <c r="H56" s="234"/>
      <c r="I56" s="234"/>
      <c r="J56" s="234"/>
      <c r="K56" s="234"/>
      <c r="L56" s="234"/>
      <c r="M56" s="234"/>
      <c r="N56" s="234"/>
      <c r="O56" s="239" t="s">
        <v>1665</v>
      </c>
      <c r="P56" s="234"/>
      <c r="Q56" s="234"/>
      <c r="R56" s="234"/>
      <c r="S56" s="234"/>
      <c r="T56" s="234"/>
      <c r="U56" s="234" t="str">
        <f>IFERROR(__xludf.DUMMYFUNCTION("""COMPUTED_VALUE"""),"DNAnexus, Inc.")</f>
        <v>DNAnexus, Inc.</v>
      </c>
      <c r="V56" s="234">
        <f>IFERROR(__xludf.DUMMYFUNCTION("""COMPUTED_VALUE"""),"1")</f>
        <v>1</v>
      </c>
      <c r="W56" s="234" t="str">
        <f>IFERROR(__xludf.DUMMYFUNCTION("""COMPUTED_VALUE"""),"Cisco WebEx  ")</f>
        <v>Cisco WebEx  </v>
      </c>
      <c r="X56" s="234">
        <f>IFERROR(__xludf.DUMMYFUNCTION("""COMPUTED_VALUE"""),"2")</f>
        <v>2</v>
      </c>
      <c r="Y56" s="234" t="str">
        <f>IFERROR(__xludf.DUMMYFUNCTION("""COMPUTED_VALUE"""),"National Technical Information Service")</f>
        <v>National Technical Information Service</v>
      </c>
      <c r="Z56" s="234">
        <f>IFERROR(__xludf.DUMMYFUNCTION("""COMPUTED_VALUE"""),"5")</f>
        <v>5</v>
      </c>
      <c r="AA56" s="234"/>
    </row>
    <row r="57" ht="14.25" customHeight="1">
      <c r="A57" s="234"/>
      <c r="B57" s="240" t="s">
        <v>1594</v>
      </c>
      <c r="C57" s="234"/>
      <c r="D57" s="239" t="s">
        <v>1666</v>
      </c>
      <c r="E57" s="239" t="s">
        <v>175</v>
      </c>
      <c r="F57" s="234"/>
      <c r="G57" s="234"/>
      <c r="H57" s="234"/>
      <c r="I57" s="234"/>
      <c r="J57" s="234"/>
      <c r="K57" s="234"/>
      <c r="L57" s="234"/>
      <c r="M57" s="234"/>
      <c r="N57" s="234"/>
      <c r="O57" s="240" t="s">
        <v>1667</v>
      </c>
      <c r="P57" s="234"/>
      <c r="Q57" s="234"/>
      <c r="R57" s="234"/>
      <c r="S57" s="234"/>
      <c r="T57" s="234"/>
      <c r="U57" s="234" t="str">
        <f>IFERROR(__xludf.DUMMYFUNCTION("""COMPUTED_VALUE"""),"DocuSign")</f>
        <v>DocuSign</v>
      </c>
      <c r="V57" s="234">
        <f>IFERROR(__xludf.DUMMYFUNCTION("""COMPUTED_VALUE"""),"1")</f>
        <v>1</v>
      </c>
      <c r="W57" s="234" t="str">
        <f>IFERROR(__xludf.DUMMYFUNCTION("""COMPUTED_VALUE"""),"Cisco WebEx Teams")</f>
        <v>Cisco WebEx Teams</v>
      </c>
      <c r="X57" s="234">
        <f>IFERROR(__xludf.DUMMYFUNCTION("""COMPUTED_VALUE"""),"1")</f>
        <v>1</v>
      </c>
      <c r="Y57" s="234" t="str">
        <f>IFERROR(__xludf.DUMMYFUNCTION("""COMPUTED_VALUE"""),"National Telecommunications and Information Administration")</f>
        <v>National Telecommunications and Information Administration</v>
      </c>
      <c r="Z57" s="234">
        <f>IFERROR(__xludf.DUMMYFUNCTION("""COMPUTED_VALUE"""),"4")</f>
        <v>4</v>
      </c>
      <c r="AA57" s="234"/>
    </row>
    <row r="58" ht="14.25" customHeight="1">
      <c r="A58" s="234"/>
      <c r="B58" s="239" t="s">
        <v>1600</v>
      </c>
      <c r="C58" s="234"/>
      <c r="D58" s="240" t="s">
        <v>1673</v>
      </c>
      <c r="E58" s="240" t="s">
        <v>220</v>
      </c>
      <c r="F58" s="234"/>
      <c r="G58" s="234"/>
      <c r="H58" s="234"/>
      <c r="I58" s="234"/>
      <c r="J58" s="234"/>
      <c r="K58" s="234"/>
      <c r="L58" s="234"/>
      <c r="M58" s="234"/>
      <c r="N58" s="234"/>
      <c r="O58" s="239" t="s">
        <v>1674</v>
      </c>
      <c r="P58" s="234"/>
      <c r="Q58" s="234"/>
      <c r="R58" s="234"/>
      <c r="S58" s="234"/>
      <c r="T58" s="234"/>
      <c r="U58" s="234" t="str">
        <f>IFERROR(__xludf.DUMMYFUNCTION("""COMPUTED_VALUE"""),"DOMA Technologies, LLC")</f>
        <v>DOMA Technologies, LLC</v>
      </c>
      <c r="V58" s="234">
        <f>IFERROR(__xludf.DUMMYFUNCTION("""COMPUTED_VALUE"""),"1")</f>
        <v>1</v>
      </c>
      <c r="W58" s="234" t="str">
        <f>IFERROR(__xludf.DUMMYFUNCTION("""COMPUTED_VALUE"""),"Cloud Access Security Broker for Government")</f>
        <v>Cloud Access Security Broker for Government</v>
      </c>
      <c r="X58" s="234">
        <f>IFERROR(__xludf.DUMMYFUNCTION("""COMPUTED_VALUE"""),"6")</f>
        <v>6</v>
      </c>
      <c r="Y58" s="234" t="str">
        <f>IFERROR(__xludf.DUMMYFUNCTION("""COMPUTED_VALUE"""),"Oak Ridge National Laboratory")</f>
        <v>Oak Ridge National Laboratory</v>
      </c>
      <c r="Z58" s="234">
        <f>IFERROR(__xludf.DUMMYFUNCTION("""COMPUTED_VALUE"""),"1")</f>
        <v>1</v>
      </c>
      <c r="AA58" s="234"/>
    </row>
    <row r="59" ht="14.25" customHeight="1">
      <c r="A59" s="234"/>
      <c r="B59" s="240" t="s">
        <v>1603</v>
      </c>
      <c r="C59" s="234"/>
      <c r="D59" s="239" t="s">
        <v>1673</v>
      </c>
      <c r="E59" s="239" t="s">
        <v>1023</v>
      </c>
      <c r="F59" s="234"/>
      <c r="G59" s="234"/>
      <c r="H59" s="234"/>
      <c r="I59" s="234"/>
      <c r="J59" s="234"/>
      <c r="K59" s="234"/>
      <c r="L59" s="234"/>
      <c r="M59" s="234"/>
      <c r="N59" s="234"/>
      <c r="O59" s="240" t="s">
        <v>1681</v>
      </c>
      <c r="P59" s="234"/>
      <c r="Q59" s="234"/>
      <c r="R59" s="234"/>
      <c r="S59" s="234"/>
      <c r="T59" s="234"/>
      <c r="U59" s="234" t="str">
        <f>IFERROR(__xludf.DUMMYFUNCTION("""COMPUTED_VALUE"""),"Druva, Inc. ")</f>
        <v>Druva, Inc. </v>
      </c>
      <c r="V59" s="234">
        <f>IFERROR(__xludf.DUMMYFUNCTION("""COMPUTED_VALUE"""),"1")</f>
        <v>1</v>
      </c>
      <c r="W59" s="234" t="str">
        <f>IFERROR(__xludf.DUMMYFUNCTION("""COMPUTED_VALUE"""),"Cloud Assured Managed Services (CAMS)")</f>
        <v>Cloud Assured Managed Services (CAMS)</v>
      </c>
      <c r="X59" s="234">
        <f>IFERROR(__xludf.DUMMYFUNCTION("""COMPUTED_VALUE"""),"1")</f>
        <v>1</v>
      </c>
      <c r="Y59" s="234" t="str">
        <f>IFERROR(__xludf.DUMMYFUNCTION("""COMPUTED_VALUE"""),"Office of Energy Efficiency &amp; Renewable Energy")</f>
        <v>Office of Energy Efficiency &amp; Renewable Energy</v>
      </c>
      <c r="Z59" s="234">
        <f>IFERROR(__xludf.DUMMYFUNCTION("""COMPUTED_VALUE"""),"1")</f>
        <v>1</v>
      </c>
      <c r="AA59" s="234"/>
    </row>
    <row r="60" ht="14.25" customHeight="1">
      <c r="A60" s="234"/>
      <c r="B60" s="239" t="s">
        <v>1608</v>
      </c>
      <c r="C60" s="234"/>
      <c r="D60" s="239" t="s">
        <v>1683</v>
      </c>
      <c r="E60" s="239" t="s">
        <v>1510</v>
      </c>
      <c r="F60" s="234"/>
      <c r="G60" s="234"/>
      <c r="H60" s="234"/>
      <c r="I60" s="234"/>
      <c r="J60" s="234"/>
      <c r="K60" s="234"/>
      <c r="L60" s="234"/>
      <c r="M60" s="234"/>
      <c r="N60" s="234"/>
      <c r="O60" s="239" t="s">
        <v>1684</v>
      </c>
      <c r="P60" s="234"/>
      <c r="Q60" s="234"/>
      <c r="R60" s="234"/>
      <c r="S60" s="234"/>
      <c r="T60" s="234"/>
      <c r="U60" s="234" t="str">
        <f>IFERROR(__xludf.DUMMYFUNCTION("""COMPUTED_VALUE"""),"DXC Technology")</f>
        <v>DXC Technology</v>
      </c>
      <c r="V60" s="234">
        <f>IFERROR(__xludf.DUMMYFUNCTION("""COMPUTED_VALUE"""),"4")</f>
        <v>4</v>
      </c>
      <c r="W60" s="234" t="str">
        <f>IFERROR(__xludf.DUMMYFUNCTION("""COMPUTED_VALUE"""),"Cloud Managed Services for Government - DoD")</f>
        <v>Cloud Managed Services for Government - DoD</v>
      </c>
      <c r="X60" s="234">
        <f>IFERROR(__xludf.DUMMYFUNCTION("""COMPUTED_VALUE"""),"2")</f>
        <v>2</v>
      </c>
      <c r="Y60" s="234" t="str">
        <f>IFERROR(__xludf.DUMMYFUNCTION("""COMPUTED_VALUE"""),"Office of Justice Programs")</f>
        <v>Office of Justice Programs</v>
      </c>
      <c r="Z60" s="234">
        <f>IFERROR(__xludf.DUMMYFUNCTION("""COMPUTED_VALUE"""),"4")</f>
        <v>4</v>
      </c>
      <c r="AA60" s="234"/>
    </row>
    <row r="61" ht="14.25" customHeight="1">
      <c r="A61" s="234"/>
      <c r="B61" s="240" t="s">
        <v>1613</v>
      </c>
      <c r="C61" s="234"/>
      <c r="D61" s="240" t="s">
        <v>1683</v>
      </c>
      <c r="E61" s="240" t="s">
        <v>1510</v>
      </c>
      <c r="F61" s="234"/>
      <c r="G61" s="234"/>
      <c r="H61" s="234"/>
      <c r="I61" s="234"/>
      <c r="J61" s="234"/>
      <c r="K61" s="234"/>
      <c r="L61" s="234"/>
      <c r="M61" s="234"/>
      <c r="N61" s="234"/>
      <c r="O61" s="240" t="s">
        <v>1687</v>
      </c>
      <c r="P61" s="234"/>
      <c r="Q61" s="234"/>
      <c r="R61" s="234"/>
      <c r="S61" s="234"/>
      <c r="T61" s="234"/>
      <c r="U61" s="234" t="str">
        <f>IFERROR(__xludf.DUMMYFUNCTION("""COMPUTED_VALUE"""),"Economic Systems")</f>
        <v>Economic Systems</v>
      </c>
      <c r="V61" s="234">
        <f>IFERROR(__xludf.DUMMYFUNCTION("""COMPUTED_VALUE"""),"7")</f>
        <v>7</v>
      </c>
      <c r="W61" s="234" t="str">
        <f>IFERROR(__xludf.DUMMYFUNCTION("""COMPUTED_VALUE"""),"CloudSeed")</f>
        <v>CloudSeed</v>
      </c>
      <c r="X61" s="234">
        <f>IFERROR(__xludf.DUMMYFUNCTION("""COMPUTED_VALUE"""),"2")</f>
        <v>2</v>
      </c>
      <c r="Y61" s="234" t="str">
        <f>IFERROR(__xludf.DUMMYFUNCTION("""COMPUTED_VALUE"""),"Office of Management and Budget")</f>
        <v>Office of Management and Budget</v>
      </c>
      <c r="Z61" s="234">
        <f>IFERROR(__xludf.DUMMYFUNCTION("""COMPUTED_VALUE"""),"3")</f>
        <v>3</v>
      </c>
      <c r="AA61" s="234"/>
    </row>
    <row r="62" ht="14.25" customHeight="1">
      <c r="A62" s="234"/>
      <c r="B62" s="239" t="s">
        <v>1615</v>
      </c>
      <c r="C62" s="234"/>
      <c r="D62" s="240" t="s">
        <v>1688</v>
      </c>
      <c r="E62" s="240" t="s">
        <v>175</v>
      </c>
      <c r="F62" s="234"/>
      <c r="G62" s="234"/>
      <c r="H62" s="234"/>
      <c r="I62" s="234"/>
      <c r="J62" s="234"/>
      <c r="K62" s="234"/>
      <c r="L62" s="234"/>
      <c r="M62" s="234"/>
      <c r="N62" s="234"/>
      <c r="O62" s="239" t="s">
        <v>1133</v>
      </c>
      <c r="P62" s="234"/>
      <c r="Q62" s="234"/>
      <c r="R62" s="234"/>
      <c r="S62" s="234"/>
      <c r="T62" s="234"/>
      <c r="U62" s="234" t="str">
        <f>IFERROR(__xludf.DUMMYFUNCTION("""COMPUTED_VALUE"""),"Economic Systems ")</f>
        <v>Economic Systems </v>
      </c>
      <c r="V62" s="234">
        <f>IFERROR(__xludf.DUMMYFUNCTION("""COMPUTED_VALUE"""),"4")</f>
        <v>4</v>
      </c>
      <c r="W62" s="234" t="str">
        <f>IFERROR(__xludf.DUMMYFUNCTION("""COMPUTED_VALUE"""),"Content Delivery Services")</f>
        <v>Content Delivery Services</v>
      </c>
      <c r="X62" s="234">
        <f>IFERROR(__xludf.DUMMYFUNCTION("""COMPUTED_VALUE"""),"25")</f>
        <v>25</v>
      </c>
      <c r="Y62" s="234" t="str">
        <f>IFERROR(__xludf.DUMMYFUNCTION("""COMPUTED_VALUE"""),"Office of Policy, Planning, and Resources")</f>
        <v>Office of Policy, Planning, and Resources</v>
      </c>
      <c r="Z62" s="234">
        <f>IFERROR(__xludf.DUMMYFUNCTION("""COMPUTED_VALUE"""),"1")</f>
        <v>1</v>
      </c>
      <c r="AA62" s="234"/>
    </row>
    <row r="63" ht="14.25" customHeight="1">
      <c r="A63" s="234"/>
      <c r="B63" s="240" t="s">
        <v>1617</v>
      </c>
      <c r="C63" s="234"/>
      <c r="D63" s="240" t="s">
        <v>1690</v>
      </c>
      <c r="E63" s="240" t="s">
        <v>969</v>
      </c>
      <c r="F63" s="234"/>
      <c r="G63" s="234"/>
      <c r="H63" s="234"/>
      <c r="I63" s="234"/>
      <c r="J63" s="234"/>
      <c r="K63" s="234"/>
      <c r="L63" s="234"/>
      <c r="M63" s="234"/>
      <c r="N63" s="234"/>
      <c r="O63" s="240" t="s">
        <v>1691</v>
      </c>
      <c r="P63" s="234"/>
      <c r="Q63" s="234"/>
      <c r="R63" s="234"/>
      <c r="S63" s="234"/>
      <c r="T63" s="234"/>
      <c r="U63" s="234" t="str">
        <f>IFERROR(__xludf.DUMMYFUNCTION("""COMPUTED_VALUE"""),"Edge Hosting, A DataBank Company")</f>
        <v>Edge Hosting, A DataBank Company</v>
      </c>
      <c r="V63" s="234">
        <f>IFERROR(__xludf.DUMMYFUNCTION("""COMPUTED_VALUE"""),"4")</f>
        <v>4</v>
      </c>
      <c r="W63" s="234" t="str">
        <f>IFERROR(__xludf.DUMMYFUNCTION("""COMPUTED_VALUE"""),"CorasNow Federal")</f>
        <v>CorasNow Federal</v>
      </c>
      <c r="X63" s="234">
        <f>IFERROR(__xludf.DUMMYFUNCTION("""COMPUTED_VALUE"""),"1")</f>
        <v>1</v>
      </c>
      <c r="Y63" s="234" t="str">
        <f>IFERROR(__xludf.DUMMYFUNCTION("""COMPUTED_VALUE"""),"Office of Workers’ Compensation Programs")</f>
        <v>Office of Workers’ Compensation Programs</v>
      </c>
      <c r="Z63" s="234">
        <f>IFERROR(__xludf.DUMMYFUNCTION("""COMPUTED_VALUE"""),"1")</f>
        <v>1</v>
      </c>
      <c r="AA63" s="234"/>
    </row>
    <row r="64" ht="14.25" customHeight="1">
      <c r="A64" s="234"/>
      <c r="B64" s="239" t="s">
        <v>1621</v>
      </c>
      <c r="C64" s="234"/>
      <c r="D64" s="240" t="s">
        <v>1698</v>
      </c>
      <c r="E64" s="240" t="s">
        <v>954</v>
      </c>
      <c r="F64" s="234"/>
      <c r="G64" s="234"/>
      <c r="H64" s="234"/>
      <c r="I64" s="234"/>
      <c r="J64" s="234"/>
      <c r="K64" s="234"/>
      <c r="L64" s="234"/>
      <c r="M64" s="234"/>
      <c r="N64" s="234"/>
      <c r="O64" s="239" t="s">
        <v>1500</v>
      </c>
      <c r="P64" s="234"/>
      <c r="Q64" s="234"/>
      <c r="R64" s="234"/>
      <c r="S64" s="234"/>
      <c r="T64" s="234"/>
      <c r="U64" s="234" t="str">
        <f>IFERROR(__xludf.DUMMYFUNCTION("""COMPUTED_VALUE"""),"Emergency Reporting")</f>
        <v>Emergency Reporting</v>
      </c>
      <c r="V64" s="234">
        <f>IFERROR(__xludf.DUMMYFUNCTION("""COMPUTED_VALUE"""),"1")</f>
        <v>1</v>
      </c>
      <c r="W64" s="234" t="str">
        <f>IFERROR(__xludf.DUMMYFUNCTION("""COMPUTED_VALUE"""),"CoSo Cloud FedRAMP Managed Service Platform")</f>
        <v>CoSo Cloud FedRAMP Managed Service Platform</v>
      </c>
      <c r="X64" s="234">
        <f>IFERROR(__xludf.DUMMYFUNCTION("""COMPUTED_VALUE"""),"3")</f>
        <v>3</v>
      </c>
      <c r="Y64" s="234" t="str">
        <f>IFERROR(__xludf.DUMMYFUNCTION("""COMPUTED_VALUE"""),"Office of the Assistant Chief of Staff for Installation Management")</f>
        <v>Office of the Assistant Chief of Staff for Installation Management</v>
      </c>
      <c r="Z64" s="234">
        <f>IFERROR(__xludf.DUMMYFUNCTION("""COMPUTED_VALUE"""),"1")</f>
        <v>1</v>
      </c>
      <c r="AA64" s="234"/>
    </row>
    <row r="65" ht="14.25" customHeight="1">
      <c r="A65" s="234"/>
      <c r="B65" s="240" t="s">
        <v>1629</v>
      </c>
      <c r="C65" s="234"/>
      <c r="D65" s="239" t="s">
        <v>1704</v>
      </c>
      <c r="E65" s="239" t="s">
        <v>954</v>
      </c>
      <c r="F65" s="234"/>
      <c r="G65" s="234"/>
      <c r="H65" s="234"/>
      <c r="I65" s="234"/>
      <c r="J65" s="234"/>
      <c r="K65" s="234"/>
      <c r="L65" s="234"/>
      <c r="M65" s="234"/>
      <c r="N65" s="234"/>
      <c r="O65" s="240" t="s">
        <v>1705</v>
      </c>
      <c r="P65" s="234"/>
      <c r="Q65" s="234"/>
      <c r="R65" s="234"/>
      <c r="S65" s="234"/>
      <c r="T65" s="234"/>
      <c r="U65" s="234" t="str">
        <f>IFERROR(__xludf.DUMMYFUNCTION("""COMPUTED_VALUE"""),"Envisage Technologies, LLC")</f>
        <v>Envisage Technologies, LLC</v>
      </c>
      <c r="V65" s="234">
        <f>IFERROR(__xludf.DUMMYFUNCTION("""COMPUTED_VALUE"""),"1")</f>
        <v>1</v>
      </c>
      <c r="W65" s="234" t="str">
        <f>IFERROR(__xludf.DUMMYFUNCTION("""COMPUTED_VALUE"""),"CSRA / ARC-P Cloud")</f>
        <v>CSRA / ARC-P Cloud</v>
      </c>
      <c r="X65" s="234">
        <f>IFERROR(__xludf.DUMMYFUNCTION("""COMPUTED_VALUE"""),"11")</f>
        <v>11</v>
      </c>
      <c r="Y65" s="234" t="str">
        <f>IFERROR(__xludf.DUMMYFUNCTION("""COMPUTED_VALUE"""),"Office of the Comptroller of the Currency")</f>
        <v>Office of the Comptroller of the Currency</v>
      </c>
      <c r="Z65" s="234">
        <f>IFERROR(__xludf.DUMMYFUNCTION("""COMPUTED_VALUE"""),"8")</f>
        <v>8</v>
      </c>
      <c r="AA65" s="234"/>
    </row>
    <row r="66" ht="14.25" customHeight="1">
      <c r="A66" s="234"/>
      <c r="B66" s="239" t="s">
        <v>1640</v>
      </c>
      <c r="C66" s="234"/>
      <c r="D66" s="240" t="s">
        <v>1710</v>
      </c>
      <c r="E66" s="240" t="s">
        <v>954</v>
      </c>
      <c r="F66" s="234"/>
      <c r="G66" s="234"/>
      <c r="H66" s="234"/>
      <c r="I66" s="234"/>
      <c r="J66" s="234"/>
      <c r="K66" s="234"/>
      <c r="L66" s="234"/>
      <c r="M66" s="234"/>
      <c r="N66" s="234"/>
      <c r="O66" s="239" t="s">
        <v>1711</v>
      </c>
      <c r="P66" s="234"/>
      <c r="Q66" s="234"/>
      <c r="R66" s="234"/>
      <c r="S66" s="234"/>
      <c r="T66" s="234"/>
      <c r="U66" s="234" t="str">
        <f>IFERROR(__xludf.DUMMYFUNCTION("""COMPUTED_VALUE"""),"EPAY Systems")</f>
        <v>EPAY Systems</v>
      </c>
      <c r="V66" s="234">
        <f>IFERROR(__xludf.DUMMYFUNCTION("""COMPUTED_VALUE"""),"1")</f>
        <v>1</v>
      </c>
      <c r="W66" s="234" t="str">
        <f>IFERROR(__xludf.DUMMYFUNCTION("""COMPUTED_VALUE"""),"Customer eXperience Platform")</f>
        <v>Customer eXperience Platform</v>
      </c>
      <c r="X66" s="234">
        <f>IFERROR(__xludf.DUMMYFUNCTION("""COMPUTED_VALUE"""),"3")</f>
        <v>3</v>
      </c>
      <c r="Y66" s="234" t="str">
        <f>IFERROR(__xludf.DUMMYFUNCTION("""COMPUTED_VALUE"""),"Office of the Inspector General")</f>
        <v>Office of the Inspector General</v>
      </c>
      <c r="Z66" s="234">
        <f>IFERROR(__xludf.DUMMYFUNCTION("""COMPUTED_VALUE"""),"1")</f>
        <v>1</v>
      </c>
      <c r="AA66" s="234"/>
    </row>
    <row r="67" ht="14.25" customHeight="1">
      <c r="A67" s="234"/>
      <c r="B67" s="240" t="s">
        <v>605</v>
      </c>
      <c r="C67" s="234"/>
      <c r="D67" s="239" t="s">
        <v>1717</v>
      </c>
      <c r="E67" s="239" t="s">
        <v>850</v>
      </c>
      <c r="F67" s="234"/>
      <c r="G67" s="234"/>
      <c r="H67" s="234"/>
      <c r="I67" s="234"/>
      <c r="J67" s="234"/>
      <c r="K67" s="234"/>
      <c r="L67" s="234"/>
      <c r="M67" s="234"/>
      <c r="N67" s="234"/>
      <c r="O67" s="240" t="s">
        <v>1718</v>
      </c>
      <c r="P67" s="234"/>
      <c r="Q67" s="234"/>
      <c r="R67" s="234"/>
      <c r="S67" s="234"/>
      <c r="T67" s="234"/>
      <c r="U67" s="234" t="str">
        <f>IFERROR(__xludf.DUMMYFUNCTION("""COMPUTED_VALUE"""),"Equinix, Inc.")</f>
        <v>Equinix, Inc.</v>
      </c>
      <c r="V67" s="234">
        <f>IFERROR(__xludf.DUMMYFUNCTION("""COMPUTED_VALUE"""),"1")</f>
        <v>1</v>
      </c>
      <c r="W67" s="234" t="str">
        <f>IFERROR(__xludf.DUMMYFUNCTION("""COMPUTED_VALUE"""),"Customer Feedback Management System (CFMS)")</f>
        <v>Customer Feedback Management System (CFMS)</v>
      </c>
      <c r="X67" s="234">
        <f>IFERROR(__xludf.DUMMYFUNCTION("""COMPUTED_VALUE"""),"1")</f>
        <v>1</v>
      </c>
      <c r="Y67" s="234" t="str">
        <f>IFERROR(__xludf.DUMMYFUNCTION("""COMPUTED_VALUE"""),"Office of the Sergeant at Arms")</f>
        <v>Office of the Sergeant at Arms</v>
      </c>
      <c r="Z67" s="234">
        <f>IFERROR(__xludf.DUMMYFUNCTION("""COMPUTED_VALUE"""),"1")</f>
        <v>1</v>
      </c>
      <c r="AA67" s="234"/>
    </row>
    <row r="68" ht="14.25" customHeight="1">
      <c r="A68" s="234"/>
      <c r="B68" s="239" t="s">
        <v>1648</v>
      </c>
      <c r="C68" s="234"/>
      <c r="D68" s="240" t="s">
        <v>1722</v>
      </c>
      <c r="E68" s="240" t="s">
        <v>1492</v>
      </c>
      <c r="F68" s="234"/>
      <c r="G68" s="234"/>
      <c r="H68" s="234"/>
      <c r="I68" s="234"/>
      <c r="J68" s="234"/>
      <c r="K68" s="234"/>
      <c r="L68" s="234"/>
      <c r="M68" s="234"/>
      <c r="N68" s="234"/>
      <c r="O68" s="239" t="s">
        <v>1347</v>
      </c>
      <c r="P68" s="234"/>
      <c r="Q68" s="234"/>
      <c r="R68" s="234"/>
      <c r="S68" s="234"/>
      <c r="T68" s="234"/>
      <c r="U68" s="234" t="str">
        <f>IFERROR(__xludf.DUMMYFUNCTION("""COMPUTED_VALUE"""),"Esri")</f>
        <v>Esri</v>
      </c>
      <c r="V68" s="234">
        <f>IFERROR(__xludf.DUMMYFUNCTION("""COMPUTED_VALUE"""),"7")</f>
        <v>7</v>
      </c>
      <c r="W68" s="234" t="str">
        <f>IFERROR(__xludf.DUMMYFUNCTION("""COMPUTED_VALUE"""),"CylancePROTECT")</f>
        <v>CylancePROTECT</v>
      </c>
      <c r="X68" s="234">
        <f>IFERROR(__xludf.DUMMYFUNCTION("""COMPUTED_VALUE"""),"2")</f>
        <v>2</v>
      </c>
      <c r="Y68" s="234" t="str">
        <f>IFERROR(__xludf.DUMMYFUNCTION("""COMPUTED_VALUE"""),"Office of the Special Trustee for American Indians")</f>
        <v>Office of the Special Trustee for American Indians</v>
      </c>
      <c r="Z68" s="234">
        <f>IFERROR(__xludf.DUMMYFUNCTION("""COMPUTED_VALUE"""),"1")</f>
        <v>1</v>
      </c>
      <c r="AA68" s="234"/>
    </row>
    <row r="69" ht="14.25" customHeight="1">
      <c r="A69" s="234"/>
      <c r="B69" s="240" t="s">
        <v>402</v>
      </c>
      <c r="C69" s="234"/>
      <c r="D69" s="240" t="s">
        <v>1729</v>
      </c>
      <c r="E69" s="240" t="s">
        <v>1195</v>
      </c>
      <c r="F69" s="234"/>
      <c r="G69" s="234"/>
      <c r="H69" s="234"/>
      <c r="I69" s="234"/>
      <c r="J69" s="234"/>
      <c r="K69" s="234"/>
      <c r="L69" s="234"/>
      <c r="M69" s="234"/>
      <c r="N69" s="245"/>
      <c r="O69" s="240" t="s">
        <v>1731</v>
      </c>
      <c r="P69" s="234"/>
      <c r="Q69" s="234"/>
      <c r="R69" s="234"/>
      <c r="S69" s="234"/>
      <c r="T69" s="234"/>
      <c r="U69" s="234" t="str">
        <f>IFERROR(__xludf.DUMMYFUNCTION("""COMPUTED_VALUE"""),"Everbridge")</f>
        <v>Everbridge</v>
      </c>
      <c r="V69" s="234">
        <f>IFERROR(__xludf.DUMMYFUNCTION("""COMPUTED_VALUE"""),"2")</f>
        <v>2</v>
      </c>
      <c r="W69" s="234" t="str">
        <f>IFERROR(__xludf.DUMMYFUNCTION("""COMPUTED_VALUE"""),"Data Basin")</f>
        <v>Data Basin</v>
      </c>
      <c r="X69" s="234">
        <f>IFERROR(__xludf.DUMMYFUNCTION("""COMPUTED_VALUE"""),"1")</f>
        <v>1</v>
      </c>
      <c r="Y69" s="234" t="str">
        <f>IFERROR(__xludf.DUMMYFUNCTION("""COMPUTED_VALUE"""),"Pentagon Force Protection Agency")</f>
        <v>Pentagon Force Protection Agency</v>
      </c>
      <c r="Z69" s="234">
        <f>IFERROR(__xludf.DUMMYFUNCTION("""COMPUTED_VALUE"""),"1")</f>
        <v>1</v>
      </c>
      <c r="AA69" s="234"/>
    </row>
    <row r="70" ht="14.25" customHeight="1">
      <c r="A70" s="234"/>
      <c r="B70" s="239" t="s">
        <v>1653</v>
      </c>
      <c r="C70" s="234"/>
      <c r="D70" s="239" t="s">
        <v>1736</v>
      </c>
      <c r="E70" s="239" t="s">
        <v>1195</v>
      </c>
      <c r="F70" s="234"/>
      <c r="G70" s="234"/>
      <c r="H70" s="234"/>
      <c r="I70" s="234"/>
      <c r="J70" s="234"/>
      <c r="K70" s="234"/>
      <c r="L70" s="234"/>
      <c r="M70" s="234"/>
      <c r="N70" s="234"/>
      <c r="O70" s="239" t="s">
        <v>1737</v>
      </c>
      <c r="P70" s="234"/>
      <c r="Q70" s="234"/>
      <c r="R70" s="234"/>
      <c r="S70" s="234"/>
      <c r="T70" s="234"/>
      <c r="U70" s="234" t="str">
        <f>IFERROR(__xludf.DUMMYFUNCTION("""COMPUTED_VALUE"""),"Ex Libris")</f>
        <v>Ex Libris</v>
      </c>
      <c r="V70" s="234">
        <f>IFERROR(__xludf.DUMMYFUNCTION("""COMPUTED_VALUE"""),"1")</f>
        <v>1</v>
      </c>
      <c r="W70" s="234" t="str">
        <f>IFERROR(__xludf.DUMMYFUNCTION("""COMPUTED_VALUE"""),"Data Governance Center")</f>
        <v>Data Governance Center</v>
      </c>
      <c r="X70" s="234">
        <f>IFERROR(__xludf.DUMMYFUNCTION("""COMPUTED_VALUE"""),"1")</f>
        <v>1</v>
      </c>
      <c r="Y70" s="234" t="str">
        <f>IFERROR(__xludf.DUMMYFUNCTION("""COMPUTED_VALUE"""),"Southwestern Power Administration")</f>
        <v>Southwestern Power Administration</v>
      </c>
      <c r="Z70" s="234">
        <f>IFERROR(__xludf.DUMMYFUNCTION("""COMPUTED_VALUE"""),"1")</f>
        <v>1</v>
      </c>
      <c r="AA70" s="234"/>
    </row>
    <row r="71" ht="14.25" customHeight="1">
      <c r="A71" s="234"/>
      <c r="B71" s="240" t="s">
        <v>1659</v>
      </c>
      <c r="C71" s="234"/>
      <c r="D71" s="240" t="s">
        <v>1739</v>
      </c>
      <c r="E71" s="240" t="s">
        <v>1195</v>
      </c>
      <c r="F71" s="234"/>
      <c r="G71" s="234"/>
      <c r="H71" s="234"/>
      <c r="I71" s="234"/>
      <c r="J71" s="234"/>
      <c r="K71" s="234"/>
      <c r="L71" s="234"/>
      <c r="M71" s="234"/>
      <c r="N71" s="234"/>
      <c r="O71" s="240" t="s">
        <v>1740</v>
      </c>
      <c r="P71" s="234"/>
      <c r="Q71" s="234"/>
      <c r="R71" s="234"/>
      <c r="S71" s="234"/>
      <c r="T71" s="234"/>
      <c r="U71" s="234" t="str">
        <f>IFERROR(__xludf.DUMMYFUNCTION("""COMPUTED_VALUE"""),"FireEye")</f>
        <v>FireEye</v>
      </c>
      <c r="V71" s="234">
        <f>IFERROR(__xludf.DUMMYFUNCTION("""COMPUTED_VALUE"""),"1")</f>
        <v>1</v>
      </c>
      <c r="W71" s="234" t="str">
        <f>IFERROR(__xludf.DUMMYFUNCTION("""COMPUTED_VALUE"""),"Decision Lens Software")</f>
        <v>Decision Lens Software</v>
      </c>
      <c r="X71" s="234">
        <f>IFERROR(__xludf.DUMMYFUNCTION("""COMPUTED_VALUE"""),"2")</f>
        <v>2</v>
      </c>
      <c r="Y71" s="234" t="str">
        <f>IFERROR(__xludf.DUMMYFUNCTION("""COMPUTED_VALUE"""),"State Office of the Inspector General")</f>
        <v>State Office of the Inspector General</v>
      </c>
      <c r="Z71" s="234">
        <f>IFERROR(__xludf.DUMMYFUNCTION("""COMPUTED_VALUE"""),"4")</f>
        <v>4</v>
      </c>
      <c r="AA71" s="234"/>
    </row>
    <row r="72" ht="14.25" customHeight="1">
      <c r="A72" s="234"/>
      <c r="B72" s="239" t="s">
        <v>1663</v>
      </c>
      <c r="C72" s="234"/>
      <c r="D72" s="240" t="s">
        <v>1743</v>
      </c>
      <c r="E72" s="240" t="s">
        <v>989</v>
      </c>
      <c r="F72" s="234"/>
      <c r="G72" s="234"/>
      <c r="H72" s="234"/>
      <c r="I72" s="234"/>
      <c r="J72" s="234"/>
      <c r="K72" s="234"/>
      <c r="L72" s="234"/>
      <c r="M72" s="234"/>
      <c r="N72" s="234"/>
      <c r="O72" s="239" t="s">
        <v>1744</v>
      </c>
      <c r="P72" s="234"/>
      <c r="Q72" s="234"/>
      <c r="R72" s="234"/>
      <c r="S72" s="234"/>
      <c r="T72" s="234"/>
      <c r="U72" s="234" t="str">
        <f>IFERROR(__xludf.DUMMYFUNCTION("""COMPUTED_VALUE"""),"Forcepoint")</f>
        <v>Forcepoint</v>
      </c>
      <c r="V72" s="234">
        <f>IFERROR(__xludf.DUMMYFUNCTION("""COMPUTED_VALUE"""),"1")</f>
        <v>1</v>
      </c>
      <c r="W72" s="234" t="str">
        <f>IFERROR(__xludf.DUMMYFUNCTION("""COMPUTED_VALUE"""),"Deloitte Federal Technology Center")</f>
        <v>Deloitte Federal Technology Center</v>
      </c>
      <c r="X72" s="234">
        <f>IFERROR(__xludf.DUMMYFUNCTION("""COMPUTED_VALUE"""),"4")</f>
        <v>4</v>
      </c>
      <c r="Y72" s="234" t="str">
        <f>IFERROR(__xludf.DUMMYFUNCTION("""COMPUTED_VALUE"""),"Technology Transformation Service")</f>
        <v>Technology Transformation Service</v>
      </c>
      <c r="Z72" s="234">
        <f>IFERROR(__xludf.DUMMYFUNCTION("""COMPUTED_VALUE"""),"1")</f>
        <v>1</v>
      </c>
      <c r="AA72" s="234"/>
    </row>
    <row r="73" ht="14.25" customHeight="1">
      <c r="A73" s="234"/>
      <c r="B73" s="240" t="s">
        <v>1665</v>
      </c>
      <c r="C73" s="234"/>
      <c r="D73" s="239" t="s">
        <v>1746</v>
      </c>
      <c r="E73" s="239" t="s">
        <v>989</v>
      </c>
      <c r="F73" s="234"/>
      <c r="G73" s="234"/>
      <c r="H73" s="234"/>
      <c r="I73" s="234"/>
      <c r="J73" s="234"/>
      <c r="K73" s="234"/>
      <c r="L73" s="234"/>
      <c r="M73" s="234"/>
      <c r="N73" s="234"/>
      <c r="O73" s="240" t="s">
        <v>972</v>
      </c>
      <c r="P73" s="234"/>
      <c r="Q73" s="234"/>
      <c r="R73" s="234"/>
      <c r="S73" s="234"/>
      <c r="T73" s="234"/>
      <c r="U73" s="234" t="str">
        <f>IFERROR(__xludf.DUMMYFUNCTION("""COMPUTED_VALUE"""),"Frame, Inc.")</f>
        <v>Frame, Inc.</v>
      </c>
      <c r="V73" s="234">
        <f>IFERROR(__xludf.DUMMYFUNCTION("""COMPUTED_VALUE"""),"1")</f>
        <v>1</v>
      </c>
      <c r="W73" s="234" t="str">
        <f>IFERROR(__xludf.DUMMYFUNCTION("""COMPUTED_VALUE"""),"DNAnexus Platform")</f>
        <v>DNAnexus Platform</v>
      </c>
      <c r="X73" s="234">
        <f>IFERROR(__xludf.DUMMYFUNCTION("""COMPUTED_VALUE"""),"1")</f>
        <v>1</v>
      </c>
      <c r="Y73" s="234" t="str">
        <f>IFERROR(__xludf.DUMMYFUNCTION("""COMPUTED_VALUE"""),"Transportation Security Administration")</f>
        <v>Transportation Security Administration</v>
      </c>
      <c r="Z73" s="234">
        <f>IFERROR(__xludf.DUMMYFUNCTION("""COMPUTED_VALUE"""),"1")</f>
        <v>1</v>
      </c>
      <c r="AA73" s="234"/>
    </row>
    <row r="74" ht="14.25" customHeight="1">
      <c r="A74" s="234"/>
      <c r="B74" s="239" t="s">
        <v>1667</v>
      </c>
      <c r="C74" s="234"/>
      <c r="D74" s="240" t="s">
        <v>1749</v>
      </c>
      <c r="E74" s="240" t="s">
        <v>850</v>
      </c>
      <c r="F74" s="234"/>
      <c r="G74" s="234"/>
      <c r="H74" s="234"/>
      <c r="I74" s="234"/>
      <c r="J74" s="234"/>
      <c r="K74" s="234"/>
      <c r="L74" s="234"/>
      <c r="M74" s="234"/>
      <c r="N74" s="234"/>
      <c r="O74" s="239" t="s">
        <v>1574</v>
      </c>
      <c r="P74" s="234"/>
      <c r="Q74" s="234"/>
      <c r="R74" s="234"/>
      <c r="S74" s="234"/>
      <c r="T74" s="234"/>
      <c r="U74" s="234" t="str">
        <f>IFERROR(__xludf.DUMMYFUNCTION("""COMPUTED_VALUE"""),"General Dynamics Information Technology (GDIT)")</f>
        <v>General Dynamics Information Technology (GDIT)</v>
      </c>
      <c r="V74" s="234">
        <f>IFERROR(__xludf.DUMMYFUNCTION("""COMPUTED_VALUE"""),"13")</f>
        <v>13</v>
      </c>
      <c r="W74" s="234" t="str">
        <f>IFERROR(__xludf.DUMMYFUNCTION("""COMPUTED_VALUE"""),"DocuSign Federal")</f>
        <v>DocuSign Federal</v>
      </c>
      <c r="X74" s="234">
        <f>IFERROR(__xludf.DUMMYFUNCTION("""COMPUTED_VALUE"""),"1")</f>
        <v>1</v>
      </c>
      <c r="Y74" s="234" t="str">
        <f>IFERROR(__xludf.DUMMYFUNCTION("""COMPUTED_VALUE"""),"United States Africa Command")</f>
        <v>United States Africa Command</v>
      </c>
      <c r="Z74" s="234">
        <f>IFERROR(__xludf.DUMMYFUNCTION("""COMPUTED_VALUE"""),"2")</f>
        <v>2</v>
      </c>
      <c r="AA74" s="234"/>
    </row>
    <row r="75" ht="14.25" customHeight="1">
      <c r="A75" s="234"/>
      <c r="B75" s="240" t="s">
        <v>1674</v>
      </c>
      <c r="C75" s="234"/>
      <c r="D75" s="239" t="s">
        <v>1750</v>
      </c>
      <c r="E75" s="239" t="s">
        <v>1296</v>
      </c>
      <c r="F75" s="234"/>
      <c r="G75" s="234"/>
      <c r="H75" s="234"/>
      <c r="I75" s="234"/>
      <c r="J75" s="234"/>
      <c r="K75" s="234"/>
      <c r="L75" s="234"/>
      <c r="M75" s="234"/>
      <c r="N75" s="234"/>
      <c r="O75" s="240" t="s">
        <v>1751</v>
      </c>
      <c r="P75" s="234"/>
      <c r="Q75" s="234"/>
      <c r="R75" s="234"/>
      <c r="S75" s="234"/>
      <c r="T75" s="234"/>
      <c r="U75" s="234" t="str">
        <f>IFERROR(__xludf.DUMMYFUNCTION("""COMPUTED_VALUE"""),"GitHub")</f>
        <v>GitHub</v>
      </c>
      <c r="V75" s="234">
        <f>IFERROR(__xludf.DUMMYFUNCTION("""COMPUTED_VALUE"""),"1")</f>
        <v>1</v>
      </c>
      <c r="W75" s="234" t="str">
        <f>IFERROR(__xludf.DUMMYFUNCTION("""COMPUTED_VALUE"""),"DOMA Software Platform")</f>
        <v>DOMA Software Platform</v>
      </c>
      <c r="X75" s="234">
        <f>IFERROR(__xludf.DUMMYFUNCTION("""COMPUTED_VALUE"""),"1")</f>
        <v>1</v>
      </c>
      <c r="Y75" s="234" t="str">
        <f>IFERROR(__xludf.DUMMYFUNCTION("""COMPUTED_VALUE"""),"United States Army")</f>
        <v>United States Army</v>
      </c>
      <c r="Z75" s="234">
        <f>IFERROR(__xludf.DUMMYFUNCTION("""COMPUTED_VALUE"""),"3")</f>
        <v>3</v>
      </c>
      <c r="AA75" s="234"/>
    </row>
    <row r="76" ht="14.25" customHeight="1">
      <c r="A76" s="234"/>
      <c r="B76" s="239" t="s">
        <v>1681</v>
      </c>
      <c r="C76" s="234"/>
      <c r="D76" s="240" t="s">
        <v>1753</v>
      </c>
      <c r="E76" s="240" t="s">
        <v>1012</v>
      </c>
      <c r="F76" s="234"/>
      <c r="G76" s="234"/>
      <c r="H76" s="234"/>
      <c r="I76" s="234"/>
      <c r="J76" s="234"/>
      <c r="K76" s="234"/>
      <c r="L76" s="234"/>
      <c r="M76" s="234"/>
      <c r="N76" s="234"/>
      <c r="O76" s="239" t="s">
        <v>1754</v>
      </c>
      <c r="P76" s="234"/>
      <c r="Q76" s="234"/>
      <c r="R76" s="234"/>
      <c r="S76" s="234"/>
      <c r="T76" s="234"/>
      <c r="U76" s="234" t="str">
        <f>IFERROR(__xludf.DUMMYFUNCTION("""COMPUTED_VALUE"""),"Google")</f>
        <v>Google</v>
      </c>
      <c r="V76" s="234">
        <f>IFERROR(__xludf.DUMMYFUNCTION("""COMPUTED_VALUE"""),"17")</f>
        <v>17</v>
      </c>
      <c r="W76" s="234" t="str">
        <f>IFERROR(__xludf.DUMMYFUNCTION("""COMPUTED_VALUE"""),"Druva inSync")</f>
        <v>Druva inSync</v>
      </c>
      <c r="X76" s="234">
        <f>IFERROR(__xludf.DUMMYFUNCTION("""COMPUTED_VALUE"""),"1")</f>
        <v>1</v>
      </c>
      <c r="Y76" s="234" t="str">
        <f>IFERROR(__xludf.DUMMYFUNCTION("""COMPUTED_VALUE"""),"United States Census Bureau")</f>
        <v>United States Census Bureau</v>
      </c>
      <c r="Z76" s="234">
        <f>IFERROR(__xludf.DUMMYFUNCTION("""COMPUTED_VALUE"""),"13")</f>
        <v>13</v>
      </c>
      <c r="AA76" s="234"/>
    </row>
    <row r="77" ht="14.25" customHeight="1">
      <c r="A77" s="234"/>
      <c r="B77" s="240" t="s">
        <v>1684</v>
      </c>
      <c r="C77" s="234"/>
      <c r="D77" s="240" t="s">
        <v>1756</v>
      </c>
      <c r="E77" s="240" t="s">
        <v>142</v>
      </c>
      <c r="F77" s="234"/>
      <c r="G77" s="234"/>
      <c r="H77" s="234"/>
      <c r="I77" s="234"/>
      <c r="J77" s="234"/>
      <c r="K77" s="234"/>
      <c r="L77" s="234"/>
      <c r="M77" s="234"/>
      <c r="N77" s="234"/>
      <c r="O77" s="240" t="s">
        <v>1757</v>
      </c>
      <c r="P77" s="234"/>
      <c r="Q77" s="234"/>
      <c r="R77" s="234"/>
      <c r="S77" s="234"/>
      <c r="T77" s="234"/>
      <c r="U77" s="234" t="str">
        <f>IFERROR(__xludf.DUMMYFUNCTION("""COMPUTED_VALUE"""),"Gordian")</f>
        <v>Gordian</v>
      </c>
      <c r="V77" s="234">
        <f>IFERROR(__xludf.DUMMYFUNCTION("""COMPUTED_VALUE"""),"1")</f>
        <v>1</v>
      </c>
      <c r="W77" s="234" t="str">
        <f>IFERROR(__xludf.DUMMYFUNCTION("""COMPUTED_VALUE"""),"DXC Cloud for Public Sector")</f>
        <v>DXC Cloud for Public Sector</v>
      </c>
      <c r="X77" s="234">
        <f>IFERROR(__xludf.DUMMYFUNCTION("""COMPUTED_VALUE"""),"4")</f>
        <v>4</v>
      </c>
      <c r="Y77" s="234" t="str">
        <f>IFERROR(__xludf.DUMMYFUNCTION("""COMPUTED_VALUE"""),"United States Citizenship and Immigration Services")</f>
        <v>United States Citizenship and Immigration Services</v>
      </c>
      <c r="Z77" s="234">
        <f>IFERROR(__xludf.DUMMYFUNCTION("""COMPUTED_VALUE"""),"5")</f>
        <v>5</v>
      </c>
      <c r="AA77" s="234"/>
    </row>
    <row r="78" ht="14.25" customHeight="1">
      <c r="A78" s="234"/>
      <c r="B78" s="239" t="s">
        <v>1687</v>
      </c>
      <c r="C78" s="234"/>
      <c r="D78" s="239" t="s">
        <v>1759</v>
      </c>
      <c r="E78" s="239" t="s">
        <v>850</v>
      </c>
      <c r="F78" s="234"/>
      <c r="G78" s="234"/>
      <c r="H78" s="234"/>
      <c r="I78" s="234"/>
      <c r="J78" s="234"/>
      <c r="K78" s="234"/>
      <c r="L78" s="234"/>
      <c r="M78" s="234"/>
      <c r="N78" s="234"/>
      <c r="O78" s="239" t="s">
        <v>1760</v>
      </c>
      <c r="P78" s="234"/>
      <c r="Q78" s="234"/>
      <c r="R78" s="234"/>
      <c r="S78" s="234"/>
      <c r="T78" s="234"/>
      <c r="U78" s="234" t="str">
        <f>IFERROR(__xludf.DUMMYFUNCTION("""COMPUTED_VALUE"""),"GPS Insight, Inc.")</f>
        <v>GPS Insight, Inc.</v>
      </c>
      <c r="V78" s="234">
        <f>IFERROR(__xludf.DUMMYFUNCTION("""COMPUTED_VALUE"""),"1")</f>
        <v>1</v>
      </c>
      <c r="W78" s="234" t="str">
        <f>IFERROR(__xludf.DUMMYFUNCTION("""COMPUTED_VALUE"""),"Dynamics 365 for Government")</f>
        <v>Dynamics 365 for Government</v>
      </c>
      <c r="X78" s="234">
        <f>IFERROR(__xludf.DUMMYFUNCTION("""COMPUTED_VALUE"""),"10")</f>
        <v>10</v>
      </c>
      <c r="Y78" s="234" t="str">
        <f>IFERROR(__xludf.DUMMYFUNCTION("""COMPUTED_VALUE"""),"United States Coast Guard")</f>
        <v>United States Coast Guard</v>
      </c>
      <c r="Z78" s="234">
        <f>IFERROR(__xludf.DUMMYFUNCTION("""COMPUTED_VALUE"""),"2")</f>
        <v>2</v>
      </c>
      <c r="AA78" s="234"/>
    </row>
    <row r="79" ht="14.25" customHeight="1">
      <c r="A79" s="234"/>
      <c r="B79" s="240" t="s">
        <v>1133</v>
      </c>
      <c r="C79" s="234"/>
      <c r="D79" s="239" t="s">
        <v>1762</v>
      </c>
      <c r="E79" s="239" t="s">
        <v>1510</v>
      </c>
      <c r="F79" s="234"/>
      <c r="G79" s="234"/>
      <c r="H79" s="234"/>
      <c r="I79" s="234"/>
      <c r="J79" s="234"/>
      <c r="K79" s="234"/>
      <c r="L79" s="234"/>
      <c r="M79" s="234"/>
      <c r="N79" s="234"/>
      <c r="O79" s="240" t="s">
        <v>1763</v>
      </c>
      <c r="P79" s="234"/>
      <c r="Q79" s="234"/>
      <c r="R79" s="234"/>
      <c r="S79" s="234"/>
      <c r="T79" s="234"/>
      <c r="U79" s="234" t="str">
        <f>IFERROR(__xludf.DUMMYFUNCTION("""COMPUTED_VALUE"""),"Granicus")</f>
        <v>Granicus</v>
      </c>
      <c r="V79" s="234">
        <f>IFERROR(__xludf.DUMMYFUNCTION("""COMPUTED_VALUE"""),"15")</f>
        <v>15</v>
      </c>
      <c r="W79" s="234" t="str">
        <f>IFERROR(__xludf.DUMMYFUNCTION("""COMPUTED_VALUE"""),"eCase ")</f>
        <v>eCase </v>
      </c>
      <c r="X79" s="234">
        <f>IFERROR(__xludf.DUMMYFUNCTION("""COMPUTED_VALUE"""),"8")</f>
        <v>8</v>
      </c>
      <c r="Y79" s="234" t="str">
        <f>IFERROR(__xludf.DUMMYFUNCTION("""COMPUTED_VALUE"""),"United States Fish and Wildlife")</f>
        <v>United States Fish and Wildlife</v>
      </c>
      <c r="Z79" s="234">
        <f>IFERROR(__xludf.DUMMYFUNCTION("""COMPUTED_VALUE"""),"1")</f>
        <v>1</v>
      </c>
      <c r="AA79" s="234"/>
    </row>
    <row r="80" ht="14.25" customHeight="1">
      <c r="A80" s="234"/>
      <c r="B80" s="239" t="s">
        <v>1691</v>
      </c>
      <c r="C80" s="234"/>
      <c r="D80" s="239" t="s">
        <v>328</v>
      </c>
      <c r="E80" s="239" t="s">
        <v>327</v>
      </c>
      <c r="F80" s="234"/>
      <c r="G80" s="234"/>
      <c r="H80" s="234"/>
      <c r="I80" s="234"/>
      <c r="J80" s="234"/>
      <c r="K80" s="234"/>
      <c r="L80" s="234"/>
      <c r="M80" s="234"/>
      <c r="N80" s="234"/>
      <c r="O80" s="239" t="s">
        <v>1767</v>
      </c>
      <c r="P80" s="234"/>
      <c r="Q80" s="234"/>
      <c r="R80" s="234"/>
      <c r="S80" s="234"/>
      <c r="T80" s="234"/>
      <c r="U80" s="234" t="str">
        <f>IFERROR(__xludf.DUMMYFUNCTION("""COMPUTED_VALUE"""),"HireVue")</f>
        <v>HireVue</v>
      </c>
      <c r="V80" s="234">
        <f>IFERROR(__xludf.DUMMYFUNCTION("""COMPUTED_VALUE"""),"1")</f>
        <v>1</v>
      </c>
      <c r="W80" s="234" t="str">
        <f>IFERROR(__xludf.DUMMYFUNCTION("""COMPUTED_VALUE"""),"Economic Systems Federal Human Resources Navigator ")</f>
        <v>Economic Systems Federal Human Resources Navigator </v>
      </c>
      <c r="X80" s="234">
        <f>IFERROR(__xludf.DUMMYFUNCTION("""COMPUTED_VALUE"""),"11")</f>
        <v>11</v>
      </c>
      <c r="Y80" s="234" t="str">
        <f>IFERROR(__xludf.DUMMYFUNCTION("""COMPUTED_VALUE"""),"United States Forest Service")</f>
        <v>United States Forest Service</v>
      </c>
      <c r="Z80" s="234">
        <f>IFERROR(__xludf.DUMMYFUNCTION("""COMPUTED_VALUE"""),"4")</f>
        <v>4</v>
      </c>
      <c r="AA80" s="234"/>
    </row>
    <row r="81" ht="14.25" customHeight="1">
      <c r="A81" s="234"/>
      <c r="B81" s="240" t="s">
        <v>1500</v>
      </c>
      <c r="C81" s="234"/>
      <c r="D81" s="239" t="s">
        <v>1039</v>
      </c>
      <c r="E81" s="239" t="s">
        <v>969</v>
      </c>
      <c r="F81" s="234"/>
      <c r="G81" s="234"/>
      <c r="H81" s="234"/>
      <c r="I81" s="234"/>
      <c r="J81" s="234"/>
      <c r="K81" s="234"/>
      <c r="L81" s="234"/>
      <c r="M81" s="234"/>
      <c r="N81" s="234"/>
      <c r="O81" s="240" t="s">
        <v>1771</v>
      </c>
      <c r="P81" s="234"/>
      <c r="Q81" s="234"/>
      <c r="R81" s="234"/>
      <c r="S81" s="234"/>
      <c r="T81" s="234"/>
      <c r="U81" s="234" t="str">
        <f>IFERROR(__xludf.DUMMYFUNCTION("""COMPUTED_VALUE"""),"Hootsuite")</f>
        <v>Hootsuite</v>
      </c>
      <c r="V81" s="234">
        <f>IFERROR(__xludf.DUMMYFUNCTION("""COMPUTED_VALUE"""),"1")</f>
        <v>1</v>
      </c>
      <c r="W81" s="234" t="str">
        <f>IFERROR(__xludf.DUMMYFUNCTION("""COMPUTED_VALUE"""),"Emergency Reporting")</f>
        <v>Emergency Reporting</v>
      </c>
      <c r="X81" s="234">
        <f>IFERROR(__xludf.DUMMYFUNCTION("""COMPUTED_VALUE"""),"1")</f>
        <v>1</v>
      </c>
      <c r="Y81" s="234" t="str">
        <f>IFERROR(__xludf.DUMMYFUNCTION("""COMPUTED_VALUE"""),"United States Marine Corps")</f>
        <v>United States Marine Corps</v>
      </c>
      <c r="Z81" s="234">
        <f>IFERROR(__xludf.DUMMYFUNCTION("""COMPUTED_VALUE"""),"2")</f>
        <v>2</v>
      </c>
      <c r="AA81" s="234"/>
    </row>
    <row r="82" ht="14.25" customHeight="1">
      <c r="A82" s="234"/>
      <c r="B82" s="239" t="s">
        <v>1705</v>
      </c>
      <c r="C82" s="234"/>
      <c r="D82" s="240" t="s">
        <v>1510</v>
      </c>
      <c r="E82" s="240" t="s">
        <v>1510</v>
      </c>
      <c r="F82" s="234"/>
      <c r="G82" s="234"/>
      <c r="H82" s="234"/>
      <c r="I82" s="234"/>
      <c r="J82" s="234"/>
      <c r="K82" s="234"/>
      <c r="L82" s="234"/>
      <c r="M82" s="234"/>
      <c r="N82" s="234"/>
      <c r="O82" s="239" t="s">
        <v>1776</v>
      </c>
      <c r="P82" s="234"/>
      <c r="Q82" s="234"/>
      <c r="R82" s="234"/>
      <c r="S82" s="234"/>
      <c r="T82" s="234"/>
      <c r="U82" s="234" t="str">
        <f>IFERROR(__xludf.DUMMYFUNCTION("""COMPUTED_VALUE"""),"Huddle US")</f>
        <v>Huddle US</v>
      </c>
      <c r="V82" s="234">
        <f>IFERROR(__xludf.DUMMYFUNCTION("""COMPUTED_VALUE"""),"7")</f>
        <v>7</v>
      </c>
      <c r="W82" s="234" t="str">
        <f>IFERROR(__xludf.DUMMYFUNCTION("""COMPUTED_VALUE"""),"Enterprise Compliance Management Solution (ECMS)")</f>
        <v>Enterprise Compliance Management Solution (ECMS)</v>
      </c>
      <c r="X82" s="234">
        <f>IFERROR(__xludf.DUMMYFUNCTION("""COMPUTED_VALUE"""),"2")</f>
        <v>2</v>
      </c>
      <c r="Y82" s="234" t="str">
        <f>IFERROR(__xludf.DUMMYFUNCTION("""COMPUTED_VALUE"""),"United States Marshals Service")</f>
        <v>United States Marshals Service</v>
      </c>
      <c r="Z82" s="234">
        <f>IFERROR(__xludf.DUMMYFUNCTION("""COMPUTED_VALUE"""),"5")</f>
        <v>5</v>
      </c>
      <c r="AA82" s="234"/>
    </row>
    <row r="83" ht="14.25" customHeight="1">
      <c r="A83" s="234"/>
      <c r="B83" s="240" t="s">
        <v>1711</v>
      </c>
      <c r="C83" s="234"/>
      <c r="D83" s="240" t="s">
        <v>1778</v>
      </c>
      <c r="E83" s="240" t="s">
        <v>1452</v>
      </c>
      <c r="F83" s="234"/>
      <c r="G83" s="234"/>
      <c r="H83" s="234"/>
      <c r="I83" s="234"/>
      <c r="J83" s="234"/>
      <c r="K83" s="234"/>
      <c r="L83" s="234"/>
      <c r="M83" s="234"/>
      <c r="N83" s="234"/>
      <c r="O83" s="240" t="s">
        <v>1780</v>
      </c>
      <c r="P83" s="234"/>
      <c r="Q83" s="234"/>
      <c r="R83" s="234"/>
      <c r="S83" s="234"/>
      <c r="T83" s="234"/>
      <c r="U83" s="234" t="str">
        <f>IFERROR(__xludf.DUMMYFUNCTION("""COMPUTED_VALUE"""),"Human Resources Technologies, Inc. (HRTec)")</f>
        <v>Human Resources Technologies, Inc. (HRTec)</v>
      </c>
      <c r="V83" s="234">
        <f>IFERROR(__xludf.DUMMYFUNCTION("""COMPUTED_VALUE"""),"1")</f>
        <v>1</v>
      </c>
      <c r="W83" s="234" t="str">
        <f>IFERROR(__xludf.DUMMYFUNCTION("""COMPUTED_VALUE"""),"EPAY Time and Labor Management")</f>
        <v>EPAY Time and Labor Management</v>
      </c>
      <c r="X83" s="234">
        <f>IFERROR(__xludf.DUMMYFUNCTION("""COMPUTED_VALUE"""),"1")</f>
        <v>1</v>
      </c>
      <c r="Y83" s="234" t="str">
        <f>IFERROR(__xludf.DUMMYFUNCTION("""COMPUTED_VALUE"""),"United States Mint")</f>
        <v>United States Mint</v>
      </c>
      <c r="Z83" s="234">
        <f>IFERROR(__xludf.DUMMYFUNCTION("""COMPUTED_VALUE"""),"2")</f>
        <v>2</v>
      </c>
      <c r="AA83" s="234"/>
    </row>
    <row r="84" ht="14.25" customHeight="1">
      <c r="A84" s="234"/>
      <c r="B84" s="239" t="s">
        <v>1718</v>
      </c>
      <c r="C84" s="234"/>
      <c r="D84" s="239" t="s">
        <v>556</v>
      </c>
      <c r="E84" s="239" t="s">
        <v>175</v>
      </c>
      <c r="F84" s="234"/>
      <c r="G84" s="234"/>
      <c r="H84" s="234"/>
      <c r="I84" s="234"/>
      <c r="J84" s="234"/>
      <c r="K84" s="234"/>
      <c r="L84" s="234"/>
      <c r="M84" s="234"/>
      <c r="N84" s="234"/>
      <c r="O84" s="239" t="s">
        <v>1783</v>
      </c>
      <c r="P84" s="234"/>
      <c r="Q84" s="234"/>
      <c r="R84" s="234"/>
      <c r="S84" s="234"/>
      <c r="T84" s="234"/>
      <c r="U84" s="234" t="str">
        <f>IFERROR(__xludf.DUMMYFUNCTION("""COMPUTED_VALUE"""),"IBM")</f>
        <v>IBM</v>
      </c>
      <c r="V84" s="234">
        <f>IFERROR(__xludf.DUMMYFUNCTION("""COMPUTED_VALUE"""),"34")</f>
        <v>34</v>
      </c>
      <c r="W84" s="234" t="str">
        <f>IFERROR(__xludf.DUMMYFUNCTION("""COMPUTED_VALUE"""),"Equinix Cloud Exchange")</f>
        <v>Equinix Cloud Exchange</v>
      </c>
      <c r="X84" s="234">
        <f>IFERROR(__xludf.DUMMYFUNCTION("""COMPUTED_VALUE"""),"1")</f>
        <v>1</v>
      </c>
      <c r="Y84" s="234" t="str">
        <f>IFERROR(__xludf.DUMMYFUNCTION("""COMPUTED_VALUE"""),"United States Naval War College")</f>
        <v>United States Naval War College</v>
      </c>
      <c r="Z84" s="234">
        <f>IFERROR(__xludf.DUMMYFUNCTION("""COMPUTED_VALUE"""),"1")</f>
        <v>1</v>
      </c>
      <c r="AA84" s="234"/>
    </row>
    <row r="85" ht="14.25" customHeight="1">
      <c r="A85" s="234"/>
      <c r="B85" s="240" t="s">
        <v>1520</v>
      </c>
      <c r="C85" s="234"/>
      <c r="D85" s="240" t="s">
        <v>1785</v>
      </c>
      <c r="E85" s="240" t="s">
        <v>1583</v>
      </c>
      <c r="F85" s="234"/>
      <c r="G85" s="234"/>
      <c r="H85" s="234"/>
      <c r="I85" s="234"/>
      <c r="J85" s="234"/>
      <c r="K85" s="234"/>
      <c r="L85" s="234"/>
      <c r="M85" s="234"/>
      <c r="N85" s="245"/>
      <c r="O85" s="240" t="s">
        <v>1786</v>
      </c>
      <c r="P85" s="234"/>
      <c r="Q85" s="234"/>
      <c r="R85" s="234"/>
      <c r="S85" s="234"/>
      <c r="T85" s="234"/>
      <c r="U85" s="256" t="str">
        <f>IFERROR(__xludf.DUMMYFUNCTION("""COMPUTED_VALUE"""),"ID.me")</f>
        <v>ID.me</v>
      </c>
      <c r="V85" s="234">
        <f>IFERROR(__xludf.DUMMYFUNCTION("""COMPUTED_VALUE"""),"1")</f>
        <v>1</v>
      </c>
      <c r="W85" s="234" t="str">
        <f>IFERROR(__xludf.DUMMYFUNCTION("""COMPUTED_VALUE"""),"eSignLive, E-Signature and Digital Signature Service by Project Hosts")</f>
        <v>eSignLive, E-Signature and Digital Signature Service by Project Hosts</v>
      </c>
      <c r="X85" s="234">
        <f>IFERROR(__xludf.DUMMYFUNCTION("""COMPUTED_VALUE"""),"3")</f>
        <v>3</v>
      </c>
      <c r="Y85" s="234" t="str">
        <f>IFERROR(__xludf.DUMMYFUNCTION("""COMPUTED_VALUE"""),"United States Patent and Trademark Office")</f>
        <v>United States Patent and Trademark Office</v>
      </c>
      <c r="Z85" s="234">
        <f>IFERROR(__xludf.DUMMYFUNCTION("""COMPUTED_VALUE"""),"16")</f>
        <v>16</v>
      </c>
      <c r="AA85" s="234"/>
    </row>
    <row r="86" ht="14.25" customHeight="1">
      <c r="A86" s="234"/>
      <c r="B86" s="239" t="s">
        <v>1347</v>
      </c>
      <c r="C86" s="234"/>
      <c r="D86" s="239" t="s">
        <v>1785</v>
      </c>
      <c r="E86" s="239" t="s">
        <v>1583</v>
      </c>
      <c r="F86" s="234"/>
      <c r="G86" s="234"/>
      <c r="H86" s="234"/>
      <c r="I86" s="234"/>
      <c r="J86" s="234"/>
      <c r="K86" s="234"/>
      <c r="L86" s="234"/>
      <c r="M86" s="234"/>
      <c r="N86" s="234"/>
      <c r="O86" s="239" t="s">
        <v>1790</v>
      </c>
      <c r="P86" s="234"/>
      <c r="Q86" s="234"/>
      <c r="R86" s="234"/>
      <c r="S86" s="234"/>
      <c r="T86" s="234"/>
      <c r="U86" s="234" t="str">
        <f>IFERROR(__xludf.DUMMYFUNCTION("""COMPUTED_VALUE"""),"IdeaScale")</f>
        <v>IdeaScale</v>
      </c>
      <c r="V86" s="234">
        <f>IFERROR(__xludf.DUMMYFUNCTION("""COMPUTED_VALUE"""),"2")</f>
        <v>2</v>
      </c>
      <c r="W86" s="234" t="str">
        <f>IFERROR(__xludf.DUMMYFUNCTION("""COMPUTED_VALUE"""),"Esri Managed Cloud Services")</f>
        <v>Esri Managed Cloud Services</v>
      </c>
      <c r="X86" s="234">
        <f>IFERROR(__xludf.DUMMYFUNCTION("""COMPUTED_VALUE"""),"6")</f>
        <v>6</v>
      </c>
      <c r="Y86" s="234" t="str">
        <f>IFERROR(__xludf.DUMMYFUNCTION("""COMPUTED_VALUE"""),"United States Transportation Command")</f>
        <v>United States Transportation Command</v>
      </c>
      <c r="Z86" s="234">
        <f>IFERROR(__xludf.DUMMYFUNCTION("""COMPUTED_VALUE"""),"1")</f>
        <v>1</v>
      </c>
      <c r="AA86" s="234"/>
    </row>
    <row r="87" ht="14.25" customHeight="1">
      <c r="A87" s="234"/>
      <c r="B87" s="240" t="s">
        <v>1731</v>
      </c>
      <c r="C87" s="234"/>
      <c r="D87" s="240" t="s">
        <v>1792</v>
      </c>
      <c r="E87" s="240" t="s">
        <v>1023</v>
      </c>
      <c r="F87" s="234"/>
      <c r="G87" s="234"/>
      <c r="H87" s="234"/>
      <c r="I87" s="234"/>
      <c r="J87" s="234"/>
      <c r="K87" s="234"/>
      <c r="L87" s="234"/>
      <c r="M87" s="234"/>
      <c r="N87" s="234"/>
      <c r="O87" s="240" t="s">
        <v>1794</v>
      </c>
      <c r="P87" s="234"/>
      <c r="Q87" s="234"/>
      <c r="R87" s="234"/>
      <c r="S87" s="234"/>
      <c r="T87" s="234"/>
      <c r="U87" s="234" t="str">
        <f>IFERROR(__xludf.DUMMYFUNCTION("""COMPUTED_VALUE"""),"Infor Public Sector")</f>
        <v>Infor Public Sector</v>
      </c>
      <c r="V87" s="234">
        <f>IFERROR(__xludf.DUMMYFUNCTION("""COMPUTED_VALUE"""),"1")</f>
        <v>1</v>
      </c>
      <c r="W87" s="234" t="str">
        <f>IFERROR(__xludf.DUMMYFUNCTION("""COMPUTED_VALUE"""),"Everbridge Suite")</f>
        <v>Everbridge Suite</v>
      </c>
      <c r="X87" s="234">
        <f>IFERROR(__xludf.DUMMYFUNCTION("""COMPUTED_VALUE"""),"2")</f>
        <v>2</v>
      </c>
      <c r="Y87" s="234" t="str">
        <f>IFERROR(__xludf.DUMMYFUNCTION("""COMPUTED_VALUE"""),"Washington Headquarters Services")</f>
        <v>Washington Headquarters Services</v>
      </c>
      <c r="Z87" s="234">
        <f>IFERROR(__xludf.DUMMYFUNCTION("""COMPUTED_VALUE"""),"1")</f>
        <v>1</v>
      </c>
      <c r="AA87" s="234"/>
    </row>
    <row r="88" ht="14.25" customHeight="1">
      <c r="A88" s="234"/>
      <c r="B88" s="239" t="s">
        <v>1737</v>
      </c>
      <c r="C88" s="234"/>
      <c r="D88" s="240" t="s">
        <v>1801</v>
      </c>
      <c r="E88" s="240" t="s">
        <v>327</v>
      </c>
      <c r="F88" s="234"/>
      <c r="G88" s="234"/>
      <c r="H88" s="234"/>
      <c r="I88" s="234"/>
      <c r="J88" s="234"/>
      <c r="K88" s="234"/>
      <c r="L88" s="234"/>
      <c r="M88" s="234"/>
      <c r="N88" s="234"/>
      <c r="O88" s="239" t="s">
        <v>1802</v>
      </c>
      <c r="P88" s="234"/>
      <c r="Q88" s="234"/>
      <c r="R88" s="234"/>
      <c r="S88" s="234"/>
      <c r="T88" s="234"/>
      <c r="U88" s="234" t="str">
        <f>IFERROR(__xludf.DUMMYFUNCTION("""COMPUTED_VALUE"""),"Innovative Discovery, LLC")</f>
        <v>Innovative Discovery, LLC</v>
      </c>
      <c r="V88" s="234">
        <f>IFERROR(__xludf.DUMMYFUNCTION("""COMPUTED_VALUE"""),"1")</f>
        <v>1</v>
      </c>
      <c r="W88" s="234" t="str">
        <f>IFERROR(__xludf.DUMMYFUNCTION("""COMPUTED_VALUE"""),"Falcon Platform")</f>
        <v>Falcon Platform</v>
      </c>
      <c r="X88" s="234">
        <f>IFERROR(__xludf.DUMMYFUNCTION("""COMPUTED_VALUE"""),"1")</f>
        <v>1</v>
      </c>
      <c r="Y88" s="234"/>
      <c r="Z88" s="234"/>
      <c r="AA88" s="234"/>
    </row>
    <row r="89" ht="14.25" customHeight="1">
      <c r="A89" s="234"/>
      <c r="B89" s="240" t="s">
        <v>1740</v>
      </c>
      <c r="C89" s="234"/>
      <c r="D89" s="239" t="s">
        <v>1807</v>
      </c>
      <c r="E89" s="239" t="s">
        <v>1133</v>
      </c>
      <c r="F89" s="234"/>
      <c r="G89" s="234"/>
      <c r="H89" s="234"/>
      <c r="I89" s="234"/>
      <c r="J89" s="234"/>
      <c r="K89" s="234"/>
      <c r="L89" s="234"/>
      <c r="M89" s="234"/>
      <c r="N89" s="234"/>
      <c r="O89" s="240" t="s">
        <v>1808</v>
      </c>
      <c r="P89" s="234"/>
      <c r="Q89" s="234"/>
      <c r="R89" s="234"/>
      <c r="S89" s="234"/>
      <c r="T89" s="234"/>
      <c r="U89" s="234" t="str">
        <f>IFERROR(__xludf.DUMMYFUNCTION("""COMPUTED_VALUE"""),"Innovest Systems, LLC")</f>
        <v>Innovest Systems, LLC</v>
      </c>
      <c r="V89" s="234">
        <f>IFERROR(__xludf.DUMMYFUNCTION("""COMPUTED_VALUE"""),"1")</f>
        <v>1</v>
      </c>
      <c r="W89" s="234" t="str">
        <f>IFERROR(__xludf.DUMMYFUNCTION("""COMPUTED_VALUE"""),"FedConnect")</f>
        <v>FedConnect</v>
      </c>
      <c r="X89" s="234">
        <f>IFERROR(__xludf.DUMMYFUNCTION("""COMPUTED_VALUE"""),"1")</f>
        <v>1</v>
      </c>
      <c r="Y89" s="234"/>
      <c r="Z89" s="234"/>
      <c r="AA89" s="234"/>
    </row>
    <row r="90" ht="14.25" customHeight="1">
      <c r="A90" s="234"/>
      <c r="B90" s="239" t="s">
        <v>1744</v>
      </c>
      <c r="C90" s="234"/>
      <c r="D90" s="240" t="s">
        <v>1811</v>
      </c>
      <c r="E90" s="240" t="s">
        <v>175</v>
      </c>
      <c r="F90" s="234"/>
      <c r="G90" s="234"/>
      <c r="H90" s="234"/>
      <c r="I90" s="234"/>
      <c r="J90" s="234"/>
      <c r="K90" s="234"/>
      <c r="L90" s="234"/>
      <c r="M90" s="234"/>
      <c r="N90" s="234"/>
      <c r="O90" s="239" t="s">
        <v>1812</v>
      </c>
      <c r="P90" s="234"/>
      <c r="Q90" s="234"/>
      <c r="R90" s="234"/>
      <c r="S90" s="234"/>
      <c r="T90" s="234"/>
      <c r="U90" s="234" t="str">
        <f>IFERROR(__xludf.DUMMYFUNCTION("""COMPUTED_VALUE"""),"Intelliworx")</f>
        <v>Intelliworx</v>
      </c>
      <c r="V90" s="234">
        <f>IFERROR(__xludf.DUMMYFUNCTION("""COMPUTED_VALUE"""),"1")</f>
        <v>1</v>
      </c>
      <c r="W90" s="234" t="str">
        <f>IFERROR(__xludf.DUMMYFUNCTION("""COMPUTED_VALUE"""),"Federal Cloud (VFC) ")</f>
        <v>Federal Cloud (VFC) </v>
      </c>
      <c r="X90" s="234">
        <f>IFERROR(__xludf.DUMMYFUNCTION("""COMPUTED_VALUE"""),"7")</f>
        <v>7</v>
      </c>
      <c r="Y90" s="234"/>
      <c r="Z90" s="234"/>
      <c r="AA90" s="234"/>
    </row>
    <row r="91" ht="14.25" customHeight="1">
      <c r="A91" s="234"/>
      <c r="B91" s="240" t="s">
        <v>972</v>
      </c>
      <c r="C91" s="234"/>
      <c r="D91" s="239" t="s">
        <v>1814</v>
      </c>
      <c r="E91" s="239" t="s">
        <v>327</v>
      </c>
      <c r="F91" s="234"/>
      <c r="G91" s="234"/>
      <c r="H91" s="234"/>
      <c r="I91" s="234"/>
      <c r="J91" s="234"/>
      <c r="K91" s="234"/>
      <c r="L91" s="234"/>
      <c r="M91" s="234"/>
      <c r="N91" s="234"/>
      <c r="O91" s="240" t="s">
        <v>1815</v>
      </c>
      <c r="P91" s="234"/>
      <c r="Q91" s="234"/>
      <c r="R91" s="234"/>
      <c r="S91" s="234"/>
      <c r="T91" s="234"/>
      <c r="U91" s="234" t="str">
        <f>IFERROR(__xludf.DUMMYFUNCTION("""COMPUTED_VALUE"""),"iSite LLC")</f>
        <v>iSite LLC</v>
      </c>
      <c r="V91" s="234">
        <f>IFERROR(__xludf.DUMMYFUNCTION("""COMPUTED_VALUE"""),"2")</f>
        <v>2</v>
      </c>
      <c r="W91" s="234" t="str">
        <f>IFERROR(__xludf.DUMMYFUNCTION("""COMPUTED_VALUE"""),"Federal Cloud Discovery Services (FCDS)")</f>
        <v>Federal Cloud Discovery Services (FCDS)</v>
      </c>
      <c r="X91" s="234">
        <f>IFERROR(__xludf.DUMMYFUNCTION("""COMPUTED_VALUE"""),"1")</f>
        <v>1</v>
      </c>
      <c r="Y91" s="234"/>
      <c r="Z91" s="234"/>
      <c r="AA91" s="234"/>
    </row>
    <row r="92" ht="14.25" customHeight="1">
      <c r="A92" s="234"/>
      <c r="B92" s="239" t="s">
        <v>1574</v>
      </c>
      <c r="C92" s="234"/>
      <c r="D92" s="240" t="s">
        <v>1817</v>
      </c>
      <c r="E92" s="240" t="s">
        <v>969</v>
      </c>
      <c r="F92" s="234"/>
      <c r="G92" s="234"/>
      <c r="H92" s="234"/>
      <c r="I92" s="234"/>
      <c r="J92" s="234"/>
      <c r="K92" s="234"/>
      <c r="L92" s="234"/>
      <c r="M92" s="234"/>
      <c r="N92" s="234"/>
      <c r="O92" s="239" t="s">
        <v>1818</v>
      </c>
      <c r="P92" s="234"/>
      <c r="Q92" s="234"/>
      <c r="R92" s="234"/>
      <c r="S92" s="234"/>
      <c r="T92" s="234"/>
      <c r="U92" s="234" t="str">
        <f>IFERROR(__xludf.DUMMYFUNCTION("""COMPUTED_VALUE"""),"IT-CNP")</f>
        <v>IT-CNP</v>
      </c>
      <c r="V92" s="234">
        <f>IFERROR(__xludf.DUMMYFUNCTION("""COMPUTED_VALUE"""),"5")</f>
        <v>5</v>
      </c>
      <c r="W92" s="234" t="str">
        <f>IFERROR(__xludf.DUMMYFUNCTION("""COMPUTED_VALUE"""),"Federal High Impact Virtualized Environment (FedHIVE)")</f>
        <v>Federal High Impact Virtualized Environment (FedHIVE)</v>
      </c>
      <c r="X92" s="234">
        <f>IFERROR(__xludf.DUMMYFUNCTION("""COMPUTED_VALUE"""),"1")</f>
        <v>1</v>
      </c>
      <c r="Y92" s="234"/>
      <c r="Z92" s="234"/>
      <c r="AA92" s="234"/>
    </row>
    <row r="93" ht="14.25" customHeight="1">
      <c r="A93" s="234"/>
      <c r="B93" s="240" t="s">
        <v>1751</v>
      </c>
      <c r="C93" s="234"/>
      <c r="D93" s="240" t="s">
        <v>1820</v>
      </c>
      <c r="E93" s="240" t="s">
        <v>327</v>
      </c>
      <c r="F93" s="234"/>
      <c r="G93" s="234"/>
      <c r="H93" s="234"/>
      <c r="I93" s="234"/>
      <c r="J93" s="234"/>
      <c r="K93" s="234"/>
      <c r="L93" s="234"/>
      <c r="M93" s="234"/>
      <c r="N93" s="234"/>
      <c r="O93" s="240" t="s">
        <v>643</v>
      </c>
      <c r="P93" s="234"/>
      <c r="Q93" s="234"/>
      <c r="R93" s="234"/>
      <c r="S93" s="234"/>
      <c r="T93" s="234"/>
      <c r="U93" s="234" t="str">
        <f>IFERROR(__xludf.DUMMYFUNCTION("""COMPUTED_VALUE"""),"Ivanti")</f>
        <v>Ivanti</v>
      </c>
      <c r="V93" s="234">
        <f>IFERROR(__xludf.DUMMYFUNCTION("""COMPUTED_VALUE"""),"1")</f>
        <v>1</v>
      </c>
      <c r="W93" s="234" t="str">
        <f>IFERROR(__xludf.DUMMYFUNCTION("""COMPUTED_VALUE"""),"Federal Managed Cloud Services")</f>
        <v>Federal Managed Cloud Services</v>
      </c>
      <c r="X93" s="234">
        <f>IFERROR(__xludf.DUMMYFUNCTION("""COMPUTED_VALUE"""),"14")</f>
        <v>14</v>
      </c>
      <c r="Y93" s="234"/>
      <c r="Z93" s="234"/>
      <c r="AA93" s="234"/>
    </row>
    <row r="94" ht="14.25" customHeight="1">
      <c r="A94" s="234"/>
      <c r="B94" s="239" t="s">
        <v>1754</v>
      </c>
      <c r="C94" s="234"/>
      <c r="D94" s="239" t="s">
        <v>1821</v>
      </c>
      <c r="E94" s="239" t="s">
        <v>327</v>
      </c>
      <c r="F94" s="234"/>
      <c r="G94" s="234"/>
      <c r="H94" s="234"/>
      <c r="I94" s="234"/>
      <c r="J94" s="234"/>
      <c r="K94" s="234"/>
      <c r="L94" s="234"/>
      <c r="M94" s="234"/>
      <c r="N94" s="234"/>
      <c r="O94" s="239" t="s">
        <v>1822</v>
      </c>
      <c r="P94" s="234"/>
      <c r="Q94" s="234"/>
      <c r="R94" s="234"/>
      <c r="S94" s="234"/>
      <c r="T94" s="234"/>
      <c r="U94" s="234" t="str">
        <f>IFERROR(__xludf.DUMMYFUNCTION("""COMPUTED_VALUE"""),"Jive Software")</f>
        <v>Jive Software</v>
      </c>
      <c r="V94" s="234">
        <f>IFERROR(__xludf.DUMMYFUNCTION("""COMPUTED_VALUE"""),"1")</f>
        <v>1</v>
      </c>
      <c r="W94" s="234" t="str">
        <f>IFERROR(__xludf.DUMMYFUNCTION("""COMPUTED_VALUE"""),"Federal Private Cloud")</f>
        <v>Federal Private Cloud</v>
      </c>
      <c r="X94" s="234">
        <f>IFERROR(__xludf.DUMMYFUNCTION("""COMPUTED_VALUE"""),"9")</f>
        <v>9</v>
      </c>
      <c r="Y94" s="234"/>
      <c r="Z94" s="234"/>
      <c r="AA94" s="234"/>
    </row>
    <row r="95" ht="14.25" customHeight="1">
      <c r="A95" s="234"/>
      <c r="B95" s="240" t="s">
        <v>1045</v>
      </c>
      <c r="C95" s="234"/>
      <c r="D95" s="239" t="s">
        <v>1824</v>
      </c>
      <c r="E95" s="239" t="s">
        <v>1023</v>
      </c>
      <c r="F95" s="234"/>
      <c r="G95" s="234"/>
      <c r="H95" s="234"/>
      <c r="I95" s="234"/>
      <c r="J95" s="234"/>
      <c r="K95" s="234"/>
      <c r="L95" s="234"/>
      <c r="M95" s="234"/>
      <c r="N95" s="245"/>
      <c r="O95" s="240" t="s">
        <v>1825</v>
      </c>
      <c r="P95" s="234"/>
      <c r="Q95" s="234"/>
      <c r="R95" s="234"/>
      <c r="S95" s="234"/>
      <c r="T95" s="234"/>
      <c r="U95" s="234" t="str">
        <f>IFERROR(__xludf.DUMMYFUNCTION("""COMPUTED_VALUE"""),"Knight Point Systems")</f>
        <v>Knight Point Systems</v>
      </c>
      <c r="V95" s="234">
        <f>IFERROR(__xludf.DUMMYFUNCTION("""COMPUTED_VALUE"""),"2")</f>
        <v>2</v>
      </c>
      <c r="W95" s="234" t="str">
        <f>IFERROR(__xludf.DUMMYFUNCTION("""COMPUTED_VALUE"""),"FedGRID Government Community Cloud")</f>
        <v>FedGRID Government Community Cloud</v>
      </c>
      <c r="X95" s="234">
        <f>IFERROR(__xludf.DUMMYFUNCTION("""COMPUTED_VALUE"""),"2")</f>
        <v>2</v>
      </c>
      <c r="Y95" s="234"/>
      <c r="Z95" s="234"/>
      <c r="AA95" s="234"/>
    </row>
    <row r="96" ht="14.25" customHeight="1">
      <c r="A96" s="234"/>
      <c r="B96" s="239" t="s">
        <v>1757</v>
      </c>
      <c r="C96" s="234"/>
      <c r="D96" s="240" t="s">
        <v>1829</v>
      </c>
      <c r="E96" s="240" t="s">
        <v>1023</v>
      </c>
      <c r="F96" s="234"/>
      <c r="G96" s="234"/>
      <c r="H96" s="234"/>
      <c r="I96" s="234"/>
      <c r="J96" s="234"/>
      <c r="K96" s="234"/>
      <c r="L96" s="234"/>
      <c r="M96" s="234"/>
      <c r="N96" s="234"/>
      <c r="O96" s="239" t="s">
        <v>1830</v>
      </c>
      <c r="P96" s="234"/>
      <c r="Q96" s="234"/>
      <c r="R96" s="234"/>
      <c r="S96" s="234"/>
      <c r="T96" s="234"/>
      <c r="U96" s="234" t="str">
        <f>IFERROR(__xludf.DUMMYFUNCTION("""COMPUTED_VALUE"""),"Leidos")</f>
        <v>Leidos</v>
      </c>
      <c r="V96" s="234">
        <f>IFERROR(__xludf.DUMMYFUNCTION("""COMPUTED_VALUE"""),"5")</f>
        <v>5</v>
      </c>
      <c r="W96" s="234" t="str">
        <f>IFERROR(__xludf.DUMMYFUNCTION("""COMPUTED_VALUE"""),"FedRAMP Compliant CloudPlus")</f>
        <v>FedRAMP Compliant CloudPlus</v>
      </c>
      <c r="X96" s="234">
        <f>IFERROR(__xludf.DUMMYFUNCTION("""COMPUTED_VALUE"""),"4")</f>
        <v>4</v>
      </c>
      <c r="Y96" s="234"/>
      <c r="Z96" s="234"/>
      <c r="AA96" s="234"/>
    </row>
    <row r="97" ht="14.25" customHeight="1">
      <c r="A97" s="234"/>
      <c r="B97" s="240" t="s">
        <v>1760</v>
      </c>
      <c r="C97" s="234"/>
      <c r="D97" s="258" t="s">
        <v>1085</v>
      </c>
      <c r="E97" s="239" t="s">
        <v>1023</v>
      </c>
      <c r="F97" s="234"/>
      <c r="G97" s="234"/>
      <c r="H97" s="234"/>
      <c r="I97" s="234"/>
      <c r="J97" s="234"/>
      <c r="K97" s="234"/>
      <c r="L97" s="234"/>
      <c r="M97" s="234"/>
      <c r="N97" s="234"/>
      <c r="O97" s="240" t="s">
        <v>1834</v>
      </c>
      <c r="P97" s="234"/>
      <c r="Q97" s="234"/>
      <c r="R97" s="234"/>
      <c r="S97" s="234"/>
      <c r="T97" s="234"/>
      <c r="U97" s="234" t="str">
        <f>IFERROR(__xludf.DUMMYFUNCTION("""COMPUTED_VALUE"""),"Lifeline Data Centers, LLC")</f>
        <v>Lifeline Data Centers, LLC</v>
      </c>
      <c r="V97" s="234">
        <f>IFERROR(__xludf.DUMMYFUNCTION("""COMPUTED_VALUE"""),"1")</f>
        <v>1</v>
      </c>
      <c r="W97" s="234" t="str">
        <f>IFERROR(__xludf.DUMMYFUNCTION("""COMPUTED_VALUE"""),"FedRAMP Project Office JumpStart provided by Project Hosts")</f>
        <v>FedRAMP Project Office JumpStart provided by Project Hosts</v>
      </c>
      <c r="X97" s="234">
        <f>IFERROR(__xludf.DUMMYFUNCTION("""COMPUTED_VALUE"""),"1")</f>
        <v>1</v>
      </c>
      <c r="Y97" s="234"/>
      <c r="Z97" s="234"/>
      <c r="AA97" s="234"/>
    </row>
    <row r="98" ht="14.25" customHeight="1">
      <c r="A98" s="234"/>
      <c r="B98" s="239" t="s">
        <v>1763</v>
      </c>
      <c r="C98" s="234"/>
      <c r="D98" s="239" t="s">
        <v>1837</v>
      </c>
      <c r="E98" s="239" t="s">
        <v>196</v>
      </c>
      <c r="F98" s="234"/>
      <c r="G98" s="234"/>
      <c r="H98" s="234"/>
      <c r="I98" s="234"/>
      <c r="J98" s="234"/>
      <c r="K98" s="234"/>
      <c r="L98" s="234"/>
      <c r="M98" s="234"/>
      <c r="N98" s="234"/>
      <c r="O98" s="239" t="s">
        <v>1840</v>
      </c>
      <c r="P98" s="234"/>
      <c r="Q98" s="234"/>
      <c r="R98" s="234"/>
      <c r="S98" s="234"/>
      <c r="T98" s="234"/>
      <c r="U98" s="234" t="str">
        <f>IFERROR(__xludf.DUMMYFUNCTION("""COMPUTED_VALUE"""),"Lookout, Inc.")</f>
        <v>Lookout, Inc.</v>
      </c>
      <c r="V98" s="234">
        <f>IFERROR(__xludf.DUMMYFUNCTION("""COMPUTED_VALUE"""),"1")</f>
        <v>1</v>
      </c>
      <c r="W98" s="234" t="str">
        <f>IFERROR(__xludf.DUMMYFUNCTION("""COMPUTED_VALUE"""),"FireEye Email Threat Prevention (ETP) Service")</f>
        <v>FireEye Email Threat Prevention (ETP) Service</v>
      </c>
      <c r="X98" s="234">
        <f>IFERROR(__xludf.DUMMYFUNCTION("""COMPUTED_VALUE"""),"1")</f>
        <v>1</v>
      </c>
      <c r="Y98" s="234"/>
      <c r="Z98" s="234"/>
      <c r="AA98" s="234"/>
    </row>
    <row r="99" ht="14.25" customHeight="1">
      <c r="A99" s="234"/>
      <c r="B99" s="240" t="s">
        <v>1843</v>
      </c>
      <c r="C99" s="234"/>
      <c r="D99" s="240" t="s">
        <v>1844</v>
      </c>
      <c r="E99" s="240" t="s">
        <v>850</v>
      </c>
      <c r="F99" s="234"/>
      <c r="G99" s="234"/>
      <c r="H99" s="234"/>
      <c r="I99" s="234"/>
      <c r="J99" s="234"/>
      <c r="K99" s="234"/>
      <c r="L99" s="234"/>
      <c r="M99" s="234"/>
      <c r="N99" s="245"/>
      <c r="O99" s="240" t="s">
        <v>1846</v>
      </c>
      <c r="P99" s="234"/>
      <c r="Q99" s="234"/>
      <c r="R99" s="234"/>
      <c r="S99" s="234"/>
      <c r="T99" s="234"/>
      <c r="U99" s="234" t="str">
        <f>IFERROR(__xludf.DUMMYFUNCTION("""COMPUTED_VALUE"""),"MAXIMUS Inc.")</f>
        <v>MAXIMUS Inc.</v>
      </c>
      <c r="V99" s="234">
        <f>IFERROR(__xludf.DUMMYFUNCTION("""COMPUTED_VALUE"""),"1")</f>
        <v>1</v>
      </c>
      <c r="W99" s="234" t="str">
        <f>IFERROR(__xludf.DUMMYFUNCTION("""COMPUTED_VALUE"""),"Forcepoint Cloud Security")</f>
        <v>Forcepoint Cloud Security</v>
      </c>
      <c r="X99" s="234">
        <f>IFERROR(__xludf.DUMMYFUNCTION("""COMPUTED_VALUE"""),"1")</f>
        <v>1</v>
      </c>
      <c r="Y99" s="234"/>
      <c r="Z99" s="234"/>
      <c r="AA99" s="234"/>
    </row>
    <row r="100" ht="14.25" customHeight="1">
      <c r="A100" s="234"/>
      <c r="B100" s="239" t="s">
        <v>1767</v>
      </c>
      <c r="C100" s="234"/>
      <c r="D100" s="239" t="s">
        <v>1848</v>
      </c>
      <c r="E100" s="239" t="s">
        <v>850</v>
      </c>
      <c r="F100" s="234"/>
      <c r="G100" s="234"/>
      <c r="H100" s="234"/>
      <c r="I100" s="234"/>
      <c r="J100" s="234"/>
      <c r="K100" s="234"/>
      <c r="L100" s="234"/>
      <c r="M100" s="234"/>
      <c r="N100" s="234"/>
      <c r="O100" s="239" t="s">
        <v>1849</v>
      </c>
      <c r="P100" s="234"/>
      <c r="Q100" s="234"/>
      <c r="R100" s="234"/>
      <c r="S100" s="234"/>
      <c r="T100" s="234"/>
      <c r="U100" s="234" t="str">
        <f>IFERROR(__xludf.DUMMYFUNCTION("""COMPUTED_VALUE"""),"Medallia, Inc.")</f>
        <v>Medallia, Inc.</v>
      </c>
      <c r="V100" s="234">
        <f>IFERROR(__xludf.DUMMYFUNCTION("""COMPUTED_VALUE"""),"1")</f>
        <v>1</v>
      </c>
      <c r="W100" s="234" t="str">
        <f>IFERROR(__xludf.DUMMYFUNCTION("""COMPUTED_VALUE"""),"Fortify on Demand")</f>
        <v>Fortify on Demand</v>
      </c>
      <c r="X100" s="234">
        <f>IFERROR(__xludf.DUMMYFUNCTION("""COMPUTED_VALUE"""),"2")</f>
        <v>2</v>
      </c>
      <c r="Y100" s="234"/>
      <c r="Z100" s="234"/>
      <c r="AA100" s="234"/>
    </row>
    <row r="101" ht="14.25" customHeight="1">
      <c r="A101" s="234"/>
      <c r="B101" s="240" t="s">
        <v>1771</v>
      </c>
      <c r="C101" s="234"/>
      <c r="D101" s="240" t="s">
        <v>1852</v>
      </c>
      <c r="E101" s="240" t="s">
        <v>850</v>
      </c>
      <c r="F101" s="234"/>
      <c r="G101" s="234"/>
      <c r="H101" s="234"/>
      <c r="I101" s="234"/>
      <c r="J101" s="234"/>
      <c r="K101" s="234"/>
      <c r="L101" s="234"/>
      <c r="M101" s="234"/>
      <c r="N101" s="234"/>
      <c r="O101" s="240" t="s">
        <v>1547</v>
      </c>
      <c r="P101" s="234"/>
      <c r="Q101" s="234"/>
      <c r="R101" s="234"/>
      <c r="S101" s="234"/>
      <c r="T101" s="234"/>
      <c r="U101" s="234" t="str">
        <f>IFERROR(__xludf.DUMMYFUNCTION("""COMPUTED_VALUE"""),"MicroFocus")</f>
        <v>MicroFocus</v>
      </c>
      <c r="V101" s="234">
        <f>IFERROR(__xludf.DUMMYFUNCTION("""COMPUTED_VALUE"""),"2")</f>
        <v>2</v>
      </c>
      <c r="W101" s="234" t="str">
        <f>IFERROR(__xludf.DUMMYFUNCTION("""COMPUTED_VALUE"""),"Frame Platform Government Edition")</f>
        <v>Frame Platform Government Edition</v>
      </c>
      <c r="X101" s="234">
        <f>IFERROR(__xludf.DUMMYFUNCTION("""COMPUTED_VALUE"""),"1")</f>
        <v>1</v>
      </c>
      <c r="Y101" s="234"/>
      <c r="Z101" s="234"/>
      <c r="AA101" s="234"/>
    </row>
    <row r="102" ht="14.25" customHeight="1">
      <c r="A102" s="234"/>
      <c r="B102" s="239" t="s">
        <v>1776</v>
      </c>
      <c r="C102" s="234"/>
      <c r="D102" s="239" t="s">
        <v>1853</v>
      </c>
      <c r="E102" s="239" t="s">
        <v>1452</v>
      </c>
      <c r="F102" s="234"/>
      <c r="G102" s="234"/>
      <c r="H102" s="234"/>
      <c r="I102" s="234"/>
      <c r="J102" s="234"/>
      <c r="K102" s="234"/>
      <c r="L102" s="234"/>
      <c r="M102" s="234"/>
      <c r="N102" s="234"/>
      <c r="O102" s="239" t="s">
        <v>1854</v>
      </c>
      <c r="P102" s="234"/>
      <c r="Q102" s="234"/>
      <c r="R102" s="234"/>
      <c r="S102" s="234"/>
      <c r="T102" s="234"/>
      <c r="U102" s="234" t="str">
        <f>IFERROR(__xludf.DUMMYFUNCTION("""COMPUTED_VALUE"""),"MicroPact")</f>
        <v>MicroPact</v>
      </c>
      <c r="V102" s="234">
        <f>IFERROR(__xludf.DUMMYFUNCTION("""COMPUTED_VALUE"""),"22")</f>
        <v>22</v>
      </c>
      <c r="W102" s="234" t="str">
        <f>IFERROR(__xludf.DUMMYFUNCTION("""COMPUTED_VALUE"""),"GDIT Cloud")</f>
        <v>GDIT Cloud</v>
      </c>
      <c r="X102" s="234">
        <f>IFERROR(__xludf.DUMMYFUNCTION("""COMPUTED_VALUE"""),"10")</f>
        <v>10</v>
      </c>
      <c r="Y102" s="234"/>
      <c r="Z102" s="234"/>
      <c r="AA102" s="234"/>
    </row>
    <row r="103" ht="14.25" customHeight="1">
      <c r="A103" s="234"/>
      <c r="B103" s="240" t="s">
        <v>1780</v>
      </c>
      <c r="C103" s="234"/>
      <c r="D103" s="239" t="s">
        <v>1859</v>
      </c>
      <c r="E103" s="239" t="s">
        <v>1492</v>
      </c>
      <c r="F103" s="234"/>
      <c r="G103" s="234"/>
      <c r="H103" s="234"/>
      <c r="I103" s="234"/>
      <c r="J103" s="234"/>
      <c r="K103" s="234"/>
      <c r="L103" s="234"/>
      <c r="M103" s="234"/>
      <c r="N103" s="234"/>
      <c r="O103" s="240" t="s">
        <v>1861</v>
      </c>
      <c r="P103" s="234"/>
      <c r="Q103" s="234"/>
      <c r="R103" s="234"/>
      <c r="S103" s="234"/>
      <c r="T103" s="234"/>
      <c r="U103" s="234" t="str">
        <f>IFERROR(__xludf.DUMMYFUNCTION("""COMPUTED_VALUE"""),"Microsoft")</f>
        <v>Microsoft</v>
      </c>
      <c r="V103" s="234">
        <f>IFERROR(__xludf.DUMMYFUNCTION("""COMPUTED_VALUE"""),"105")</f>
        <v>105</v>
      </c>
      <c r="W103" s="234" t="str">
        <f>IFERROR(__xludf.DUMMYFUNCTION("""COMPUTED_VALUE"""),"GitHub Business Cloud")</f>
        <v>GitHub Business Cloud</v>
      </c>
      <c r="X103" s="234">
        <f>IFERROR(__xludf.DUMMYFUNCTION("""COMPUTED_VALUE"""),"1")</f>
        <v>1</v>
      </c>
      <c r="Y103" s="234"/>
      <c r="Z103" s="234"/>
      <c r="AA103" s="234"/>
    </row>
    <row r="104" ht="14.25" customHeight="1">
      <c r="A104" s="234"/>
      <c r="B104" s="239" t="s">
        <v>1864</v>
      </c>
      <c r="C104" s="234"/>
      <c r="D104" s="239" t="s">
        <v>1865</v>
      </c>
      <c r="E104" s="239" t="s">
        <v>850</v>
      </c>
      <c r="F104" s="234"/>
      <c r="G104" s="234"/>
      <c r="H104" s="234"/>
      <c r="I104" s="234"/>
      <c r="J104" s="234"/>
      <c r="K104" s="234"/>
      <c r="L104" s="234"/>
      <c r="M104" s="234"/>
      <c r="N104" s="245"/>
      <c r="O104" s="239" t="s">
        <v>1867</v>
      </c>
      <c r="P104" s="234"/>
      <c r="Q104" s="234"/>
      <c r="R104" s="234"/>
      <c r="S104" s="234"/>
      <c r="T104" s="234"/>
      <c r="U104" s="234" t="str">
        <f>IFERROR(__xludf.DUMMYFUNCTION("""COMPUTED_VALUE"""),"Microsoft ")</f>
        <v>Microsoft </v>
      </c>
      <c r="V104" s="234">
        <f>IFERROR(__xludf.DUMMYFUNCTION("""COMPUTED_VALUE"""),"1")</f>
        <v>1</v>
      </c>
      <c r="W104" s="234" t="str">
        <f>IFERROR(__xludf.DUMMYFUNCTION("""COMPUTED_VALUE"""),"Global Foundation Services (GFS) Cloud Infrastructure")</f>
        <v>Global Foundation Services (GFS) Cloud Infrastructure</v>
      </c>
      <c r="X104" s="234">
        <f>IFERROR(__xludf.DUMMYFUNCTION("""COMPUTED_VALUE"""),"4")</f>
        <v>4</v>
      </c>
      <c r="Y104" s="234"/>
      <c r="Z104" s="234"/>
      <c r="AA104" s="234"/>
    </row>
    <row r="105" ht="14.25" customHeight="1">
      <c r="A105" s="234"/>
      <c r="B105" s="240" t="s">
        <v>1783</v>
      </c>
      <c r="C105" s="234"/>
      <c r="D105" s="239" t="s">
        <v>1871</v>
      </c>
      <c r="E105" s="239" t="s">
        <v>1510</v>
      </c>
      <c r="F105" s="234"/>
      <c r="G105" s="234"/>
      <c r="H105" s="234"/>
      <c r="I105" s="234"/>
      <c r="J105" s="234"/>
      <c r="K105" s="234"/>
      <c r="L105" s="234"/>
      <c r="M105" s="234"/>
      <c r="N105" s="234"/>
      <c r="O105" s="240" t="s">
        <v>1873</v>
      </c>
      <c r="P105" s="234"/>
      <c r="Q105" s="234"/>
      <c r="R105" s="234"/>
      <c r="S105" s="234"/>
      <c r="T105" s="234"/>
      <c r="U105" s="234" t="str">
        <f>IFERROR(__xludf.DUMMYFUNCTION("""COMPUTED_VALUE"""),"MIS Sciences Corporation")</f>
        <v>MIS Sciences Corporation</v>
      </c>
      <c r="V105" s="234">
        <f>IFERROR(__xludf.DUMMYFUNCTION("""COMPUTED_VALUE"""),"4")</f>
        <v>4</v>
      </c>
      <c r="W105" s="234" t="str">
        <f>IFERROR(__xludf.DUMMYFUNCTION("""COMPUTED_VALUE"""),"Global Foundation Services for Government Offering (GSGO)")</f>
        <v>Global Foundation Services for Government Offering (GSGO)</v>
      </c>
      <c r="X105" s="234">
        <f>IFERROR(__xludf.DUMMYFUNCTION("""COMPUTED_VALUE"""),"1")</f>
        <v>1</v>
      </c>
      <c r="Y105" s="234"/>
      <c r="Z105" s="234"/>
      <c r="AA105" s="234"/>
    </row>
    <row r="106" ht="14.25" customHeight="1">
      <c r="A106" s="234"/>
      <c r="B106" s="239" t="s">
        <v>1786</v>
      </c>
      <c r="C106" s="234"/>
      <c r="D106" s="240" t="s">
        <v>1875</v>
      </c>
      <c r="E106" s="240" t="s">
        <v>402</v>
      </c>
      <c r="F106" s="234"/>
      <c r="G106" s="234"/>
      <c r="H106" s="234"/>
      <c r="I106" s="234"/>
      <c r="J106" s="234"/>
      <c r="K106" s="234"/>
      <c r="L106" s="234"/>
      <c r="M106" s="234"/>
      <c r="N106" s="234"/>
      <c r="O106" s="239" t="s">
        <v>1876</v>
      </c>
      <c r="P106" s="234"/>
      <c r="Q106" s="234"/>
      <c r="R106" s="234"/>
      <c r="S106" s="234"/>
      <c r="T106" s="234"/>
      <c r="U106" s="234" t="str">
        <f>IFERROR(__xludf.DUMMYFUNCTION("""COMPUTED_VALUE"""),"mLINQS")</f>
        <v>mLINQS</v>
      </c>
      <c r="V106" s="234">
        <f>IFERROR(__xludf.DUMMYFUNCTION("""COMPUTED_VALUE"""),"2")</f>
        <v>2</v>
      </c>
      <c r="W106" s="234" t="str">
        <f>IFERROR(__xludf.DUMMYFUNCTION("""COMPUTED_VALUE"""),"Google G Suite")</f>
        <v>Google G Suite</v>
      </c>
      <c r="X106" s="234">
        <f>IFERROR(__xludf.DUMMYFUNCTION("""COMPUTED_VALUE"""),"16")</f>
        <v>16</v>
      </c>
      <c r="Y106" s="234"/>
      <c r="Z106" s="234"/>
      <c r="AA106" s="234"/>
    </row>
    <row r="107" ht="14.25" customHeight="1">
      <c r="A107" s="234"/>
      <c r="B107" s="240" t="s">
        <v>1790</v>
      </c>
      <c r="C107" s="234"/>
      <c r="D107" s="239" t="s">
        <v>1878</v>
      </c>
      <c r="E107" s="239" t="s">
        <v>969</v>
      </c>
      <c r="F107" s="234"/>
      <c r="G107" s="234"/>
      <c r="H107" s="234"/>
      <c r="I107" s="234"/>
      <c r="J107" s="234"/>
      <c r="K107" s="234"/>
      <c r="L107" s="234"/>
      <c r="M107" s="234"/>
      <c r="N107" s="234"/>
      <c r="O107" s="240" t="s">
        <v>1879</v>
      </c>
      <c r="P107" s="234"/>
      <c r="Q107" s="234"/>
      <c r="R107" s="234"/>
      <c r="S107" s="234"/>
      <c r="T107" s="234"/>
      <c r="U107" s="234" t="str">
        <f>IFERROR(__xludf.DUMMYFUNCTION("""COMPUTED_VALUE"""),"MobileIron")</f>
        <v>MobileIron</v>
      </c>
      <c r="V107" s="234">
        <f>IFERROR(__xludf.DUMMYFUNCTION("""COMPUTED_VALUE"""),"1")</f>
        <v>1</v>
      </c>
      <c r="W107" s="234" t="str">
        <f>IFERROR(__xludf.DUMMYFUNCTION("""COMPUTED_VALUE"""),"Google Services (Google Cloud Platform Products and underlying Infrastructure)")</f>
        <v>Google Services (Google Cloud Platform Products and underlying Infrastructure)</v>
      </c>
      <c r="X107" s="234">
        <f>IFERROR(__xludf.DUMMYFUNCTION("""COMPUTED_VALUE"""),"1")</f>
        <v>1</v>
      </c>
      <c r="Y107" s="234"/>
      <c r="Z107" s="234"/>
      <c r="AA107" s="234"/>
    </row>
    <row r="108" ht="14.25" customHeight="1">
      <c r="A108" s="234"/>
      <c r="B108" s="239" t="s">
        <v>1794</v>
      </c>
      <c r="C108" s="234"/>
      <c r="D108" s="240" t="s">
        <v>1881</v>
      </c>
      <c r="E108" s="240" t="s">
        <v>1500</v>
      </c>
      <c r="F108" s="234"/>
      <c r="G108" s="234"/>
      <c r="H108" s="234"/>
      <c r="I108" s="234"/>
      <c r="J108" s="234"/>
      <c r="K108" s="234"/>
      <c r="L108" s="234"/>
      <c r="M108" s="234"/>
      <c r="N108" s="234"/>
      <c r="O108" s="239" t="s">
        <v>1883</v>
      </c>
      <c r="P108" s="234"/>
      <c r="Q108" s="234"/>
      <c r="R108" s="234"/>
      <c r="S108" s="234"/>
      <c r="T108" s="234"/>
      <c r="U108" s="234" t="str">
        <f>IFERROR(__xludf.DUMMYFUNCTION("""COMPUTED_VALUE"""),"Monster Government Solutions")</f>
        <v>Monster Government Solutions</v>
      </c>
      <c r="V108" s="234">
        <f>IFERROR(__xludf.DUMMYFUNCTION("""COMPUTED_VALUE"""),"1")</f>
        <v>1</v>
      </c>
      <c r="W108" s="234" t="str">
        <f>IFERROR(__xludf.DUMMYFUNCTION("""COMPUTED_VALUE"""),"Gordian Federal Cloud powered by RSMeans Data")</f>
        <v>Gordian Federal Cloud powered by RSMeans Data</v>
      </c>
      <c r="X108" s="234">
        <f>IFERROR(__xludf.DUMMYFUNCTION("""COMPUTED_VALUE"""),"1")</f>
        <v>1</v>
      </c>
      <c r="Y108" s="234"/>
      <c r="Z108" s="234"/>
      <c r="AA108" s="234"/>
    </row>
    <row r="109" ht="14.25" customHeight="1">
      <c r="A109" s="234"/>
      <c r="B109" s="240" t="s">
        <v>1802</v>
      </c>
      <c r="C109" s="234"/>
      <c r="D109" s="239" t="s">
        <v>1886</v>
      </c>
      <c r="E109" s="239" t="s">
        <v>1012</v>
      </c>
      <c r="F109" s="234"/>
      <c r="G109" s="234"/>
      <c r="H109" s="234"/>
      <c r="I109" s="234"/>
      <c r="J109" s="234"/>
      <c r="K109" s="234"/>
      <c r="L109" s="234"/>
      <c r="M109" s="234"/>
      <c r="N109" s="234"/>
      <c r="O109" s="240" t="s">
        <v>1887</v>
      </c>
      <c r="P109" s="234"/>
      <c r="Q109" s="234"/>
      <c r="R109" s="234"/>
      <c r="S109" s="234"/>
      <c r="T109" s="234"/>
      <c r="U109" s="234" t="str">
        <f>IFERROR(__xludf.DUMMYFUNCTION("""COMPUTED_VALUE"""),"MuleSoft, Inc.")</f>
        <v>MuleSoft, Inc.</v>
      </c>
      <c r="V109" s="234">
        <f>IFERROR(__xludf.DUMMYFUNCTION("""COMPUTED_VALUE"""),"1")</f>
        <v>1</v>
      </c>
      <c r="W109" s="234" t="str">
        <f>IFERROR(__xludf.DUMMYFUNCTION("""COMPUTED_VALUE"""),"GoRPM (Geospatial Real Property Management)")</f>
        <v>GoRPM (Geospatial Real Property Management)</v>
      </c>
      <c r="X109" s="234">
        <f>IFERROR(__xludf.DUMMYFUNCTION("""COMPUTED_VALUE"""),"1")</f>
        <v>1</v>
      </c>
      <c r="Y109" s="234"/>
      <c r="Z109" s="234"/>
      <c r="AA109" s="234"/>
    </row>
    <row r="110" ht="14.25" customHeight="1">
      <c r="A110" s="234"/>
      <c r="B110" s="239" t="s">
        <v>1808</v>
      </c>
      <c r="C110" s="234"/>
      <c r="D110" s="239" t="s">
        <v>1889</v>
      </c>
      <c r="E110" s="239" t="s">
        <v>1500</v>
      </c>
      <c r="F110" s="234"/>
      <c r="G110" s="234"/>
      <c r="H110" s="234"/>
      <c r="I110" s="234"/>
      <c r="J110" s="234"/>
      <c r="K110" s="234"/>
      <c r="L110" s="234"/>
      <c r="M110" s="234"/>
      <c r="N110" s="234"/>
      <c r="O110" s="239"/>
      <c r="P110" s="234"/>
      <c r="Q110" s="234"/>
      <c r="R110" s="234"/>
      <c r="S110" s="234"/>
      <c r="T110" s="234"/>
      <c r="U110" s="234" t="str">
        <f>IFERROR(__xludf.DUMMYFUNCTION("""COMPUTED_VALUE"""),"Navman Wireless North America Ltd. ")</f>
        <v>Navman Wireless North America Ltd. </v>
      </c>
      <c r="V110" s="234">
        <f>IFERROR(__xludf.DUMMYFUNCTION("""COMPUTED_VALUE"""),"1")</f>
        <v>1</v>
      </c>
      <c r="W110" s="234" t="str">
        <f>IFERROR(__xludf.DUMMYFUNCTION("""COMPUTED_VALUE"""),"GovDataHosting Cloud Platform")</f>
        <v>GovDataHosting Cloud Platform</v>
      </c>
      <c r="X110" s="234">
        <f>IFERROR(__xludf.DUMMYFUNCTION("""COMPUTED_VALUE"""),"5")</f>
        <v>5</v>
      </c>
      <c r="Y110" s="234"/>
      <c r="Z110" s="234"/>
      <c r="AA110" s="234"/>
    </row>
    <row r="111" ht="14.25" customHeight="1">
      <c r="A111" s="234"/>
      <c r="B111" s="240" t="s">
        <v>1812</v>
      </c>
      <c r="C111" s="234"/>
      <c r="D111" s="240" t="s">
        <v>1890</v>
      </c>
      <c r="E111" s="240" t="s">
        <v>850</v>
      </c>
      <c r="F111" s="234"/>
      <c r="G111" s="234"/>
      <c r="H111" s="234"/>
      <c r="I111" s="234"/>
      <c r="J111" s="234"/>
      <c r="K111" s="234"/>
      <c r="L111" s="234"/>
      <c r="M111" s="234"/>
      <c r="N111" s="234"/>
      <c r="O111" s="240"/>
      <c r="P111" s="234"/>
      <c r="Q111" s="234"/>
      <c r="R111" s="234"/>
      <c r="S111" s="234"/>
      <c r="T111" s="234"/>
      <c r="U111" s="234" t="str">
        <f>IFERROR(__xludf.DUMMYFUNCTION("""COMPUTED_VALUE"""),"Netcomm")</f>
        <v>Netcomm</v>
      </c>
      <c r="V111" s="234">
        <f>IFERROR(__xludf.DUMMYFUNCTION("""COMPUTED_VALUE"""),"1")</f>
        <v>1</v>
      </c>
      <c r="W111" s="234" t="str">
        <f>IFERROR(__xludf.DUMMYFUNCTION("""COMPUTED_VALUE"""),"GovDelivery Communications Cloud")</f>
        <v>GovDelivery Communications Cloud</v>
      </c>
      <c r="X111" s="234">
        <f>IFERROR(__xludf.DUMMYFUNCTION("""COMPUTED_VALUE"""),"15")</f>
        <v>15</v>
      </c>
      <c r="Y111" s="234"/>
      <c r="Z111" s="234"/>
      <c r="AA111" s="234"/>
    </row>
    <row r="112" ht="14.25" customHeight="1">
      <c r="A112" s="234"/>
      <c r="B112" s="239" t="s">
        <v>1815</v>
      </c>
      <c r="C112" s="234"/>
      <c r="D112" s="240" t="s">
        <v>1035</v>
      </c>
      <c r="E112" s="240" t="s">
        <v>196</v>
      </c>
      <c r="F112" s="234"/>
      <c r="G112" s="234"/>
      <c r="H112" s="234"/>
      <c r="I112" s="234"/>
      <c r="J112" s="234"/>
      <c r="K112" s="234"/>
      <c r="L112" s="234"/>
      <c r="M112" s="234"/>
      <c r="N112" s="234"/>
      <c r="O112" s="239"/>
      <c r="P112" s="234"/>
      <c r="Q112" s="234"/>
      <c r="R112" s="234"/>
      <c r="S112" s="234"/>
      <c r="T112" s="234"/>
      <c r="U112" s="234" t="str">
        <f>IFERROR(__xludf.DUMMYFUNCTION("""COMPUTED_VALUE"""),"New Relic")</f>
        <v>New Relic</v>
      </c>
      <c r="V112" s="234">
        <f>IFERROR(__xludf.DUMMYFUNCTION("""COMPUTED_VALUE"""),"1")</f>
        <v>1</v>
      </c>
      <c r="W112" s="234" t="str">
        <f>IFERROR(__xludf.DUMMYFUNCTION("""COMPUTED_VALUE"""),"Government Cloud - Common Controls")</f>
        <v>Government Cloud - Common Controls</v>
      </c>
      <c r="X112" s="234">
        <f>IFERROR(__xludf.DUMMYFUNCTION("""COMPUTED_VALUE"""),"2")</f>
        <v>2</v>
      </c>
      <c r="Y112" s="234"/>
      <c r="Z112" s="234"/>
      <c r="AA112" s="234"/>
    </row>
    <row r="113" ht="14.25" customHeight="1">
      <c r="A113" s="234"/>
      <c r="B113" s="240" t="s">
        <v>1818</v>
      </c>
      <c r="C113" s="234"/>
      <c r="D113" s="240" t="s">
        <v>1892</v>
      </c>
      <c r="E113" s="240" t="s">
        <v>1012</v>
      </c>
      <c r="F113" s="234"/>
      <c r="G113" s="234"/>
      <c r="H113" s="234"/>
      <c r="I113" s="234"/>
      <c r="J113" s="234"/>
      <c r="K113" s="234"/>
      <c r="L113" s="234"/>
      <c r="M113" s="234"/>
      <c r="N113" s="234"/>
      <c r="O113" s="240"/>
      <c r="P113" s="234"/>
      <c r="Q113" s="234"/>
      <c r="R113" s="234"/>
      <c r="S113" s="234"/>
      <c r="T113" s="234"/>
      <c r="U113" s="234" t="str">
        <f>IFERROR(__xludf.DUMMYFUNCTION("""COMPUTED_VALUE"""),"New York University")</f>
        <v>New York University</v>
      </c>
      <c r="V113" s="234">
        <f>IFERROR(__xludf.DUMMYFUNCTION("""COMPUTED_VALUE"""),"1")</f>
        <v>1</v>
      </c>
      <c r="W113" s="234" t="str">
        <f>IFERROR(__xludf.DUMMYFUNCTION("""COMPUTED_VALUE"""),"GovPoint Cloud Services")</f>
        <v>GovPoint Cloud Services</v>
      </c>
      <c r="X113" s="234">
        <f>IFERROR(__xludf.DUMMYFUNCTION("""COMPUTED_VALUE"""),"4")</f>
        <v>4</v>
      </c>
      <c r="Y113" s="234"/>
      <c r="Z113" s="234"/>
      <c r="AA113" s="234"/>
    </row>
    <row r="114" ht="14.25" customHeight="1">
      <c r="A114" s="234"/>
      <c r="B114" s="239" t="s">
        <v>643</v>
      </c>
      <c r="C114" s="234"/>
      <c r="D114" s="240" t="s">
        <v>1894</v>
      </c>
      <c r="E114" s="240" t="s">
        <v>989</v>
      </c>
      <c r="F114" s="234"/>
      <c r="G114" s="234"/>
      <c r="H114" s="234"/>
      <c r="I114" s="234"/>
      <c r="J114" s="234"/>
      <c r="K114" s="234"/>
      <c r="L114" s="234"/>
      <c r="M114" s="234"/>
      <c r="N114" s="234"/>
      <c r="O114" s="239"/>
      <c r="P114" s="234"/>
      <c r="Q114" s="234"/>
      <c r="R114" s="234"/>
      <c r="S114" s="234"/>
      <c r="T114" s="234"/>
      <c r="U114" s="234" t="str">
        <f>IFERROR(__xludf.DUMMYFUNCTION("""COMPUTED_VALUE"""),"NICE inContact")</f>
        <v>NICE inContact</v>
      </c>
      <c r="V114" s="234">
        <f>IFERROR(__xludf.DUMMYFUNCTION("""COMPUTED_VALUE"""),"1")</f>
        <v>1</v>
      </c>
      <c r="W114" s="234" t="str">
        <f>IFERROR(__xludf.DUMMYFUNCTION("""COMPUTED_VALUE"""),"GPS Insight SaaS Portal")</f>
        <v>GPS Insight SaaS Portal</v>
      </c>
      <c r="X114" s="234">
        <f>IFERROR(__xludf.DUMMYFUNCTION("""COMPUTED_VALUE"""),"1")</f>
        <v>1</v>
      </c>
      <c r="Y114" s="234"/>
      <c r="Z114" s="234"/>
      <c r="AA114" s="234"/>
    </row>
    <row r="115" ht="14.25" customHeight="1">
      <c r="A115" s="234"/>
      <c r="B115" s="240" t="s">
        <v>1822</v>
      </c>
      <c r="C115" s="234"/>
      <c r="D115" s="239" t="s">
        <v>686</v>
      </c>
      <c r="E115" s="239" t="s">
        <v>175</v>
      </c>
      <c r="F115" s="234"/>
      <c r="G115" s="234"/>
      <c r="H115" s="234"/>
      <c r="I115" s="234"/>
      <c r="J115" s="234"/>
      <c r="K115" s="234"/>
      <c r="L115" s="234"/>
      <c r="M115" s="234"/>
      <c r="N115" s="234"/>
      <c r="O115" s="240"/>
      <c r="P115" s="234"/>
      <c r="Q115" s="234"/>
      <c r="R115" s="234"/>
      <c r="S115" s="234"/>
      <c r="T115" s="234"/>
      <c r="U115" s="234" t="str">
        <f>IFERROR(__xludf.DUMMYFUNCTION("""COMPUTED_VALUE"""),"Northrop Grumman")</f>
        <v>Northrop Grumman</v>
      </c>
      <c r="V115" s="234">
        <f>IFERROR(__xludf.DUMMYFUNCTION("""COMPUTED_VALUE"""),"1")</f>
        <v>1</v>
      </c>
      <c r="W115" s="234" t="str">
        <f>IFERROR(__xludf.DUMMYFUNCTION("""COMPUTED_VALUE"""),"Hootsuite Enterprise")</f>
        <v>Hootsuite Enterprise</v>
      </c>
      <c r="X115" s="234">
        <f>IFERROR(__xludf.DUMMYFUNCTION("""COMPUTED_VALUE"""),"1")</f>
        <v>1</v>
      </c>
      <c r="Y115" s="234"/>
      <c r="Z115" s="234"/>
      <c r="AA115" s="234"/>
    </row>
    <row r="116" ht="14.25" customHeight="1">
      <c r="A116" s="234"/>
      <c r="B116" s="239" t="s">
        <v>1825</v>
      </c>
      <c r="C116" s="234"/>
      <c r="D116" s="239" t="s">
        <v>1897</v>
      </c>
      <c r="E116" s="239" t="s">
        <v>196</v>
      </c>
      <c r="F116" s="234"/>
      <c r="G116" s="234"/>
      <c r="H116" s="234"/>
      <c r="I116" s="234"/>
      <c r="J116" s="234"/>
      <c r="K116" s="234"/>
      <c r="L116" s="234"/>
      <c r="M116" s="234"/>
      <c r="N116" s="234"/>
      <c r="O116" s="239"/>
      <c r="P116" s="234"/>
      <c r="Q116" s="234"/>
      <c r="R116" s="234"/>
      <c r="S116" s="234"/>
      <c r="T116" s="234"/>
      <c r="U116" s="234" t="str">
        <f>IFERROR(__xludf.DUMMYFUNCTION("""COMPUTED_VALUE"""),"Okta")</f>
        <v>Okta</v>
      </c>
      <c r="V116" s="234">
        <f>IFERROR(__xludf.DUMMYFUNCTION("""COMPUTED_VALUE"""),"4")</f>
        <v>4</v>
      </c>
      <c r="W116" s="234" t="str">
        <f>IFERROR(__xludf.DUMMYFUNCTION("""COMPUTED_VALUE"""),"Huddle Enterprise Cloud Content Collaboration and File Sharing Portal for Government")</f>
        <v>Huddle Enterprise Cloud Content Collaboration and File Sharing Portal for Government</v>
      </c>
      <c r="X116" s="234">
        <f>IFERROR(__xludf.DUMMYFUNCTION("""COMPUTED_VALUE"""),"7")</f>
        <v>7</v>
      </c>
      <c r="Y116" s="234"/>
      <c r="Z116" s="234"/>
      <c r="AA116" s="234"/>
    </row>
    <row r="117" ht="14.25" customHeight="1">
      <c r="A117" s="234"/>
      <c r="B117" s="240" t="s">
        <v>1830</v>
      </c>
      <c r="C117" s="234"/>
      <c r="D117" s="240" t="s">
        <v>1899</v>
      </c>
      <c r="E117" s="240" t="s">
        <v>175</v>
      </c>
      <c r="F117" s="234"/>
      <c r="G117" s="234"/>
      <c r="H117" s="234"/>
      <c r="I117" s="234"/>
      <c r="J117" s="234"/>
      <c r="K117" s="234"/>
      <c r="L117" s="234"/>
      <c r="M117" s="234"/>
      <c r="N117" s="234"/>
      <c r="O117" s="240"/>
      <c r="P117" s="234"/>
      <c r="Q117" s="234"/>
      <c r="R117" s="234"/>
      <c r="S117" s="234"/>
      <c r="T117" s="234"/>
      <c r="U117" s="234" t="str">
        <f>IFERROR(__xludf.DUMMYFUNCTION("""COMPUTED_VALUE"""),"OMB")</f>
        <v>OMB</v>
      </c>
      <c r="V117" s="234">
        <f>IFERROR(__xludf.DUMMYFUNCTION("""COMPUTED_VALUE"""),"7")</f>
        <v>7</v>
      </c>
      <c r="W117" s="234" t="str">
        <f>IFERROR(__xludf.DUMMYFUNCTION("""COMPUTED_VALUE"""),"IaaS/PaaS - US Government Cloud")</f>
        <v>IaaS/PaaS - US Government Cloud</v>
      </c>
      <c r="X117" s="234">
        <f>IFERROR(__xludf.DUMMYFUNCTION("""COMPUTED_VALUE"""),"1")</f>
        <v>1</v>
      </c>
      <c r="Y117" s="234"/>
      <c r="Z117" s="234"/>
      <c r="AA117" s="234"/>
    </row>
    <row r="118" ht="14.25" customHeight="1">
      <c r="A118" s="234"/>
      <c r="B118" s="239" t="s">
        <v>1901</v>
      </c>
      <c r="C118" s="234"/>
      <c r="D118" s="239" t="s">
        <v>1902</v>
      </c>
      <c r="E118" s="239" t="s">
        <v>989</v>
      </c>
      <c r="F118" s="234"/>
      <c r="G118" s="234"/>
      <c r="H118" s="234"/>
      <c r="I118" s="234"/>
      <c r="J118" s="234"/>
      <c r="K118" s="234"/>
      <c r="L118" s="234"/>
      <c r="M118" s="234"/>
      <c r="N118" s="245"/>
      <c r="O118" s="239"/>
      <c r="P118" s="234"/>
      <c r="Q118" s="234"/>
      <c r="R118" s="234"/>
      <c r="S118" s="234"/>
      <c r="T118" s="234"/>
      <c r="U118" s="234" t="str">
        <f>IFERROR(__xludf.DUMMYFUNCTION("""COMPUTED_VALUE"""),"OneStream Software")</f>
        <v>OneStream Software</v>
      </c>
      <c r="V118" s="234">
        <f>IFERROR(__xludf.DUMMYFUNCTION("""COMPUTED_VALUE"""),"1")</f>
        <v>1</v>
      </c>
      <c r="W118" s="234" t="str">
        <f>IFERROR(__xludf.DUMMYFUNCTION("""COMPUTED_VALUE"""),"IBM Connections Social")</f>
        <v>IBM Connections Social</v>
      </c>
      <c r="X118" s="234">
        <f>IFERROR(__xludf.DUMMYFUNCTION("""COMPUTED_VALUE"""),"1")</f>
        <v>1</v>
      </c>
      <c r="Y118" s="234"/>
      <c r="Z118" s="234"/>
      <c r="AA118" s="234"/>
    </row>
    <row r="119" ht="14.25" customHeight="1">
      <c r="A119" s="234"/>
      <c r="B119" s="240" t="s">
        <v>1834</v>
      </c>
      <c r="C119" s="234"/>
      <c r="D119" s="240" t="s">
        <v>1906</v>
      </c>
      <c r="E119" s="240" t="s">
        <v>220</v>
      </c>
      <c r="F119" s="234"/>
      <c r="G119" s="234"/>
      <c r="H119" s="234"/>
      <c r="I119" s="234"/>
      <c r="J119" s="234"/>
      <c r="K119" s="234"/>
      <c r="L119" s="234"/>
      <c r="M119" s="234"/>
      <c r="N119" s="234"/>
      <c r="O119" s="240"/>
      <c r="P119" s="234"/>
      <c r="Q119" s="234"/>
      <c r="R119" s="234"/>
      <c r="S119" s="234"/>
      <c r="T119" s="234"/>
      <c r="U119" s="234" t="str">
        <f>IFERROR(__xludf.DUMMYFUNCTION("""COMPUTED_VALUE"""),"OnSolve")</f>
        <v>OnSolve</v>
      </c>
      <c r="V119" s="234">
        <f>IFERROR(__xludf.DUMMYFUNCTION("""COMPUTED_VALUE"""),"1")</f>
        <v>1</v>
      </c>
      <c r="W119" s="234" t="str">
        <f>IFERROR(__xludf.DUMMYFUNCTION("""COMPUTED_VALUE"""),"IBM Federal Cloud")</f>
        <v>IBM Federal Cloud</v>
      </c>
      <c r="X119" s="234">
        <f>IFERROR(__xludf.DUMMYFUNCTION("""COMPUTED_VALUE"""),"2")</f>
        <v>2</v>
      </c>
      <c r="Y119" s="234"/>
      <c r="Z119" s="234"/>
      <c r="AA119" s="234"/>
    </row>
    <row r="120" ht="14.25" customHeight="1">
      <c r="A120" s="234"/>
      <c r="B120" s="239" t="s">
        <v>1908</v>
      </c>
      <c r="C120" s="234"/>
      <c r="D120" s="240" t="s">
        <v>1909</v>
      </c>
      <c r="E120" s="240" t="s">
        <v>1452</v>
      </c>
      <c r="F120" s="234"/>
      <c r="G120" s="234"/>
      <c r="H120" s="234"/>
      <c r="I120" s="234"/>
      <c r="J120" s="234"/>
      <c r="K120" s="234"/>
      <c r="L120" s="234"/>
      <c r="M120" s="234"/>
      <c r="N120" s="245"/>
      <c r="O120" s="239"/>
      <c r="P120" s="234"/>
      <c r="Q120" s="234"/>
      <c r="R120" s="234"/>
      <c r="S120" s="234"/>
      <c r="T120" s="234"/>
      <c r="U120" s="234" t="str">
        <f>IFERROR(__xludf.DUMMYFUNCTION("""COMPUTED_VALUE"""),"Oracle")</f>
        <v>Oracle</v>
      </c>
      <c r="V120" s="234">
        <f>IFERROR(__xludf.DUMMYFUNCTION("""COMPUTED_VALUE"""),"27")</f>
        <v>27</v>
      </c>
      <c r="W120" s="234" t="str">
        <f>IFERROR(__xludf.DUMMYFUNCTION("""COMPUTED_VALUE"""),"IBM Maximo and TRIRIGA")</f>
        <v>IBM Maximo and TRIRIGA</v>
      </c>
      <c r="X120" s="234">
        <f>IFERROR(__xludf.DUMMYFUNCTION("""COMPUTED_VALUE"""),"1")</f>
        <v>1</v>
      </c>
      <c r="Y120" s="234"/>
      <c r="Z120" s="234"/>
      <c r="AA120" s="234"/>
    </row>
    <row r="121" ht="14.25" customHeight="1">
      <c r="A121" s="234"/>
      <c r="B121" s="240" t="s">
        <v>1840</v>
      </c>
      <c r="C121" s="234"/>
      <c r="D121" s="240" t="s">
        <v>1911</v>
      </c>
      <c r="E121" s="240" t="s">
        <v>969</v>
      </c>
      <c r="F121" s="234"/>
      <c r="G121" s="234"/>
      <c r="H121" s="234"/>
      <c r="I121" s="234"/>
      <c r="J121" s="234"/>
      <c r="K121" s="234"/>
      <c r="L121" s="234"/>
      <c r="M121" s="234"/>
      <c r="N121" s="234"/>
      <c r="O121" s="240"/>
      <c r="P121" s="234"/>
      <c r="Q121" s="234"/>
      <c r="R121" s="234"/>
      <c r="S121" s="234"/>
      <c r="T121" s="234"/>
      <c r="U121" s="234" t="str">
        <f>IFERROR(__xludf.DUMMYFUNCTION("""COMPUTED_VALUE"""),"Oracle ")</f>
        <v>Oracle </v>
      </c>
      <c r="V121" s="234">
        <f>IFERROR(__xludf.DUMMYFUNCTION("""COMPUTED_VALUE"""),"1")</f>
        <v>1</v>
      </c>
      <c r="W121" s="234" t="str">
        <f>IFERROR(__xludf.DUMMYFUNCTION("""COMPUTED_VALUE"""),"IBM Talent Management Solutions")</f>
        <v>IBM Talent Management Solutions</v>
      </c>
      <c r="X121" s="234">
        <f>IFERROR(__xludf.DUMMYFUNCTION("""COMPUTED_VALUE"""),"1")</f>
        <v>1</v>
      </c>
      <c r="Y121" s="234"/>
      <c r="Z121" s="234"/>
      <c r="AA121" s="234"/>
    </row>
    <row r="122" ht="14.25" customHeight="1">
      <c r="A122" s="234"/>
      <c r="B122" s="239" t="s">
        <v>1846</v>
      </c>
      <c r="C122" s="234"/>
      <c r="D122" s="240" t="s">
        <v>1911</v>
      </c>
      <c r="E122" s="240" t="s">
        <v>1023</v>
      </c>
      <c r="F122" s="234"/>
      <c r="G122" s="234"/>
      <c r="H122" s="234"/>
      <c r="I122" s="234"/>
      <c r="J122" s="234"/>
      <c r="K122" s="234"/>
      <c r="L122" s="234"/>
      <c r="M122" s="234"/>
      <c r="N122" s="234"/>
      <c r="O122" s="239"/>
      <c r="P122" s="234"/>
      <c r="Q122" s="234"/>
      <c r="R122" s="234"/>
      <c r="S122" s="234"/>
      <c r="T122" s="234"/>
      <c r="U122" s="234" t="str">
        <f>IFERROR(__xludf.DUMMYFUNCTION("""COMPUTED_VALUE"""),"ORock Technologies")</f>
        <v>ORock Technologies</v>
      </c>
      <c r="V122" s="234">
        <f>IFERROR(__xludf.DUMMYFUNCTION("""COMPUTED_VALUE"""),"1")</f>
        <v>1</v>
      </c>
      <c r="W122" s="234" t="str">
        <f>IFERROR(__xludf.DUMMYFUNCTION("""COMPUTED_VALUE"""),"ID.me Federal Identity Gateway")</f>
        <v>ID.me Federal Identity Gateway</v>
      </c>
      <c r="X122" s="234">
        <f>IFERROR(__xludf.DUMMYFUNCTION("""COMPUTED_VALUE"""),"1")</f>
        <v>1</v>
      </c>
      <c r="Y122" s="234"/>
      <c r="Z122" s="234"/>
      <c r="AA122" s="234"/>
    </row>
    <row r="123" ht="14.25" customHeight="1">
      <c r="A123" s="234"/>
      <c r="B123" s="240" t="s">
        <v>1849</v>
      </c>
      <c r="C123" s="234"/>
      <c r="D123" s="239" t="s">
        <v>1913</v>
      </c>
      <c r="E123" s="239" t="s">
        <v>1023</v>
      </c>
      <c r="F123" s="234"/>
      <c r="G123" s="234"/>
      <c r="H123" s="234"/>
      <c r="I123" s="234"/>
      <c r="J123" s="234"/>
      <c r="K123" s="234"/>
      <c r="L123" s="234"/>
      <c r="M123" s="234"/>
      <c r="N123" s="234"/>
      <c r="O123" s="240"/>
      <c r="P123" s="234"/>
      <c r="Q123" s="234"/>
      <c r="R123" s="234"/>
      <c r="S123" s="234"/>
      <c r="T123" s="234"/>
      <c r="U123" s="234" t="str">
        <f>IFERROR(__xludf.DUMMYFUNCTION("""COMPUTED_VALUE"""),"Palo Alto Networks, Inc.")</f>
        <v>Palo Alto Networks, Inc.</v>
      </c>
      <c r="V123" s="234">
        <f>IFERROR(__xludf.DUMMYFUNCTION("""COMPUTED_VALUE"""),"1")</f>
        <v>1</v>
      </c>
      <c r="W123" s="234" t="str">
        <f>IFERROR(__xludf.DUMMYFUNCTION("""COMPUTED_VALUE"""),"IdeaScale Gov")</f>
        <v>IdeaScale Gov</v>
      </c>
      <c r="X123" s="234">
        <f>IFERROR(__xludf.DUMMYFUNCTION("""COMPUTED_VALUE"""),"2")</f>
        <v>2</v>
      </c>
      <c r="Y123" s="234"/>
      <c r="Z123" s="234"/>
      <c r="AA123" s="234"/>
    </row>
    <row r="124" ht="14.25" customHeight="1">
      <c r="A124" s="234"/>
      <c r="B124" s="239" t="s">
        <v>1547</v>
      </c>
      <c r="C124" s="234"/>
      <c r="D124" s="240" t="s">
        <v>1024</v>
      </c>
      <c r="E124" s="240" t="s">
        <v>1023</v>
      </c>
      <c r="F124" s="234"/>
      <c r="G124" s="234"/>
      <c r="H124" s="234"/>
      <c r="I124" s="234"/>
      <c r="J124" s="234"/>
      <c r="K124" s="234"/>
      <c r="L124" s="234"/>
      <c r="M124" s="234"/>
      <c r="N124" s="234"/>
      <c r="O124" s="239"/>
      <c r="P124" s="234"/>
      <c r="Q124" s="234"/>
      <c r="R124" s="234"/>
      <c r="S124" s="234"/>
      <c r="T124" s="234"/>
      <c r="U124" s="234" t="str">
        <f>IFERROR(__xludf.DUMMYFUNCTION("""COMPUTED_VALUE"""),"Pegasystems Inc")</f>
        <v>Pegasystems Inc</v>
      </c>
      <c r="V124" s="234">
        <f>IFERROR(__xludf.DUMMYFUNCTION("""COMPUTED_VALUE"""),"1")</f>
        <v>1</v>
      </c>
      <c r="W124" s="234" t="str">
        <f>IFERROR(__xludf.DUMMYFUNCTION("""COMPUTED_VALUE"""),"Identity as a Service (IDaaS)")</f>
        <v>Identity as a Service (IDaaS)</v>
      </c>
      <c r="X124" s="234">
        <f>IFERROR(__xludf.DUMMYFUNCTION("""COMPUTED_VALUE"""),"4")</f>
        <v>4</v>
      </c>
      <c r="Y124" s="234"/>
      <c r="Z124" s="234"/>
      <c r="AA124" s="234"/>
    </row>
    <row r="125" ht="14.25" customHeight="1">
      <c r="A125" s="234"/>
      <c r="B125" s="240" t="s">
        <v>1452</v>
      </c>
      <c r="C125" s="234"/>
      <c r="D125" s="239" t="s">
        <v>1916</v>
      </c>
      <c r="E125" s="239" t="s">
        <v>1452</v>
      </c>
      <c r="F125" s="234"/>
      <c r="G125" s="234"/>
      <c r="H125" s="234"/>
      <c r="I125" s="234"/>
      <c r="J125" s="234"/>
      <c r="K125" s="234"/>
      <c r="L125" s="234"/>
      <c r="M125" s="234"/>
      <c r="N125" s="245"/>
      <c r="O125" s="240"/>
      <c r="P125" s="234"/>
      <c r="Q125" s="234"/>
      <c r="R125" s="234"/>
      <c r="S125" s="234"/>
      <c r="T125" s="234"/>
      <c r="U125" s="234" t="str">
        <f>IFERROR(__xludf.DUMMYFUNCTION("""COMPUTED_VALUE"""),"PEO Missiles and Space")</f>
        <v>PEO Missiles and Space</v>
      </c>
      <c r="V125" s="234">
        <f>IFERROR(__xludf.DUMMYFUNCTION("""COMPUTED_VALUE"""),"1")</f>
        <v>1</v>
      </c>
      <c r="W125" s="234" t="str">
        <f>IFERROR(__xludf.DUMMYFUNCTION("""COMPUTED_VALUE"""),"Identity Governance as a Service (IGAaaS)")</f>
        <v>Identity Governance as a Service (IGAaaS)</v>
      </c>
      <c r="X125" s="234">
        <f>IFERROR(__xludf.DUMMYFUNCTION("""COMPUTED_VALUE"""),"1")</f>
        <v>1</v>
      </c>
      <c r="Y125" s="234"/>
      <c r="Z125" s="234"/>
      <c r="AA125" s="234"/>
    </row>
    <row r="126" ht="14.25" customHeight="1">
      <c r="A126" s="234"/>
      <c r="B126" s="239" t="s">
        <v>1854</v>
      </c>
      <c r="C126" s="234"/>
      <c r="D126" s="240" t="s">
        <v>1917</v>
      </c>
      <c r="E126" s="240" t="s">
        <v>1418</v>
      </c>
      <c r="F126" s="234"/>
      <c r="G126" s="234"/>
      <c r="H126" s="234"/>
      <c r="I126" s="234"/>
      <c r="J126" s="234"/>
      <c r="K126" s="234"/>
      <c r="L126" s="234"/>
      <c r="M126" s="234"/>
      <c r="N126" s="234"/>
      <c r="O126" s="239"/>
      <c r="P126" s="234"/>
      <c r="Q126" s="234"/>
      <c r="R126" s="234"/>
      <c r="S126" s="234"/>
      <c r="T126" s="234"/>
      <c r="U126" s="234" t="str">
        <f>IFERROR(__xludf.DUMMYFUNCTION("""COMPUTED_VALUE"""),"PowerTrain Inc.")</f>
        <v>PowerTrain Inc.</v>
      </c>
      <c r="V126" s="234">
        <f>IFERROR(__xludf.DUMMYFUNCTION("""COMPUTED_VALUE"""),"1")</f>
        <v>1</v>
      </c>
      <c r="W126" s="234" t="str">
        <f>IFERROR(__xludf.DUMMYFUNCTION("""COMPUTED_VALUE"""),"in3sight")</f>
        <v>in3sight</v>
      </c>
      <c r="X126" s="234">
        <f>IFERROR(__xludf.DUMMYFUNCTION("""COMPUTED_VALUE"""),"3")</f>
        <v>3</v>
      </c>
      <c r="Y126" s="234"/>
      <c r="Z126" s="234"/>
      <c r="AA126" s="234"/>
    </row>
    <row r="127" ht="14.25" customHeight="1">
      <c r="A127" s="234"/>
      <c r="B127" s="240" t="s">
        <v>1861</v>
      </c>
      <c r="C127" s="234"/>
      <c r="D127" s="240" t="s">
        <v>1919</v>
      </c>
      <c r="E127" s="240" t="s">
        <v>1452</v>
      </c>
      <c r="F127" s="234"/>
      <c r="G127" s="234"/>
      <c r="H127" s="234"/>
      <c r="I127" s="234"/>
      <c r="J127" s="234"/>
      <c r="K127" s="234"/>
      <c r="L127" s="234"/>
      <c r="M127" s="234"/>
      <c r="N127" s="234"/>
      <c r="O127" s="240"/>
      <c r="P127" s="234"/>
      <c r="Q127" s="234"/>
      <c r="R127" s="234"/>
      <c r="S127" s="234"/>
      <c r="T127" s="234"/>
      <c r="U127" s="234" t="str">
        <f>IFERROR(__xludf.DUMMYFUNCTION("""COMPUTED_VALUE"""),"Project Hosts")</f>
        <v>Project Hosts</v>
      </c>
      <c r="V127" s="234">
        <f>IFERROR(__xludf.DUMMYFUNCTION("""COMPUTED_VALUE"""),"9")</f>
        <v>9</v>
      </c>
      <c r="W127" s="234" t="str">
        <f>IFERROR(__xludf.DUMMYFUNCTION("""COMPUTED_VALUE"""),"INCloud Gov")</f>
        <v>INCloud Gov</v>
      </c>
      <c r="X127" s="234">
        <f>IFERROR(__xludf.DUMMYFUNCTION("""COMPUTED_VALUE"""),"1")</f>
        <v>1</v>
      </c>
      <c r="Y127" s="234"/>
      <c r="Z127" s="234"/>
      <c r="AA127" s="234"/>
    </row>
    <row r="128" ht="14.25" customHeight="1">
      <c r="A128" s="234"/>
      <c r="B128" s="239" t="s">
        <v>1867</v>
      </c>
      <c r="C128" s="234"/>
      <c r="D128" s="239" t="s">
        <v>1921</v>
      </c>
      <c r="E128" s="239" t="s">
        <v>1418</v>
      </c>
      <c r="F128" s="234"/>
      <c r="G128" s="234"/>
      <c r="H128" s="234"/>
      <c r="I128" s="234"/>
      <c r="J128" s="234"/>
      <c r="K128" s="234"/>
      <c r="L128" s="234"/>
      <c r="M128" s="234"/>
      <c r="N128" s="234"/>
      <c r="O128" s="239"/>
      <c r="P128" s="234"/>
      <c r="Q128" s="234"/>
      <c r="R128" s="234"/>
      <c r="S128" s="234"/>
      <c r="T128" s="234"/>
      <c r="U128" s="234" t="str">
        <f>IFERROR(__xludf.DUMMYFUNCTION("""COMPUTED_VALUE"""),"Proofpoint, Inc.")</f>
        <v>Proofpoint, Inc.</v>
      </c>
      <c r="V128" s="234">
        <f>IFERROR(__xludf.DUMMYFUNCTION("""COMPUTED_VALUE"""),"4")</f>
        <v>4</v>
      </c>
      <c r="W128" s="234" t="str">
        <f>IFERROR(__xludf.DUMMYFUNCTION("""COMPUTED_VALUE"""),"Infor Government Software as a Service (IGS) including the Enterprise Asset Management (EAM) application")</f>
        <v>Infor Government Software as a Service (IGS) including the Enterprise Asset Management (EAM) application</v>
      </c>
      <c r="X128" s="234">
        <f>IFERROR(__xludf.DUMMYFUNCTION("""COMPUTED_VALUE"""),"1")</f>
        <v>1</v>
      </c>
      <c r="Y128" s="234"/>
      <c r="Z128" s="234"/>
      <c r="AA128" s="234"/>
    </row>
    <row r="129" ht="14.25" customHeight="1">
      <c r="A129" s="234"/>
      <c r="B129" s="240" t="s">
        <v>1873</v>
      </c>
      <c r="C129" s="234"/>
      <c r="D129" s="239" t="s">
        <v>1922</v>
      </c>
      <c r="E129" s="239" t="s">
        <v>142</v>
      </c>
      <c r="F129" s="234"/>
      <c r="G129" s="234"/>
      <c r="H129" s="234"/>
      <c r="I129" s="234"/>
      <c r="J129" s="234"/>
      <c r="K129" s="234"/>
      <c r="L129" s="234"/>
      <c r="M129" s="234"/>
      <c r="N129" s="234"/>
      <c r="O129" s="240"/>
      <c r="P129" s="234"/>
      <c r="Q129" s="234"/>
      <c r="R129" s="234"/>
      <c r="S129" s="234"/>
      <c r="T129" s="234"/>
      <c r="U129" s="234" t="str">
        <f>IFERROR(__xludf.DUMMYFUNCTION("""COMPUTED_VALUE"""),"PTC")</f>
        <v>PTC</v>
      </c>
      <c r="V129" s="234">
        <f>IFERROR(__xludf.DUMMYFUNCTION("""COMPUTED_VALUE"""),"2")</f>
        <v>2</v>
      </c>
      <c r="W129" s="234" t="str">
        <f>IFERROR(__xludf.DUMMYFUNCTION("""COMPUTED_VALUE"""),"Infor SyteLine ERP Suite")</f>
        <v>Infor SyteLine ERP Suite</v>
      </c>
      <c r="X129" s="234">
        <f>IFERROR(__xludf.DUMMYFUNCTION("""COMPUTED_VALUE"""),"1")</f>
        <v>1</v>
      </c>
      <c r="Y129" s="234"/>
      <c r="Z129" s="234"/>
      <c r="AA129" s="234"/>
    </row>
    <row r="130" ht="14.25" customHeight="1">
      <c r="A130" s="234"/>
      <c r="B130" s="239" t="s">
        <v>1876</v>
      </c>
      <c r="C130" s="234"/>
      <c r="D130" s="239" t="s">
        <v>1925</v>
      </c>
      <c r="E130" s="239" t="s">
        <v>1452</v>
      </c>
      <c r="F130" s="234"/>
      <c r="G130" s="234"/>
      <c r="H130" s="234"/>
      <c r="I130" s="234"/>
      <c r="J130" s="234"/>
      <c r="K130" s="234"/>
      <c r="L130" s="234"/>
      <c r="M130" s="234"/>
      <c r="N130" s="234"/>
      <c r="O130" s="239"/>
      <c r="P130" s="234"/>
      <c r="Q130" s="234"/>
      <c r="R130" s="234"/>
      <c r="S130" s="234"/>
      <c r="T130" s="234"/>
      <c r="U130" s="234" t="str">
        <f>IFERROR(__xludf.DUMMYFUNCTION("""COMPUTED_VALUE"""),"QTS")</f>
        <v>QTS</v>
      </c>
      <c r="V130" s="234">
        <f>IFERROR(__xludf.DUMMYFUNCTION("""COMPUTED_VALUE"""),"6")</f>
        <v>6</v>
      </c>
      <c r="W130" s="234" t="str">
        <f>IFERROR(__xludf.DUMMYFUNCTION("""COMPUTED_VALUE"""),"Innovative Discovery Government Cloud (IDGC)")</f>
        <v>Innovative Discovery Government Cloud (IDGC)</v>
      </c>
      <c r="X130" s="234">
        <f>IFERROR(__xludf.DUMMYFUNCTION("""COMPUTED_VALUE"""),"1")</f>
        <v>1</v>
      </c>
      <c r="Y130" s="234"/>
      <c r="Z130" s="234"/>
      <c r="AA130" s="234"/>
    </row>
    <row r="131" ht="14.25" customHeight="1">
      <c r="A131" s="234"/>
      <c r="B131" s="240" t="s">
        <v>1879</v>
      </c>
      <c r="C131" s="234"/>
      <c r="D131" s="240" t="s">
        <v>1925</v>
      </c>
      <c r="E131" s="240" t="s">
        <v>1452</v>
      </c>
      <c r="F131" s="234"/>
      <c r="G131" s="234"/>
      <c r="H131" s="234"/>
      <c r="I131" s="234"/>
      <c r="J131" s="234"/>
      <c r="K131" s="234"/>
      <c r="L131" s="234"/>
      <c r="M131" s="234"/>
      <c r="N131" s="234"/>
      <c r="O131" s="240"/>
      <c r="P131" s="234"/>
      <c r="Q131" s="234"/>
      <c r="R131" s="234"/>
      <c r="S131" s="234"/>
      <c r="T131" s="234"/>
      <c r="U131" s="234" t="str">
        <f>IFERROR(__xludf.DUMMYFUNCTION("""COMPUTED_VALUE"""),"Qualtrics")</f>
        <v>Qualtrics</v>
      </c>
      <c r="V131" s="234">
        <f>IFERROR(__xludf.DUMMYFUNCTION("""COMPUTED_VALUE"""),"1")</f>
        <v>1</v>
      </c>
      <c r="W131" s="234" t="str">
        <f>IFERROR(__xludf.DUMMYFUNCTION("""COMPUTED_VALUE"""),"Intelliworx Cloud")</f>
        <v>Intelliworx Cloud</v>
      </c>
      <c r="X131" s="234">
        <f>IFERROR(__xludf.DUMMYFUNCTION("""COMPUTED_VALUE"""),"1")</f>
        <v>1</v>
      </c>
      <c r="Y131" s="234"/>
      <c r="Z131" s="234"/>
      <c r="AA131" s="234"/>
    </row>
    <row r="132" ht="14.25" customHeight="1">
      <c r="A132" s="234"/>
      <c r="B132" s="239" t="s">
        <v>1883</v>
      </c>
      <c r="C132" s="234"/>
      <c r="D132" s="239" t="s">
        <v>1928</v>
      </c>
      <c r="E132" s="239" t="s">
        <v>954</v>
      </c>
      <c r="F132" s="234"/>
      <c r="G132" s="234"/>
      <c r="H132" s="234"/>
      <c r="I132" s="234"/>
      <c r="J132" s="234"/>
      <c r="K132" s="234"/>
      <c r="L132" s="234"/>
      <c r="M132" s="234"/>
      <c r="N132" s="234"/>
      <c r="O132" s="239"/>
      <c r="P132" s="234"/>
      <c r="Q132" s="234"/>
      <c r="R132" s="234"/>
      <c r="S132" s="234"/>
      <c r="T132" s="234"/>
      <c r="U132" s="234" t="str">
        <f>IFERROR(__xludf.DUMMYFUNCTION("""COMPUTED_VALUE"""),"Qualys")</f>
        <v>Qualys</v>
      </c>
      <c r="V132" s="234">
        <f>IFERROR(__xludf.DUMMYFUNCTION("""COMPUTED_VALUE"""),"3")</f>
        <v>3</v>
      </c>
      <c r="W132" s="234" t="str">
        <f>IFERROR(__xludf.DUMMYFUNCTION("""COMPUTED_VALUE"""),"iSite Contract Management Portal")</f>
        <v>iSite Contract Management Portal</v>
      </c>
      <c r="X132" s="234">
        <f>IFERROR(__xludf.DUMMYFUNCTION("""COMPUTED_VALUE"""),"2")</f>
        <v>2</v>
      </c>
      <c r="Y132" s="234"/>
      <c r="Z132" s="234"/>
      <c r="AA132" s="234"/>
    </row>
    <row r="133" ht="14.25" customHeight="1">
      <c r="A133" s="234"/>
      <c r="B133" s="240" t="s">
        <v>1887</v>
      </c>
      <c r="C133" s="234"/>
      <c r="D133" s="239" t="s">
        <v>1930</v>
      </c>
      <c r="E133" s="239" t="s">
        <v>969</v>
      </c>
      <c r="F133" s="234"/>
      <c r="G133" s="234"/>
      <c r="H133" s="234"/>
      <c r="I133" s="234"/>
      <c r="J133" s="234"/>
      <c r="K133" s="234"/>
      <c r="L133" s="234"/>
      <c r="M133" s="234"/>
      <c r="N133" s="234"/>
      <c r="O133" s="240"/>
      <c r="P133" s="234"/>
      <c r="Q133" s="234"/>
      <c r="R133" s="234"/>
      <c r="S133" s="234"/>
      <c r="T133" s="234"/>
      <c r="U133" s="234" t="str">
        <f>IFERROR(__xludf.DUMMYFUNCTION("""COMPUTED_VALUE"""),"QuestionMark")</f>
        <v>QuestionMark</v>
      </c>
      <c r="V133" s="234">
        <f>IFERROR(__xludf.DUMMYFUNCTION("""COMPUTED_VALUE"""),"1")</f>
        <v>1</v>
      </c>
      <c r="W133" s="234" t="str">
        <f>IFERROR(__xludf.DUMMYFUNCTION("""COMPUTED_VALUE"""),"Ivanti Service Manager")</f>
        <v>Ivanti Service Manager</v>
      </c>
      <c r="X133" s="234">
        <f>IFERROR(__xludf.DUMMYFUNCTION("""COMPUTED_VALUE"""),"1")</f>
        <v>1</v>
      </c>
      <c r="Y133" s="234"/>
      <c r="Z133" s="234"/>
      <c r="AA133" s="234"/>
    </row>
    <row r="134" ht="14.25" customHeight="1">
      <c r="A134" s="234"/>
      <c r="B134" s="234"/>
      <c r="C134" s="234"/>
      <c r="D134" s="240" t="s">
        <v>1933</v>
      </c>
      <c r="E134" s="240" t="s">
        <v>1500</v>
      </c>
      <c r="F134" s="234"/>
      <c r="G134" s="234"/>
      <c r="H134" s="234"/>
      <c r="I134" s="234"/>
      <c r="J134" s="234"/>
      <c r="K134" s="234"/>
      <c r="L134" s="234"/>
      <c r="M134" s="234"/>
      <c r="N134" s="234"/>
      <c r="O134" s="234"/>
      <c r="P134" s="234"/>
      <c r="Q134" s="234"/>
      <c r="R134" s="234"/>
      <c r="S134" s="234"/>
      <c r="T134" s="234"/>
      <c r="U134" s="234" t="str">
        <f>IFERROR(__xludf.DUMMYFUNCTION("""COMPUTED_VALUE"""),"R&amp;K Solutions, Inc")</f>
        <v>R&amp;K Solutions, Inc</v>
      </c>
      <c r="V134" s="234">
        <f>IFERROR(__xludf.DUMMYFUNCTION("""COMPUTED_VALUE"""),"1")</f>
        <v>1</v>
      </c>
      <c r="W134" s="234" t="str">
        <f>IFERROR(__xludf.DUMMYFUNCTION("""COMPUTED_VALUE"""),"Jive FedRAMP")</f>
        <v>Jive FedRAMP</v>
      </c>
      <c r="X134" s="234">
        <f>IFERROR(__xludf.DUMMYFUNCTION("""COMPUTED_VALUE"""),"1")</f>
        <v>1</v>
      </c>
      <c r="Y134" s="234"/>
      <c r="Z134" s="234"/>
      <c r="AA134" s="234"/>
    </row>
    <row r="135" ht="14.25" customHeight="1">
      <c r="A135" s="234"/>
      <c r="B135" s="234"/>
      <c r="C135" s="234"/>
      <c r="D135" s="239" t="s">
        <v>1936</v>
      </c>
      <c r="E135" s="239" t="s">
        <v>1012</v>
      </c>
      <c r="F135" s="234"/>
      <c r="G135" s="234"/>
      <c r="H135" s="234"/>
      <c r="I135" s="234"/>
      <c r="J135" s="234"/>
      <c r="K135" s="234"/>
      <c r="L135" s="234"/>
      <c r="M135" s="234"/>
      <c r="N135" s="234"/>
      <c r="O135" s="234"/>
      <c r="P135" s="234"/>
      <c r="Q135" s="234"/>
      <c r="R135" s="234"/>
      <c r="S135" s="234"/>
      <c r="T135" s="234"/>
      <c r="U135" s="234" t="str">
        <f>IFERROR(__xludf.DUMMYFUNCTION("""COMPUTED_VALUE"""),"Rackspace Government Solutions")</f>
        <v>Rackspace Government Solutions</v>
      </c>
      <c r="V135" s="234">
        <f>IFERROR(__xludf.DUMMYFUNCTION("""COMPUTED_VALUE"""),"6")</f>
        <v>6</v>
      </c>
      <c r="W135" s="234" t="str">
        <f>IFERROR(__xludf.DUMMYFUNCTION("""COMPUTED_VALUE"""),"Kiteworks Federal Cloud")</f>
        <v>Kiteworks Federal Cloud</v>
      </c>
      <c r="X135" s="234">
        <f>IFERROR(__xludf.DUMMYFUNCTION("""COMPUTED_VALUE"""),"6")</f>
        <v>6</v>
      </c>
      <c r="Y135" s="234"/>
      <c r="Z135" s="234"/>
      <c r="AA135" s="234"/>
    </row>
    <row r="136" ht="14.25" customHeight="1">
      <c r="A136" s="234"/>
      <c r="B136" s="234"/>
      <c r="C136" s="234"/>
      <c r="D136" s="240" t="s">
        <v>1937</v>
      </c>
      <c r="E136" s="240" t="s">
        <v>327</v>
      </c>
      <c r="F136" s="234"/>
      <c r="G136" s="234"/>
      <c r="H136" s="234"/>
      <c r="I136" s="234"/>
      <c r="J136" s="234"/>
      <c r="K136" s="234"/>
      <c r="L136" s="234"/>
      <c r="M136" s="234"/>
      <c r="N136" s="234">
        <f>COUNTIF(N2:N133,"x")</f>
        <v>0</v>
      </c>
      <c r="O136" s="234" t="s">
        <v>1392</v>
      </c>
      <c r="P136" s="234"/>
      <c r="Q136" s="234"/>
      <c r="R136" s="234"/>
      <c r="S136" s="234"/>
      <c r="T136" s="234"/>
      <c r="U136" s="234" t="str">
        <f>IFERROR(__xludf.DUMMYFUNCTION("""COMPUTED_VALUE"""),"Rave Mobile Safety")</f>
        <v>Rave Mobile Safety</v>
      </c>
      <c r="V136" s="234">
        <f>IFERROR(__xludf.DUMMYFUNCTION("""COMPUTED_VALUE"""),"1")</f>
        <v>1</v>
      </c>
      <c r="W136" s="234" t="str">
        <f>IFERROR(__xludf.DUMMYFUNCTION("""COMPUTED_VALUE"""),"Legal Hold Pro")</f>
        <v>Legal Hold Pro</v>
      </c>
      <c r="X136" s="234">
        <f>IFERROR(__xludf.DUMMYFUNCTION("""COMPUTED_VALUE"""),"1")</f>
        <v>1</v>
      </c>
      <c r="Y136" s="234"/>
      <c r="Z136" s="234"/>
      <c r="AA136" s="234"/>
    </row>
    <row r="137" ht="14.25" customHeight="1">
      <c r="A137" s="234"/>
      <c r="B137" s="234"/>
      <c r="C137" s="234"/>
      <c r="D137" s="240" t="s">
        <v>1940</v>
      </c>
      <c r="E137" s="240" t="s">
        <v>142</v>
      </c>
      <c r="F137" s="234"/>
      <c r="G137" s="234"/>
      <c r="H137" s="234"/>
      <c r="I137" s="234"/>
      <c r="J137" s="234"/>
      <c r="K137" s="234"/>
      <c r="L137" s="234"/>
      <c r="M137" s="234"/>
      <c r="N137" s="234"/>
      <c r="O137" s="234" t="s">
        <v>1416</v>
      </c>
      <c r="P137" s="234"/>
      <c r="Q137" s="234"/>
      <c r="R137" s="234"/>
      <c r="S137" s="234"/>
      <c r="T137" s="234"/>
      <c r="U137" s="234" t="str">
        <f>IFERROR(__xludf.DUMMYFUNCTION("""COMPUTED_VALUE"""),"REAN Cloud Inc.")</f>
        <v>REAN Cloud Inc.</v>
      </c>
      <c r="V137" s="234">
        <f>IFERROR(__xludf.DUMMYFUNCTION("""COMPUTED_VALUE"""),"1")</f>
        <v>1</v>
      </c>
      <c r="W137" s="234" t="str">
        <f>IFERROR(__xludf.DUMMYFUNCTION("""COMPUTED_VALUE"""),"Lifeline Federal Hosting Services")</f>
        <v>Lifeline Federal Hosting Services</v>
      </c>
      <c r="X137" s="234">
        <f>IFERROR(__xludf.DUMMYFUNCTION("""COMPUTED_VALUE"""),"1")</f>
        <v>1</v>
      </c>
      <c r="Y137" s="234"/>
      <c r="Z137" s="234"/>
      <c r="AA137" s="234"/>
    </row>
    <row r="138" ht="14.25" customHeight="1">
      <c r="A138" s="234"/>
      <c r="B138" s="234"/>
      <c r="C138" s="234"/>
      <c r="D138" s="239" t="s">
        <v>1941</v>
      </c>
      <c r="E138" s="239" t="s">
        <v>142</v>
      </c>
      <c r="F138" s="234"/>
      <c r="G138" s="234"/>
      <c r="H138" s="234"/>
      <c r="I138" s="234"/>
      <c r="J138" s="234"/>
      <c r="K138" s="234"/>
      <c r="L138" s="234"/>
      <c r="M138" s="234"/>
      <c r="N138" s="234"/>
      <c r="O138" s="234" t="s">
        <v>1433</v>
      </c>
      <c r="P138" s="234"/>
      <c r="Q138" s="234"/>
      <c r="R138" s="234"/>
      <c r="S138" s="234"/>
      <c r="T138" s="234"/>
      <c r="U138" s="234" t="str">
        <f>IFERROR(__xludf.DUMMYFUNCTION("""COMPUTED_VALUE"""),"Recovery Point Systems, Inc.")</f>
        <v>Recovery Point Systems, Inc.</v>
      </c>
      <c r="V138" s="234">
        <f>IFERROR(__xludf.DUMMYFUNCTION("""COMPUTED_VALUE"""),"1")</f>
        <v>1</v>
      </c>
      <c r="W138" s="234" t="str">
        <f>IFERROR(__xludf.DUMMYFUNCTION("""COMPUTED_VALUE"""),"Lookout Mobile Endpoint Security")</f>
        <v>Lookout Mobile Endpoint Security</v>
      </c>
      <c r="X138" s="234">
        <f>IFERROR(__xludf.DUMMYFUNCTION("""COMPUTED_VALUE"""),"1")</f>
        <v>1</v>
      </c>
      <c r="Y138" s="234"/>
      <c r="Z138" s="234"/>
      <c r="AA138" s="234"/>
    </row>
    <row r="139" ht="14.25" customHeight="1">
      <c r="A139" s="234"/>
      <c r="B139" s="234"/>
      <c r="C139" s="234"/>
      <c r="D139" s="240" t="s">
        <v>1943</v>
      </c>
      <c r="E139" s="240" t="s">
        <v>1492</v>
      </c>
      <c r="F139" s="234"/>
      <c r="G139" s="234"/>
      <c r="H139" s="234"/>
      <c r="I139" s="234"/>
      <c r="J139" s="234"/>
      <c r="K139" s="234"/>
      <c r="L139" s="234"/>
      <c r="M139" s="234"/>
      <c r="N139" s="234"/>
      <c r="O139" s="234" t="s">
        <v>1443</v>
      </c>
      <c r="P139" s="234"/>
      <c r="Q139" s="234"/>
      <c r="R139" s="234"/>
      <c r="S139" s="234"/>
      <c r="T139" s="234"/>
      <c r="U139" s="234" t="str">
        <f>IFERROR(__xludf.DUMMYFUNCTION("""COMPUTED_VALUE"""),"Replicon")</f>
        <v>Replicon</v>
      </c>
      <c r="V139" s="234">
        <f>IFERROR(__xludf.DUMMYFUNCTION("""COMPUTED_VALUE"""),"1")</f>
        <v>1</v>
      </c>
      <c r="W139" s="234" t="str">
        <f>IFERROR(__xludf.DUMMYFUNCTION("""COMPUTED_VALUE"""),"MaaS360 Enterprise Mobility Management ")</f>
        <v>MaaS360 Enterprise Mobility Management </v>
      </c>
      <c r="X139" s="234">
        <f>IFERROR(__xludf.DUMMYFUNCTION("""COMPUTED_VALUE"""),"16")</f>
        <v>16</v>
      </c>
      <c r="Y139" s="234"/>
      <c r="Z139" s="234"/>
      <c r="AA139" s="234"/>
    </row>
    <row r="140" ht="14.25" customHeight="1">
      <c r="A140" s="234"/>
      <c r="B140" s="234"/>
      <c r="C140" s="234"/>
      <c r="D140" s="239" t="s">
        <v>1945</v>
      </c>
      <c r="E140" s="239" t="s">
        <v>1452</v>
      </c>
      <c r="F140" s="234"/>
      <c r="G140" s="234"/>
      <c r="H140" s="234"/>
      <c r="I140" s="234"/>
      <c r="J140" s="234"/>
      <c r="K140" s="234"/>
      <c r="L140" s="234"/>
      <c r="M140" s="234"/>
      <c r="N140" s="234"/>
      <c r="O140" s="234" t="s">
        <v>1449</v>
      </c>
      <c r="P140" s="234"/>
      <c r="Q140" s="234"/>
      <c r="R140" s="234"/>
      <c r="S140" s="234"/>
      <c r="T140" s="234"/>
      <c r="U140" s="234" t="str">
        <f>IFERROR(__xludf.DUMMYFUNCTION("""COMPUTED_VALUE"""),"Ricoh USA, Inc.")</f>
        <v>Ricoh USA, Inc.</v>
      </c>
      <c r="V140" s="234">
        <f>IFERROR(__xludf.DUMMYFUNCTION("""COMPUTED_VALUE"""),"1")</f>
        <v>1</v>
      </c>
      <c r="W140" s="234" t="str">
        <f>IFERROR(__xludf.DUMMYFUNCTION("""COMPUTED_VALUE"""),"Managed Print Services for US Federal Government")</f>
        <v>Managed Print Services for US Federal Government</v>
      </c>
      <c r="X140" s="234">
        <f>IFERROR(__xludf.DUMMYFUNCTION("""COMPUTED_VALUE"""),"1")</f>
        <v>1</v>
      </c>
      <c r="Y140" s="234"/>
      <c r="Z140" s="234"/>
      <c r="AA140" s="234"/>
    </row>
    <row r="141" ht="14.25" customHeight="1">
      <c r="A141" s="234"/>
      <c r="B141" s="234"/>
      <c r="C141" s="234"/>
      <c r="D141" s="240" t="s">
        <v>1946</v>
      </c>
      <c r="E141" s="240" t="s">
        <v>1452</v>
      </c>
      <c r="F141" s="234"/>
      <c r="G141" s="234"/>
      <c r="H141" s="234"/>
      <c r="I141" s="234"/>
      <c r="J141" s="234"/>
      <c r="K141" s="234"/>
      <c r="L141" s="234"/>
      <c r="M141" s="234"/>
      <c r="N141" s="234"/>
      <c r="O141" s="234" t="s">
        <v>1458</v>
      </c>
      <c r="P141" s="234"/>
      <c r="Q141" s="234"/>
      <c r="R141" s="234"/>
      <c r="S141" s="234"/>
      <c r="T141" s="234"/>
      <c r="U141" s="234" t="str">
        <f>IFERROR(__xludf.DUMMYFUNCTION("""COMPUTED_VALUE"""),"SAIC")</f>
        <v>SAIC</v>
      </c>
      <c r="V141" s="234">
        <f>IFERROR(__xludf.DUMMYFUNCTION("""COMPUTED_VALUE"""),"1")</f>
        <v>1</v>
      </c>
      <c r="W141" s="234" t="str">
        <f>IFERROR(__xludf.DUMMYFUNCTION("""COMPUTED_VALUE"""),"MAX General Support Services")</f>
        <v>MAX General Support Services</v>
      </c>
      <c r="X141" s="234">
        <f>IFERROR(__xludf.DUMMYFUNCTION("""COMPUTED_VALUE"""),"3")</f>
        <v>3</v>
      </c>
      <c r="Y141" s="234"/>
      <c r="Z141" s="234"/>
      <c r="AA141" s="234"/>
    </row>
    <row r="142" ht="14.25" customHeight="1">
      <c r="A142" s="234"/>
      <c r="B142" s="234"/>
      <c r="C142" s="234"/>
      <c r="D142" s="239" t="s">
        <v>1949</v>
      </c>
      <c r="E142" s="239" t="s">
        <v>1195</v>
      </c>
      <c r="F142" s="234"/>
      <c r="G142" s="234"/>
      <c r="H142" s="234"/>
      <c r="I142" s="234"/>
      <c r="J142" s="234"/>
      <c r="K142" s="234"/>
      <c r="L142" s="234"/>
      <c r="M142" s="234"/>
      <c r="N142" s="234"/>
      <c r="O142" s="234" t="s">
        <v>1464</v>
      </c>
      <c r="P142" s="234"/>
      <c r="Q142" s="234"/>
      <c r="R142" s="234"/>
      <c r="S142" s="234"/>
      <c r="T142" s="234"/>
      <c r="U142" s="234" t="str">
        <f>IFERROR(__xludf.DUMMYFUNCTION("""COMPUTED_VALUE"""),"Salesforce")</f>
        <v>Salesforce</v>
      </c>
      <c r="V142" s="234">
        <f>IFERROR(__xludf.DUMMYFUNCTION("""COMPUTED_VALUE"""),"47")</f>
        <v>47</v>
      </c>
      <c r="W142" s="234" t="str">
        <f>IFERROR(__xludf.DUMMYFUNCTION("""COMPUTED_VALUE"""),"MAX.gov Shared Services ")</f>
        <v>MAX.gov Shared Services </v>
      </c>
      <c r="X142" s="234">
        <f>IFERROR(__xludf.DUMMYFUNCTION("""COMPUTED_VALUE"""),"4")</f>
        <v>4</v>
      </c>
      <c r="Y142" s="234"/>
      <c r="Z142" s="234"/>
      <c r="AA142" s="234"/>
    </row>
    <row r="143" ht="14.25" customHeight="1">
      <c r="A143" s="234"/>
      <c r="B143" s="234"/>
      <c r="C143" s="234"/>
      <c r="D143" s="240" t="s">
        <v>1952</v>
      </c>
      <c r="E143" s="240" t="s">
        <v>954</v>
      </c>
      <c r="F143" s="234"/>
      <c r="G143" s="234"/>
      <c r="H143" s="234"/>
      <c r="I143" s="234"/>
      <c r="J143" s="234"/>
      <c r="K143" s="234"/>
      <c r="L143" s="234"/>
      <c r="M143" s="234"/>
      <c r="N143" s="234"/>
      <c r="O143" s="234" t="s">
        <v>1468</v>
      </c>
      <c r="P143" s="234"/>
      <c r="Q143" s="234"/>
      <c r="R143" s="234"/>
      <c r="S143" s="234"/>
      <c r="T143" s="234"/>
      <c r="U143" s="234" t="str">
        <f>IFERROR(__xludf.DUMMYFUNCTION("""COMPUTED_VALUE"""),"SAP National Security Services Inc. (SAP NS2)")</f>
        <v>SAP National Security Services Inc. (SAP NS2)</v>
      </c>
      <c r="V143" s="234">
        <f>IFERROR(__xludf.DUMMYFUNCTION("""COMPUTED_VALUE"""),"14")</f>
        <v>14</v>
      </c>
      <c r="W143" s="234" t="str">
        <f>IFERROR(__xludf.DUMMYFUNCTION("""COMPUTED_VALUE"""),"MAXIMUS Intelligent Assistant (MIA)")</f>
        <v>MAXIMUS Intelligent Assistant (MIA)</v>
      </c>
      <c r="X143" s="234">
        <f>IFERROR(__xludf.DUMMYFUNCTION("""COMPUTED_VALUE"""),"1")</f>
        <v>1</v>
      </c>
      <c r="Y143" s="234"/>
      <c r="Z143" s="234"/>
      <c r="AA143" s="234"/>
    </row>
    <row r="144" ht="14.25" customHeight="1">
      <c r="A144" s="234"/>
      <c r="B144" s="234"/>
      <c r="C144" s="234"/>
      <c r="D144" s="239" t="s">
        <v>1954</v>
      </c>
      <c r="E144" s="239" t="s">
        <v>1452</v>
      </c>
      <c r="F144" s="234"/>
      <c r="G144" s="234"/>
      <c r="H144" s="234"/>
      <c r="I144" s="234"/>
      <c r="J144" s="234"/>
      <c r="K144" s="234"/>
      <c r="L144" s="234"/>
      <c r="M144" s="234"/>
      <c r="N144" s="234"/>
      <c r="O144" s="234" t="s">
        <v>1473</v>
      </c>
      <c r="P144" s="234"/>
      <c r="Q144" s="234"/>
      <c r="R144" s="234"/>
      <c r="S144" s="234"/>
      <c r="T144" s="234"/>
      <c r="U144" s="234" t="str">
        <f>IFERROR(__xludf.DUMMYFUNCTION("""COMPUTED_VALUE"""),"Saviynt Security Manager")</f>
        <v>Saviynt Security Manager</v>
      </c>
      <c r="V144" s="234">
        <f>IFERROR(__xludf.DUMMYFUNCTION("""COMPUTED_VALUE"""),"1")</f>
        <v>1</v>
      </c>
      <c r="W144" s="234" t="str">
        <f>IFERROR(__xludf.DUMMYFUNCTION("""COMPUTED_VALUE"""),"Medallia GovCloud")</f>
        <v>Medallia GovCloud</v>
      </c>
      <c r="X144" s="234">
        <f>IFERROR(__xludf.DUMMYFUNCTION("""COMPUTED_VALUE"""),"1")</f>
        <v>1</v>
      </c>
      <c r="Y144" s="234"/>
      <c r="Z144" s="234"/>
      <c r="AA144" s="234"/>
    </row>
    <row r="145" ht="14.25" customHeight="1">
      <c r="A145" s="234"/>
      <c r="B145" s="234"/>
      <c r="C145" s="234"/>
      <c r="D145" s="240" t="s">
        <v>1954</v>
      </c>
      <c r="E145" s="240" t="s">
        <v>1452</v>
      </c>
      <c r="F145" s="234"/>
      <c r="G145" s="234"/>
      <c r="H145" s="234"/>
      <c r="I145" s="234"/>
      <c r="J145" s="234"/>
      <c r="K145" s="234"/>
      <c r="L145" s="234"/>
      <c r="M145" s="234"/>
      <c r="N145" s="234"/>
      <c r="O145" s="234" t="s">
        <v>1480</v>
      </c>
      <c r="P145" s="234"/>
      <c r="Q145" s="234"/>
      <c r="R145" s="234"/>
      <c r="S145" s="234"/>
      <c r="T145" s="234"/>
      <c r="U145" s="234" t="str">
        <f>IFERROR(__xludf.DUMMYFUNCTION("""COMPUTED_VALUE"""),"SecureKey")</f>
        <v>SecureKey</v>
      </c>
      <c r="V145" s="234">
        <f>IFERROR(__xludf.DUMMYFUNCTION("""COMPUTED_VALUE"""),"3")</f>
        <v>3</v>
      </c>
      <c r="W145" s="234" t="str">
        <f>IFERROR(__xludf.DUMMYFUNCTION("""COMPUTED_VALUE"""),"MicroPact Product Suite ")</f>
        <v>MicroPact Product Suite </v>
      </c>
      <c r="X145" s="234">
        <f>IFERROR(__xludf.DUMMYFUNCTION("""COMPUTED_VALUE"""),"22")</f>
        <v>22</v>
      </c>
      <c r="Y145" s="234"/>
      <c r="Z145" s="234"/>
      <c r="AA145" s="234"/>
    </row>
    <row r="146" ht="14.25" customHeight="1">
      <c r="A146" s="234"/>
      <c r="B146" s="234"/>
      <c r="C146" s="234"/>
      <c r="D146" s="240" t="s">
        <v>1520</v>
      </c>
      <c r="E146" s="240" t="s">
        <v>1520</v>
      </c>
      <c r="F146" s="234"/>
      <c r="G146" s="234"/>
      <c r="H146" s="234"/>
      <c r="I146" s="234"/>
      <c r="J146" s="234"/>
      <c r="K146" s="234"/>
      <c r="L146" s="234"/>
      <c r="M146" s="234"/>
      <c r="N146" s="234"/>
      <c r="O146" s="234" t="s">
        <v>1485</v>
      </c>
      <c r="P146" s="234"/>
      <c r="Q146" s="234"/>
      <c r="R146" s="234"/>
      <c r="S146" s="234"/>
      <c r="T146" s="234"/>
      <c r="U146" s="234" t="str">
        <f>IFERROR(__xludf.DUMMYFUNCTION("""COMPUTED_VALUE"""),"ServiceNow")</f>
        <v>ServiceNow</v>
      </c>
      <c r="V146" s="234">
        <f>IFERROR(__xludf.DUMMYFUNCTION("""COMPUTED_VALUE"""),"36")</f>
        <v>36</v>
      </c>
      <c r="W146" s="234" t="str">
        <f>IFERROR(__xludf.DUMMYFUNCTION("""COMPUTED_VALUE"""),"Microsoft Office 365 GCC High")</f>
        <v>Microsoft Office 365 GCC High</v>
      </c>
      <c r="X146" s="234">
        <f>IFERROR(__xludf.DUMMYFUNCTION("""COMPUTED_VALUE"""),"1")</f>
        <v>1</v>
      </c>
      <c r="Y146" s="234"/>
      <c r="Z146" s="234"/>
      <c r="AA146" s="234"/>
    </row>
    <row r="147" ht="14.25" customHeight="1">
      <c r="A147" s="234"/>
      <c r="B147" s="234"/>
      <c r="C147" s="234"/>
      <c r="D147" s="239" t="s">
        <v>1968</v>
      </c>
      <c r="E147" s="239" t="s">
        <v>850</v>
      </c>
      <c r="F147" s="234"/>
      <c r="G147" s="234"/>
      <c r="H147" s="234"/>
      <c r="I147" s="234"/>
      <c r="J147" s="234"/>
      <c r="K147" s="234"/>
      <c r="L147" s="234"/>
      <c r="M147" s="234"/>
      <c r="N147" s="234"/>
      <c r="O147" s="234" t="s">
        <v>1489</v>
      </c>
      <c r="P147" s="234"/>
      <c r="Q147" s="234"/>
      <c r="R147" s="234"/>
      <c r="S147" s="234"/>
      <c r="T147" s="234"/>
      <c r="U147" s="234" t="str">
        <f>IFERROR(__xludf.DUMMYFUNCTION("""COMPUTED_VALUE"""),"Skillsoft")</f>
        <v>Skillsoft</v>
      </c>
      <c r="V147" s="234">
        <f>IFERROR(__xludf.DUMMYFUNCTION("""COMPUTED_VALUE"""),"3")</f>
        <v>3</v>
      </c>
      <c r="W147" s="234" t="str">
        <f>IFERROR(__xludf.DUMMYFUNCTION("""COMPUTED_VALUE"""),"mLINQS Hosting Service")</f>
        <v>mLINQS Hosting Service</v>
      </c>
      <c r="X147" s="234">
        <f>IFERROR(__xludf.DUMMYFUNCTION("""COMPUTED_VALUE"""),"2")</f>
        <v>2</v>
      </c>
      <c r="Y147" s="234"/>
      <c r="Z147" s="234"/>
      <c r="AA147" s="234"/>
    </row>
    <row r="148" ht="14.25" customHeight="1">
      <c r="A148" s="234"/>
      <c r="B148" s="234"/>
      <c r="C148" s="234"/>
      <c r="D148" s="240" t="s">
        <v>852</v>
      </c>
      <c r="E148" s="240" t="s">
        <v>850</v>
      </c>
      <c r="F148" s="234"/>
      <c r="G148" s="234"/>
      <c r="H148" s="234"/>
      <c r="I148" s="234"/>
      <c r="J148" s="234"/>
      <c r="K148" s="234"/>
      <c r="L148" s="234"/>
      <c r="M148" s="234"/>
      <c r="N148" s="234"/>
      <c r="O148" s="234" t="s">
        <v>523</v>
      </c>
      <c r="P148" s="234"/>
      <c r="Q148" s="234"/>
      <c r="R148" s="234"/>
      <c r="S148" s="234"/>
      <c r="T148" s="234"/>
      <c r="U148" s="234" t="str">
        <f>IFERROR(__xludf.DUMMYFUNCTION("""COMPUTED_VALUE"""),"Skyhigh")</f>
        <v>Skyhigh</v>
      </c>
      <c r="V148" s="234">
        <f>IFERROR(__xludf.DUMMYFUNCTION("""COMPUTED_VALUE"""),"6")</f>
        <v>6</v>
      </c>
      <c r="W148" s="234" t="str">
        <f>IFERROR(__xludf.DUMMYFUNCTION("""COMPUTED_VALUE"""),"MobileIron Government Cloud")</f>
        <v>MobileIron Government Cloud</v>
      </c>
      <c r="X148" s="234">
        <f>IFERROR(__xludf.DUMMYFUNCTION("""COMPUTED_VALUE"""),"1")</f>
        <v>1</v>
      </c>
      <c r="Y148" s="234"/>
      <c r="Z148" s="234"/>
      <c r="AA148" s="234"/>
    </row>
    <row r="149" ht="14.25" customHeight="1">
      <c r="A149" s="234"/>
      <c r="B149" s="234"/>
      <c r="C149" s="234"/>
      <c r="D149" s="239" t="s">
        <v>1976</v>
      </c>
      <c r="E149" s="239" t="s">
        <v>327</v>
      </c>
      <c r="F149" s="234"/>
      <c r="G149" s="234"/>
      <c r="H149" s="234"/>
      <c r="I149" s="234"/>
      <c r="J149" s="234"/>
      <c r="K149" s="234"/>
      <c r="L149" s="234"/>
      <c r="M149" s="234"/>
      <c r="N149" s="234"/>
      <c r="O149" s="234" t="s">
        <v>1494</v>
      </c>
      <c r="P149" s="234"/>
      <c r="Q149" s="234"/>
      <c r="R149" s="234"/>
      <c r="S149" s="234"/>
      <c r="T149" s="234"/>
      <c r="U149" s="234" t="str">
        <f>IFERROR(__xludf.DUMMYFUNCTION("""COMPUTED_VALUE"""),"Slack Technologies")</f>
        <v>Slack Technologies</v>
      </c>
      <c r="V149" s="234">
        <f>IFERROR(__xludf.DUMMYFUNCTION("""COMPUTED_VALUE"""),"1")</f>
        <v>1</v>
      </c>
      <c r="W149" s="234" t="str">
        <f>IFERROR(__xludf.DUMMYFUNCTION("""COMPUTED_VALUE"""),"Monster Hiring Management System")</f>
        <v>Monster Hiring Management System</v>
      </c>
      <c r="X149" s="234">
        <f>IFERROR(__xludf.DUMMYFUNCTION("""COMPUTED_VALUE"""),"1")</f>
        <v>1</v>
      </c>
      <c r="Y149" s="234"/>
      <c r="Z149" s="234"/>
      <c r="AA149" s="234"/>
    </row>
    <row r="150" ht="14.25" customHeight="1">
      <c r="A150" s="234"/>
      <c r="B150" s="234"/>
      <c r="C150" s="234"/>
      <c r="D150" s="239" t="s">
        <v>1979</v>
      </c>
      <c r="E150" s="239" t="s">
        <v>220</v>
      </c>
      <c r="F150" s="234"/>
      <c r="G150" s="234"/>
      <c r="H150" s="234"/>
      <c r="I150" s="234"/>
      <c r="J150" s="234"/>
      <c r="K150" s="234"/>
      <c r="L150" s="234"/>
      <c r="M150" s="234"/>
      <c r="N150" s="234"/>
      <c r="O150" s="234" t="s">
        <v>1498</v>
      </c>
      <c r="P150" s="234"/>
      <c r="Q150" s="234"/>
      <c r="R150" s="234"/>
      <c r="S150" s="234"/>
      <c r="T150" s="234"/>
      <c r="U150" s="234" t="str">
        <f>IFERROR(__xludf.DUMMYFUNCTION("""COMPUTED_VALUE"""),"Smarsh")</f>
        <v>Smarsh</v>
      </c>
      <c r="V150" s="234">
        <f>IFERROR(__xludf.DUMMYFUNCTION("""COMPUTED_VALUE"""),"1")</f>
        <v>1</v>
      </c>
      <c r="W150" s="234" t="str">
        <f>IFERROR(__xludf.DUMMYFUNCTION("""COMPUTED_VALUE"""),"New Relic")</f>
        <v>New Relic</v>
      </c>
      <c r="X150" s="234">
        <f>IFERROR(__xludf.DUMMYFUNCTION("""COMPUTED_VALUE"""),"1")</f>
        <v>1</v>
      </c>
      <c r="Y150" s="234"/>
      <c r="Z150" s="234"/>
      <c r="AA150" s="234"/>
    </row>
    <row r="151" ht="14.25" customHeight="1">
      <c r="A151" s="234"/>
      <c r="B151" s="234"/>
      <c r="C151" s="234"/>
      <c r="D151" s="240" t="s">
        <v>1981</v>
      </c>
      <c r="E151" s="240" t="s">
        <v>327</v>
      </c>
      <c r="F151" s="234"/>
      <c r="G151" s="234"/>
      <c r="H151" s="234"/>
      <c r="I151" s="234"/>
      <c r="J151" s="234"/>
      <c r="K151" s="234"/>
      <c r="L151" s="234"/>
      <c r="M151" s="234"/>
      <c r="N151" s="234"/>
      <c r="O151" s="234" t="s">
        <v>1503</v>
      </c>
      <c r="P151" s="234"/>
      <c r="Q151" s="234"/>
      <c r="R151" s="234"/>
      <c r="S151" s="234"/>
      <c r="T151" s="234"/>
      <c r="U151" s="234" t="str">
        <f>IFERROR(__xludf.DUMMYFUNCTION("""COMPUTED_VALUE"""),"Smartronix, Inc.")</f>
        <v>Smartronix, Inc.</v>
      </c>
      <c r="V151" s="234">
        <f>IFERROR(__xludf.DUMMYFUNCTION("""COMPUTED_VALUE"""),"1")</f>
        <v>1</v>
      </c>
      <c r="W151" s="234" t="str">
        <f>IFERROR(__xludf.DUMMYFUNCTION("""COMPUTED_VALUE"""),"NICE inContact CXone Customer Experience Platform")</f>
        <v>NICE inContact CXone Customer Experience Platform</v>
      </c>
      <c r="X151" s="234">
        <f>IFERROR(__xludf.DUMMYFUNCTION("""COMPUTED_VALUE"""),"1")</f>
        <v>1</v>
      </c>
      <c r="Y151" s="234"/>
      <c r="Z151" s="234"/>
      <c r="AA151" s="234"/>
    </row>
    <row r="152" ht="14.25" customHeight="1">
      <c r="A152" s="234"/>
      <c r="B152" s="234"/>
      <c r="C152" s="234"/>
      <c r="D152" s="239" t="s">
        <v>1983</v>
      </c>
      <c r="E152" s="239" t="s">
        <v>850</v>
      </c>
      <c r="F152" s="234"/>
      <c r="G152" s="234"/>
      <c r="H152" s="234"/>
      <c r="I152" s="234"/>
      <c r="J152" s="234"/>
      <c r="K152" s="234"/>
      <c r="L152" s="234"/>
      <c r="M152" s="234"/>
      <c r="N152" s="234"/>
      <c r="O152" s="234" t="s">
        <v>1505</v>
      </c>
      <c r="P152" s="234"/>
      <c r="Q152" s="234"/>
      <c r="R152" s="234"/>
      <c r="S152" s="234"/>
      <c r="T152" s="234"/>
      <c r="U152" s="234" t="str">
        <f>IFERROR(__xludf.DUMMYFUNCTION("""COMPUTED_VALUE"""),"Snowflake Computing, Inc.")</f>
        <v>Snowflake Computing, Inc.</v>
      </c>
      <c r="V152" s="234">
        <f>IFERROR(__xludf.DUMMYFUNCTION("""COMPUTED_VALUE"""),"1")</f>
        <v>1</v>
      </c>
      <c r="W152" s="234" t="str">
        <f>IFERROR(__xludf.DUMMYFUNCTION("""COMPUTED_VALUE"""),"Northrop Grumman Cloud Platform")</f>
        <v>Northrop Grumman Cloud Platform</v>
      </c>
      <c r="X152" s="234">
        <f>IFERROR(__xludf.DUMMYFUNCTION("""COMPUTED_VALUE"""),"1")</f>
        <v>1</v>
      </c>
      <c r="Y152" s="234"/>
      <c r="Z152" s="234"/>
      <c r="AA152" s="234"/>
    </row>
    <row r="153" ht="14.25" customHeight="1">
      <c r="A153" s="234"/>
      <c r="B153" s="234"/>
      <c r="C153" s="234"/>
      <c r="D153" s="239" t="s">
        <v>1283</v>
      </c>
      <c r="E153" s="239" t="s">
        <v>954</v>
      </c>
      <c r="F153" s="234"/>
      <c r="G153" s="234"/>
      <c r="H153" s="234"/>
      <c r="I153" s="234"/>
      <c r="J153" s="234"/>
      <c r="K153" s="234"/>
      <c r="L153" s="234"/>
      <c r="M153" s="234"/>
      <c r="N153" s="234"/>
      <c r="O153" s="234" t="s">
        <v>1508</v>
      </c>
      <c r="P153" s="234"/>
      <c r="Q153" s="234"/>
      <c r="R153" s="234"/>
      <c r="S153" s="234"/>
      <c r="T153" s="234"/>
      <c r="U153" s="234" t="str">
        <f>IFERROR(__xludf.DUMMYFUNCTION("""COMPUTED_VALUE"""),"Socrata")</f>
        <v>Socrata</v>
      </c>
      <c r="V153" s="234">
        <f>IFERROR(__xludf.DUMMYFUNCTION("""COMPUTED_VALUE"""),"3")</f>
        <v>3</v>
      </c>
      <c r="W153" s="234" t="str">
        <f>IFERROR(__xludf.DUMMYFUNCTION("""COMPUTED_VALUE"""),"Office 365 Multi-Tenant &amp; Supporting Services")</f>
        <v>Office 365 Multi-Tenant &amp; Supporting Services</v>
      </c>
      <c r="X153" s="234">
        <f>IFERROR(__xludf.DUMMYFUNCTION("""COMPUTED_VALUE"""),"15")</f>
        <v>15</v>
      </c>
      <c r="Y153" s="234"/>
      <c r="Z153" s="234"/>
      <c r="AA153" s="234"/>
    </row>
    <row r="154" ht="14.25" customHeight="1">
      <c r="A154" s="234"/>
      <c r="B154" s="234"/>
      <c r="C154" s="234"/>
      <c r="D154" s="240" t="s">
        <v>1826</v>
      </c>
      <c r="E154" s="240" t="s">
        <v>196</v>
      </c>
      <c r="F154" s="234"/>
      <c r="G154" s="234"/>
      <c r="H154" s="234"/>
      <c r="I154" s="234"/>
      <c r="J154" s="234"/>
      <c r="K154" s="234"/>
      <c r="L154" s="234"/>
      <c r="M154" s="234"/>
      <c r="N154" s="234"/>
      <c r="O154" s="234" t="s">
        <v>1513</v>
      </c>
      <c r="P154" s="234"/>
      <c r="Q154" s="234"/>
      <c r="R154" s="234"/>
      <c r="S154" s="234"/>
      <c r="T154" s="234"/>
      <c r="U154" s="234" t="str">
        <f>IFERROR(__xludf.DUMMYFUNCTION("""COMPUTED_VALUE"""),"Softlayer")</f>
        <v>Softlayer</v>
      </c>
      <c r="V154" s="234">
        <f>IFERROR(__xludf.DUMMYFUNCTION("""COMPUTED_VALUE"""),"9")</f>
        <v>9</v>
      </c>
      <c r="W154" s="234" t="str">
        <f>IFERROR(__xludf.DUMMYFUNCTION("""COMPUTED_VALUE"""),"Office 365 Multi-Tenant &amp; Supporting Services ")</f>
        <v>Office 365 Multi-Tenant &amp; Supporting Services </v>
      </c>
      <c r="X154" s="234">
        <f>IFERROR(__xludf.DUMMYFUNCTION("""COMPUTED_VALUE"""),"37")</f>
        <v>37</v>
      </c>
      <c r="Y154" s="234"/>
      <c r="Z154" s="234"/>
      <c r="AA154" s="234"/>
    </row>
    <row r="155" ht="14.25" customHeight="1">
      <c r="A155" s="234"/>
      <c r="B155" s="234"/>
      <c r="C155" s="234"/>
      <c r="D155" s="240" t="s">
        <v>1986</v>
      </c>
      <c r="E155" s="240" t="s">
        <v>989</v>
      </c>
      <c r="F155" s="234"/>
      <c r="G155" s="234"/>
      <c r="H155" s="234"/>
      <c r="I155" s="234"/>
      <c r="J155" s="234"/>
      <c r="K155" s="234"/>
      <c r="L155" s="234"/>
      <c r="M155" s="234"/>
      <c r="N155" s="234"/>
      <c r="O155" s="234" t="s">
        <v>1515</v>
      </c>
      <c r="P155" s="234"/>
      <c r="Q155" s="234"/>
      <c r="R155" s="234"/>
      <c r="S155" s="234"/>
      <c r="T155" s="234"/>
      <c r="U155" s="234" t="str">
        <f>IFERROR(__xludf.DUMMYFUNCTION("""COMPUTED_VALUE"""),"Splunk")</f>
        <v>Splunk</v>
      </c>
      <c r="V155" s="234">
        <f>IFERROR(__xludf.DUMMYFUNCTION("""COMPUTED_VALUE"""),"1")</f>
        <v>1</v>
      </c>
      <c r="W155" s="234" t="str">
        <f>IFERROR(__xludf.DUMMYFUNCTION("""COMPUTED_VALUE"""),"Office 365 with International Traffic In Arms (ITAR) Support")</f>
        <v>Office 365 with International Traffic In Arms (ITAR) Support</v>
      </c>
      <c r="X155" s="234">
        <f>IFERROR(__xludf.DUMMYFUNCTION("""COMPUTED_VALUE"""),"1")</f>
        <v>1</v>
      </c>
      <c r="Y155" s="234"/>
      <c r="Z155" s="234"/>
      <c r="AA155" s="234"/>
    </row>
    <row r="156" ht="14.25" customHeight="1">
      <c r="A156" s="234"/>
      <c r="B156" s="234"/>
      <c r="C156" s="234"/>
      <c r="D156" s="240" t="s">
        <v>1987</v>
      </c>
      <c r="E156" s="240" t="s">
        <v>954</v>
      </c>
      <c r="F156" s="234"/>
      <c r="G156" s="234"/>
      <c r="H156" s="234"/>
      <c r="I156" s="234"/>
      <c r="J156" s="234"/>
      <c r="K156" s="234"/>
      <c r="L156" s="234"/>
      <c r="M156" s="234"/>
      <c r="N156" s="234"/>
      <c r="O156" s="234" t="s">
        <v>1518</v>
      </c>
      <c r="P156" s="234"/>
      <c r="Q156" s="234"/>
      <c r="R156" s="234"/>
      <c r="S156" s="234"/>
      <c r="T156" s="234"/>
      <c r="U156" s="234" t="str">
        <f>IFERROR(__xludf.DUMMYFUNCTION("""COMPUTED_VALUE"""),"SpringCM")</f>
        <v>SpringCM</v>
      </c>
      <c r="V156" s="234">
        <f>IFERROR(__xludf.DUMMYFUNCTION("""COMPUTED_VALUE"""),"2")</f>
        <v>2</v>
      </c>
      <c r="W156" s="234" t="str">
        <f>IFERROR(__xludf.DUMMYFUNCTION("""COMPUTED_VALUE"""),"OneStream XF Cloud")</f>
        <v>OneStream XF Cloud</v>
      </c>
      <c r="X156" s="234">
        <f>IFERROR(__xludf.DUMMYFUNCTION("""COMPUTED_VALUE"""),"1")</f>
        <v>1</v>
      </c>
      <c r="Y156" s="234"/>
      <c r="Z156" s="234"/>
      <c r="AA156" s="234"/>
    </row>
    <row r="157" ht="14.25" customHeight="1">
      <c r="A157" s="234"/>
      <c r="B157" s="234"/>
      <c r="C157" s="234"/>
      <c r="D157" s="240" t="s">
        <v>1989</v>
      </c>
      <c r="E157" s="240" t="s">
        <v>220</v>
      </c>
      <c r="F157" s="234"/>
      <c r="G157" s="234"/>
      <c r="H157" s="234"/>
      <c r="I157" s="234"/>
      <c r="J157" s="234"/>
      <c r="K157" s="234"/>
      <c r="L157" s="234"/>
      <c r="M157" s="234"/>
      <c r="N157" s="234"/>
      <c r="O157" s="234" t="s">
        <v>1522</v>
      </c>
      <c r="P157" s="234"/>
      <c r="Q157" s="234"/>
      <c r="R157" s="234"/>
      <c r="S157" s="234"/>
      <c r="T157" s="234"/>
      <c r="U157" s="234" t="str">
        <f>IFERROR(__xludf.DUMMYFUNCTION("""COMPUTED_VALUE"""),"SumTotal Systems")</f>
        <v>SumTotal Systems</v>
      </c>
      <c r="V157" s="234">
        <f>IFERROR(__xludf.DUMMYFUNCTION("""COMPUTED_VALUE"""),"1")</f>
        <v>1</v>
      </c>
      <c r="W157" s="234" t="str">
        <f>IFERROR(__xludf.DUMMYFUNCTION("""COMPUTED_VALUE"""),"Oracle Service Cloud")</f>
        <v>Oracle Service Cloud</v>
      </c>
      <c r="X157" s="234">
        <f>IFERROR(__xludf.DUMMYFUNCTION("""COMPUTED_VALUE"""),"8")</f>
        <v>8</v>
      </c>
      <c r="Y157" s="234"/>
      <c r="Z157" s="234"/>
      <c r="AA157" s="234"/>
    </row>
    <row r="158" ht="14.25" customHeight="1">
      <c r="A158" s="234"/>
      <c r="B158" s="234"/>
      <c r="C158" s="234"/>
      <c r="D158" s="239" t="s">
        <v>1991</v>
      </c>
      <c r="E158" s="239" t="s">
        <v>175</v>
      </c>
      <c r="F158" s="234"/>
      <c r="G158" s="234"/>
      <c r="H158" s="234"/>
      <c r="I158" s="234"/>
      <c r="J158" s="234"/>
      <c r="K158" s="234"/>
      <c r="L158" s="234"/>
      <c r="M158" s="234"/>
      <c r="N158" s="234"/>
      <c r="O158" s="234" t="s">
        <v>1524</v>
      </c>
      <c r="P158" s="234"/>
      <c r="Q158" s="234"/>
      <c r="R158" s="234"/>
      <c r="S158" s="234"/>
      <c r="T158" s="234"/>
      <c r="U158" s="234" t="str">
        <f>IFERROR(__xludf.DUMMYFUNCTION("""COMPUTED_VALUE"""),"Symantec Corporation")</f>
        <v>Symantec Corporation</v>
      </c>
      <c r="V158" s="234">
        <f>IFERROR(__xludf.DUMMYFUNCTION("""COMPUTED_VALUE"""),"1")</f>
        <v>1</v>
      </c>
      <c r="W158" s="234" t="str">
        <f>IFERROR(__xludf.DUMMYFUNCTION("""COMPUTED_VALUE"""),"Oracle Service Cloud (DOD)")</f>
        <v>Oracle Service Cloud (DOD)</v>
      </c>
      <c r="X158" s="234">
        <f>IFERROR(__xludf.DUMMYFUNCTION("""COMPUTED_VALUE"""),"1")</f>
        <v>1</v>
      </c>
      <c r="Y158" s="234"/>
      <c r="Z158" s="234"/>
      <c r="AA158" s="234"/>
    </row>
    <row r="159" ht="14.25" customHeight="1">
      <c r="A159" s="234"/>
      <c r="B159" s="234"/>
      <c r="C159" s="234"/>
      <c r="D159" s="240" t="s">
        <v>1993</v>
      </c>
      <c r="E159" s="240" t="s">
        <v>1296</v>
      </c>
      <c r="F159" s="234"/>
      <c r="G159" s="234"/>
      <c r="H159" s="234"/>
      <c r="I159" s="234"/>
      <c r="J159" s="234"/>
      <c r="K159" s="234"/>
      <c r="L159" s="234"/>
      <c r="M159" s="234"/>
      <c r="N159" s="234"/>
      <c r="O159" s="234" t="s">
        <v>1527</v>
      </c>
      <c r="P159" s="234"/>
      <c r="Q159" s="234"/>
      <c r="R159" s="234"/>
      <c r="S159" s="234"/>
      <c r="T159" s="234"/>
      <c r="U159" s="234" t="str">
        <f>IFERROR(__xludf.DUMMYFUNCTION("""COMPUTED_VALUE"""),"TalaTek, LLC")</f>
        <v>TalaTek, LLC</v>
      </c>
      <c r="V159" s="234">
        <f>IFERROR(__xludf.DUMMYFUNCTION("""COMPUTED_VALUE"""),"2")</f>
        <v>2</v>
      </c>
      <c r="W159" s="234" t="str">
        <f>IFERROR(__xludf.DUMMYFUNCTION("""COMPUTED_VALUE"""),"ORockCloud")</f>
        <v>ORockCloud</v>
      </c>
      <c r="X159" s="234">
        <f>IFERROR(__xludf.DUMMYFUNCTION("""COMPUTED_VALUE"""),"1")</f>
        <v>1</v>
      </c>
      <c r="Y159" s="234"/>
      <c r="Z159" s="234"/>
      <c r="AA159" s="234"/>
    </row>
    <row r="160" ht="14.25" customHeight="1">
      <c r="A160" s="234"/>
      <c r="B160" s="234"/>
      <c r="C160" s="234"/>
      <c r="D160" s="240" t="s">
        <v>1997</v>
      </c>
      <c r="E160" s="240" t="s">
        <v>969</v>
      </c>
      <c r="F160" s="234"/>
      <c r="G160" s="234"/>
      <c r="H160" s="234"/>
      <c r="I160" s="234"/>
      <c r="J160" s="234"/>
      <c r="K160" s="234"/>
      <c r="L160" s="234"/>
      <c r="M160" s="234"/>
      <c r="N160" s="234"/>
      <c r="O160" s="234" t="s">
        <v>1531</v>
      </c>
      <c r="P160" s="234"/>
      <c r="Q160" s="234"/>
      <c r="R160" s="234"/>
      <c r="S160" s="234"/>
      <c r="T160" s="234"/>
      <c r="U160" s="234" t="str">
        <f>IFERROR(__xludf.DUMMYFUNCTION("""COMPUTED_VALUE"""),"The Arcanum Group Inc.")</f>
        <v>The Arcanum Group Inc.</v>
      </c>
      <c r="V160" s="234">
        <f>IFERROR(__xludf.DUMMYFUNCTION("""COMPUTED_VALUE"""),"1")</f>
        <v>1</v>
      </c>
      <c r="W160" s="234" t="str">
        <f>IFERROR(__xludf.DUMMYFUNCTION("""COMPUTED_VALUE"""),"Palo Alto Networks Government Cloud Services - WildFire")</f>
        <v>Palo Alto Networks Government Cloud Services - WildFire</v>
      </c>
      <c r="X160" s="234">
        <f>IFERROR(__xludf.DUMMYFUNCTION("""COMPUTED_VALUE"""),"1")</f>
        <v>1</v>
      </c>
      <c r="Y160" s="234"/>
      <c r="Z160" s="234"/>
      <c r="AA160" s="234"/>
    </row>
    <row r="161" ht="14.25" customHeight="1">
      <c r="A161" s="234"/>
      <c r="B161" s="234"/>
      <c r="C161" s="234"/>
      <c r="D161" s="239" t="s">
        <v>2000</v>
      </c>
      <c r="E161" s="239" t="s">
        <v>954</v>
      </c>
      <c r="F161" s="234"/>
      <c r="G161" s="234"/>
      <c r="H161" s="234"/>
      <c r="I161" s="234"/>
      <c r="J161" s="234"/>
      <c r="K161" s="234"/>
      <c r="L161" s="234"/>
      <c r="M161" s="234"/>
      <c r="N161" s="234"/>
      <c r="O161" s="234" t="s">
        <v>1534</v>
      </c>
      <c r="P161" s="234"/>
      <c r="Q161" s="234"/>
      <c r="R161" s="234"/>
      <c r="S161" s="234"/>
      <c r="T161" s="234"/>
      <c r="U161" s="234" t="str">
        <f>IFERROR(__xludf.DUMMYFUNCTION("""COMPUTED_VALUE"""),"TIBCO")</f>
        <v>TIBCO</v>
      </c>
      <c r="V161" s="234">
        <f>IFERROR(__xludf.DUMMYFUNCTION("""COMPUTED_VALUE"""),"1")</f>
        <v>1</v>
      </c>
      <c r="W161" s="234" t="str">
        <f>IFERROR(__xludf.DUMMYFUNCTION("""COMPUTED_VALUE"""),"Parature Customer Service Application (CSA)")</f>
        <v>Parature Customer Service Application (CSA)</v>
      </c>
      <c r="X161" s="234">
        <f>IFERROR(__xludf.DUMMYFUNCTION("""COMPUTED_VALUE"""),"1")</f>
        <v>1</v>
      </c>
      <c r="Y161" s="234"/>
      <c r="Z161" s="234"/>
      <c r="AA161" s="234"/>
    </row>
    <row r="162" ht="14.25" customHeight="1">
      <c r="A162" s="234"/>
      <c r="B162" s="234"/>
      <c r="C162" s="234"/>
      <c r="D162" s="240" t="s">
        <v>2004</v>
      </c>
      <c r="E162" s="240" t="s">
        <v>954</v>
      </c>
      <c r="F162" s="234"/>
      <c r="G162" s="234"/>
      <c r="H162" s="234"/>
      <c r="I162" s="234"/>
      <c r="J162" s="234"/>
      <c r="K162" s="234"/>
      <c r="L162" s="234"/>
      <c r="M162" s="234"/>
      <c r="N162" s="234"/>
      <c r="O162" s="234" t="s">
        <v>1538</v>
      </c>
      <c r="P162" s="234"/>
      <c r="Q162" s="234"/>
      <c r="R162" s="234"/>
      <c r="S162" s="234"/>
      <c r="T162" s="234"/>
      <c r="U162" s="234" t="str">
        <f>IFERROR(__xludf.DUMMYFUNCTION("""COMPUTED_VALUE"""),"TRAPWIRE")</f>
        <v>TRAPWIRE</v>
      </c>
      <c r="V162" s="234">
        <f>IFERROR(__xludf.DUMMYFUNCTION("""COMPUTED_VALUE"""),"1")</f>
        <v>1</v>
      </c>
      <c r="W162" s="234" t="str">
        <f>IFERROR(__xludf.DUMMYFUNCTION("""COMPUTED_VALUE"""),"Pega Cloud for Government")</f>
        <v>Pega Cloud for Government</v>
      </c>
      <c r="X162" s="234">
        <f>IFERROR(__xludf.DUMMYFUNCTION("""COMPUTED_VALUE"""),"1")</f>
        <v>1</v>
      </c>
      <c r="Y162" s="234"/>
      <c r="Z162" s="234"/>
      <c r="AA162" s="234"/>
    </row>
    <row r="163" ht="14.25" customHeight="1">
      <c r="A163" s="234"/>
      <c r="B163" s="234"/>
      <c r="C163" s="234"/>
      <c r="D163" s="240" t="s">
        <v>2006</v>
      </c>
      <c r="E163" s="240" t="s">
        <v>850</v>
      </c>
      <c r="F163" s="234"/>
      <c r="G163" s="234"/>
      <c r="H163" s="234"/>
      <c r="I163" s="234"/>
      <c r="J163" s="234"/>
      <c r="K163" s="234"/>
      <c r="L163" s="234"/>
      <c r="M163" s="234"/>
      <c r="N163" s="234"/>
      <c r="O163" s="234" t="s">
        <v>1541</v>
      </c>
      <c r="P163" s="234"/>
      <c r="Q163" s="234"/>
      <c r="R163" s="234"/>
      <c r="S163" s="234"/>
      <c r="T163" s="234"/>
      <c r="U163" s="234" t="str">
        <f>IFERROR(__xludf.DUMMYFUNCTION("""COMPUTED_VALUE"""),"United States Department of Agriculture")</f>
        <v>United States Department of Agriculture</v>
      </c>
      <c r="V163" s="234">
        <f>IFERROR(__xludf.DUMMYFUNCTION("""COMPUTED_VALUE"""),"8")</f>
        <v>8</v>
      </c>
      <c r="W163" s="234" t="str">
        <f>IFERROR(__xludf.DUMMYFUNCTION("""COMPUTED_VALUE"""),"PEOMSCLOUD")</f>
        <v>PEOMSCLOUD</v>
      </c>
      <c r="X163" s="234">
        <f>IFERROR(__xludf.DUMMYFUNCTION("""COMPUTED_VALUE"""),"1")</f>
        <v>1</v>
      </c>
      <c r="Y163" s="234"/>
      <c r="Z163" s="234"/>
      <c r="AA163" s="234"/>
    </row>
    <row r="164" ht="14.25" customHeight="1">
      <c r="A164" s="234"/>
      <c r="B164" s="234"/>
      <c r="C164" s="234"/>
      <c r="D164" s="239" t="s">
        <v>2007</v>
      </c>
      <c r="E164" s="239" t="s">
        <v>220</v>
      </c>
      <c r="F164" s="234"/>
      <c r="G164" s="234"/>
      <c r="H164" s="234"/>
      <c r="I164" s="234"/>
      <c r="J164" s="234"/>
      <c r="K164" s="234"/>
      <c r="L164" s="234"/>
      <c r="M164" s="234"/>
      <c r="N164" s="234"/>
      <c r="O164" s="234" t="s">
        <v>1544</v>
      </c>
      <c r="P164" s="234"/>
      <c r="Q164" s="234"/>
      <c r="R164" s="234"/>
      <c r="S164" s="234"/>
      <c r="T164" s="234"/>
      <c r="U164" s="234" t="str">
        <f>IFERROR(__xludf.DUMMYFUNCTION("""COMPUTED_VALUE"""),"United States Department of the Treasury")</f>
        <v>United States Department of the Treasury</v>
      </c>
      <c r="V164" s="234">
        <f>IFERROR(__xludf.DUMMYFUNCTION("""COMPUTED_VALUE"""),"6")</f>
        <v>6</v>
      </c>
      <c r="W164" s="234" t="str">
        <f>IFERROR(__xludf.DUMMYFUNCTION("""COMPUTED_VALUE"""),"Planning and Budgeting Cloud Services")</f>
        <v>Planning and Budgeting Cloud Services</v>
      </c>
      <c r="X164" s="234">
        <f>IFERROR(__xludf.DUMMYFUNCTION("""COMPUTED_VALUE"""),"1")</f>
        <v>1</v>
      </c>
      <c r="Y164" s="234"/>
      <c r="Z164" s="234"/>
      <c r="AA164" s="234"/>
    </row>
    <row r="165" ht="14.25" customHeight="1">
      <c r="A165" s="234"/>
      <c r="B165" s="234"/>
      <c r="C165" s="234"/>
      <c r="D165" s="240" t="s">
        <v>2009</v>
      </c>
      <c r="E165" s="240" t="s">
        <v>142</v>
      </c>
      <c r="F165" s="234"/>
      <c r="G165" s="234"/>
      <c r="H165" s="234"/>
      <c r="I165" s="234"/>
      <c r="J165" s="234"/>
      <c r="K165" s="234"/>
      <c r="L165" s="234"/>
      <c r="M165" s="234"/>
      <c r="N165" s="234"/>
      <c r="O165" s="234" t="s">
        <v>1296</v>
      </c>
      <c r="P165" s="234"/>
      <c r="Q165" s="234"/>
      <c r="R165" s="234"/>
      <c r="S165" s="234"/>
      <c r="T165" s="234"/>
      <c r="U165" s="234" t="str">
        <f>IFERROR(__xludf.DUMMYFUNCTION("""COMPUTED_VALUE"""),"Valimail")</f>
        <v>Valimail</v>
      </c>
      <c r="V165" s="234">
        <f>IFERROR(__xludf.DUMMYFUNCTION("""COMPUTED_VALUE"""),"1")</f>
        <v>1</v>
      </c>
      <c r="W165" s="234" t="str">
        <f>IFERROR(__xludf.DUMMYFUNCTION("""COMPUTED_VALUE"""),"PRISM SaaS")</f>
        <v>PRISM SaaS</v>
      </c>
      <c r="X165" s="234">
        <f>IFERROR(__xludf.DUMMYFUNCTION("""COMPUTED_VALUE"""),"1")</f>
        <v>1</v>
      </c>
      <c r="Y165" s="234"/>
      <c r="Z165" s="234"/>
      <c r="AA165" s="234"/>
    </row>
    <row r="166" ht="14.25" customHeight="1">
      <c r="A166" s="234"/>
      <c r="B166" s="234"/>
      <c r="C166" s="234"/>
      <c r="D166" s="240" t="s">
        <v>2011</v>
      </c>
      <c r="E166" s="240" t="s">
        <v>1195</v>
      </c>
      <c r="F166" s="234"/>
      <c r="G166" s="234"/>
      <c r="H166" s="234"/>
      <c r="I166" s="234"/>
      <c r="J166" s="234"/>
      <c r="K166" s="234"/>
      <c r="L166" s="234"/>
      <c r="M166" s="234"/>
      <c r="N166" s="234"/>
      <c r="O166" s="234" t="s">
        <v>1551</v>
      </c>
      <c r="P166" s="234"/>
      <c r="Q166" s="234"/>
      <c r="R166" s="234"/>
      <c r="S166" s="234"/>
      <c r="T166" s="234"/>
      <c r="U166" s="234" t="str">
        <f>IFERROR(__xludf.DUMMYFUNCTION("""COMPUTED_VALUE"""),"VASCO")</f>
        <v>VASCO</v>
      </c>
      <c r="V166" s="234">
        <f>IFERROR(__xludf.DUMMYFUNCTION("""COMPUTED_VALUE"""),"3")</f>
        <v>3</v>
      </c>
      <c r="W166" s="234" t="str">
        <f>IFERROR(__xludf.DUMMYFUNCTION("""COMPUTED_VALUE"""),"Private Cloud")</f>
        <v>Private Cloud</v>
      </c>
      <c r="X166" s="234">
        <f>IFERROR(__xludf.DUMMYFUNCTION("""COMPUTED_VALUE"""),"3")</f>
        <v>3</v>
      </c>
      <c r="Y166" s="234"/>
      <c r="Z166" s="234"/>
      <c r="AA166" s="234"/>
    </row>
    <row r="167" ht="14.25" customHeight="1">
      <c r="A167" s="234"/>
      <c r="B167" s="234"/>
      <c r="C167" s="234"/>
      <c r="D167" s="239" t="s">
        <v>2012</v>
      </c>
      <c r="E167" s="239" t="s">
        <v>1296</v>
      </c>
      <c r="F167" s="234"/>
      <c r="G167" s="234"/>
      <c r="H167" s="234"/>
      <c r="I167" s="234"/>
      <c r="J167" s="234"/>
      <c r="K167" s="234"/>
      <c r="L167" s="234"/>
      <c r="M167" s="234"/>
      <c r="N167" s="234"/>
      <c r="O167" s="234" t="s">
        <v>1559</v>
      </c>
      <c r="P167" s="234"/>
      <c r="Q167" s="234"/>
      <c r="R167" s="234"/>
      <c r="S167" s="234"/>
      <c r="T167" s="234"/>
      <c r="U167" s="234" t="str">
        <f>IFERROR(__xludf.DUMMYFUNCTION("""COMPUTED_VALUE"""),"VBrick Systems, Inc.")</f>
        <v>VBrick Systems, Inc.</v>
      </c>
      <c r="V167" s="234">
        <f>IFERROR(__xludf.DUMMYFUNCTION("""COMPUTED_VALUE"""),"1")</f>
        <v>1</v>
      </c>
      <c r="W167" s="234" t="str">
        <f>IFERROR(__xludf.DUMMYFUNCTION("""COMPUTED_VALUE"""),"Proofpoint Email and Information Protection Service")</f>
        <v>Proofpoint Email and Information Protection Service</v>
      </c>
      <c r="X167" s="234">
        <f>IFERROR(__xludf.DUMMYFUNCTION("""COMPUTED_VALUE"""),"1")</f>
        <v>1</v>
      </c>
      <c r="Y167" s="234"/>
      <c r="Z167" s="234"/>
      <c r="AA167" s="234"/>
    </row>
    <row r="168" ht="14.25" customHeight="1">
      <c r="A168" s="234"/>
      <c r="B168" s="234"/>
      <c r="C168" s="234"/>
      <c r="D168" s="239" t="s">
        <v>2014</v>
      </c>
      <c r="E168" s="239" t="s">
        <v>850</v>
      </c>
      <c r="F168" s="234"/>
      <c r="G168" s="234"/>
      <c r="H168" s="234"/>
      <c r="I168" s="234"/>
      <c r="J168" s="234"/>
      <c r="K168" s="234"/>
      <c r="L168" s="234"/>
      <c r="M168" s="234"/>
      <c r="N168" s="234"/>
      <c r="O168" s="234" t="s">
        <v>1565</v>
      </c>
      <c r="P168" s="234"/>
      <c r="Q168" s="234"/>
      <c r="R168" s="234"/>
      <c r="S168" s="234"/>
      <c r="T168" s="234"/>
      <c r="U168" s="234" t="str">
        <f>IFERROR(__xludf.DUMMYFUNCTION("""COMPUTED_VALUE"""),"Veracode")</f>
        <v>Veracode</v>
      </c>
      <c r="V168" s="234">
        <f>IFERROR(__xludf.DUMMYFUNCTION("""COMPUTED_VALUE"""),"1")</f>
        <v>1</v>
      </c>
      <c r="W168" s="234" t="str">
        <f>IFERROR(__xludf.DUMMYFUNCTION("""COMPUTED_VALUE"""),"Proofpoint Email Archive")</f>
        <v>Proofpoint Email Archive</v>
      </c>
      <c r="X168" s="234">
        <f>IFERROR(__xludf.DUMMYFUNCTION("""COMPUTED_VALUE"""),"2")</f>
        <v>2</v>
      </c>
      <c r="Y168" s="234"/>
      <c r="Z168" s="234"/>
      <c r="AA168" s="234"/>
    </row>
    <row r="169" ht="14.25" customHeight="1">
      <c r="A169" s="234"/>
      <c r="B169" s="234"/>
      <c r="C169" s="234"/>
      <c r="D169" s="240" t="s">
        <v>2016</v>
      </c>
      <c r="E169" s="240" t="s">
        <v>850</v>
      </c>
      <c r="F169" s="234"/>
      <c r="G169" s="234"/>
      <c r="H169" s="234"/>
      <c r="I169" s="234"/>
      <c r="J169" s="234"/>
      <c r="K169" s="234"/>
      <c r="L169" s="234"/>
      <c r="M169" s="234"/>
      <c r="N169" s="234"/>
      <c r="O169" s="234" t="s">
        <v>1567</v>
      </c>
      <c r="P169" s="234"/>
      <c r="Q169" s="234"/>
      <c r="R169" s="234"/>
      <c r="S169" s="234"/>
      <c r="T169" s="234"/>
      <c r="U169" s="234" t="str">
        <f>IFERROR(__xludf.DUMMYFUNCTION("""COMPUTED_VALUE"""),"Veritone, Inc.")</f>
        <v>Veritone, Inc.</v>
      </c>
      <c r="V169" s="234">
        <f>IFERROR(__xludf.DUMMYFUNCTION("""COMPUTED_VALUE"""),"1")</f>
        <v>1</v>
      </c>
      <c r="W169" s="234" t="str">
        <f>IFERROR(__xludf.DUMMYFUNCTION("""COMPUTED_VALUE"""),"Proofpoint Targeted Attack Protection")</f>
        <v>Proofpoint Targeted Attack Protection</v>
      </c>
      <c r="X169" s="234">
        <f>IFERROR(__xludf.DUMMYFUNCTION("""COMPUTED_VALUE"""),"1")</f>
        <v>1</v>
      </c>
      <c r="Y169" s="234"/>
      <c r="Z169" s="234"/>
      <c r="AA169" s="234"/>
    </row>
    <row r="170" ht="14.25" customHeight="1">
      <c r="A170" s="234"/>
      <c r="B170" s="234"/>
      <c r="C170" s="234"/>
      <c r="D170" s="239" t="s">
        <v>2017</v>
      </c>
      <c r="E170" s="239" t="s">
        <v>850</v>
      </c>
      <c r="F170" s="234"/>
      <c r="G170" s="234"/>
      <c r="H170" s="234"/>
      <c r="I170" s="234"/>
      <c r="J170" s="234"/>
      <c r="K170" s="234"/>
      <c r="L170" s="234"/>
      <c r="M170" s="234"/>
      <c r="N170" s="234"/>
      <c r="O170" s="234" t="s">
        <v>1570</v>
      </c>
      <c r="P170" s="234"/>
      <c r="Q170" s="234"/>
      <c r="R170" s="234"/>
      <c r="S170" s="234"/>
      <c r="T170" s="234"/>
      <c r="U170" s="234" t="str">
        <f>IFERROR(__xludf.DUMMYFUNCTION("""COMPUTED_VALUE"""),"Virtru")</f>
        <v>Virtru</v>
      </c>
      <c r="V170" s="234">
        <f>IFERROR(__xludf.DUMMYFUNCTION("""COMPUTED_VALUE"""),"1")</f>
        <v>1</v>
      </c>
      <c r="W170" s="234" t="str">
        <f>IFERROR(__xludf.DUMMYFUNCTION("""COMPUTED_VALUE"""),"PTC Cloud Services")</f>
        <v>PTC Cloud Services</v>
      </c>
      <c r="X170" s="234">
        <f>IFERROR(__xludf.DUMMYFUNCTION("""COMPUTED_VALUE"""),"2")</f>
        <v>2</v>
      </c>
      <c r="Y170" s="234"/>
      <c r="Z170" s="234"/>
      <c r="AA170" s="234"/>
    </row>
    <row r="171" ht="14.25" customHeight="1">
      <c r="A171" s="234"/>
      <c r="B171" s="234"/>
      <c r="C171" s="234"/>
      <c r="D171" s="239" t="s">
        <v>2020</v>
      </c>
      <c r="E171" s="239" t="s">
        <v>1500</v>
      </c>
      <c r="F171" s="234"/>
      <c r="G171" s="234"/>
      <c r="H171" s="234"/>
      <c r="I171" s="234"/>
      <c r="J171" s="234"/>
      <c r="K171" s="234"/>
      <c r="L171" s="234"/>
      <c r="M171" s="234"/>
      <c r="N171" s="234"/>
      <c r="O171" s="234" t="s">
        <v>1510</v>
      </c>
      <c r="P171" s="234"/>
      <c r="Q171" s="234"/>
      <c r="R171" s="234"/>
      <c r="S171" s="234"/>
      <c r="T171" s="234"/>
      <c r="U171" s="234" t="str">
        <f>IFERROR(__xludf.DUMMYFUNCTION("""COMPUTED_VALUE"""),"Virtustream")</f>
        <v>Virtustream</v>
      </c>
      <c r="V171" s="234">
        <f>IFERROR(__xludf.DUMMYFUNCTION("""COMPUTED_VALUE"""),"5")</f>
        <v>5</v>
      </c>
      <c r="W171" s="234" t="str">
        <f>IFERROR(__xludf.DUMMYFUNCTION("""COMPUTED_VALUE"""),"QTS")</f>
        <v>QTS</v>
      </c>
      <c r="X171" s="234">
        <f>IFERROR(__xludf.DUMMYFUNCTION("""COMPUTED_VALUE"""),"1")</f>
        <v>1</v>
      </c>
      <c r="Y171" s="234"/>
      <c r="Z171" s="234"/>
      <c r="AA171" s="234"/>
    </row>
    <row r="172" ht="14.25" customHeight="1">
      <c r="A172" s="234"/>
      <c r="B172" s="234"/>
      <c r="C172" s="234"/>
      <c r="D172" s="239" t="s">
        <v>2023</v>
      </c>
      <c r="E172" s="239" t="s">
        <v>989</v>
      </c>
      <c r="F172" s="234"/>
      <c r="G172" s="234"/>
      <c r="H172" s="234"/>
      <c r="I172" s="234"/>
      <c r="J172" s="234"/>
      <c r="K172" s="234"/>
      <c r="L172" s="234"/>
      <c r="M172" s="234"/>
      <c r="N172" s="234"/>
      <c r="O172" s="234" t="s">
        <v>1577</v>
      </c>
      <c r="P172" s="234"/>
      <c r="Q172" s="234"/>
      <c r="R172" s="234"/>
      <c r="S172" s="234"/>
      <c r="T172" s="234"/>
      <c r="U172" s="234" t="str">
        <f>IFERROR(__xludf.DUMMYFUNCTION("""COMPUTED_VALUE"""),"Virtustream ")</f>
        <v>Virtustream </v>
      </c>
      <c r="V172" s="234">
        <f>IFERROR(__xludf.DUMMYFUNCTION("""COMPUTED_VALUE"""),"2")</f>
        <v>2</v>
      </c>
      <c r="W172" s="234" t="str">
        <f>IFERROR(__xludf.DUMMYFUNCTION("""COMPUTED_VALUE"""),"QTS Government Cloud")</f>
        <v>QTS Government Cloud</v>
      </c>
      <c r="X172" s="234">
        <f>IFERROR(__xludf.DUMMYFUNCTION("""COMPUTED_VALUE"""),"5")</f>
        <v>5</v>
      </c>
      <c r="Y172" s="234"/>
      <c r="Z172" s="234"/>
      <c r="AA172" s="234"/>
    </row>
    <row r="173" ht="14.25" customHeight="1">
      <c r="A173" s="234"/>
      <c r="B173" s="234"/>
      <c r="C173" s="234"/>
      <c r="D173" s="240" t="s">
        <v>2024</v>
      </c>
      <c r="E173" s="240" t="s">
        <v>989</v>
      </c>
      <c r="F173" s="234"/>
      <c r="G173" s="234"/>
      <c r="H173" s="234"/>
      <c r="I173" s="234"/>
      <c r="J173" s="234"/>
      <c r="K173" s="234"/>
      <c r="L173" s="234"/>
      <c r="M173" s="234"/>
      <c r="N173" s="234"/>
      <c r="O173" s="234" t="s">
        <v>1583</v>
      </c>
      <c r="P173" s="234"/>
      <c r="Q173" s="234"/>
      <c r="R173" s="234"/>
      <c r="S173" s="234"/>
      <c r="T173" s="234"/>
      <c r="U173" s="234" t="str">
        <f>IFERROR(__xludf.DUMMYFUNCTION("""COMPUTED_VALUE"""),"Waggl, Inc.")</f>
        <v>Waggl, Inc.</v>
      </c>
      <c r="V173" s="234">
        <f>IFERROR(__xludf.DUMMYFUNCTION("""COMPUTED_VALUE"""),"1")</f>
        <v>1</v>
      </c>
      <c r="W173" s="234" t="str">
        <f>IFERROR(__xludf.DUMMYFUNCTION("""COMPUTED_VALUE"""),"Qualtrics XM Platform")</f>
        <v>Qualtrics XM Platform</v>
      </c>
      <c r="X173" s="234">
        <f>IFERROR(__xludf.DUMMYFUNCTION("""COMPUTED_VALUE"""),"1")</f>
        <v>1</v>
      </c>
      <c r="Y173" s="234"/>
      <c r="Z173" s="234"/>
      <c r="AA173" s="234"/>
    </row>
    <row r="174" ht="14.25" customHeight="1">
      <c r="A174" s="234"/>
      <c r="B174" s="234"/>
      <c r="C174" s="234"/>
      <c r="D174" s="239" t="s">
        <v>2029</v>
      </c>
      <c r="E174" s="239" t="s">
        <v>1195</v>
      </c>
      <c r="F174" s="234"/>
      <c r="G174" s="234"/>
      <c r="H174" s="234"/>
      <c r="I174" s="234"/>
      <c r="J174" s="234"/>
      <c r="K174" s="234"/>
      <c r="L174" s="234"/>
      <c r="M174" s="234"/>
      <c r="N174" s="234"/>
      <c r="O174" s="234" t="s">
        <v>1583</v>
      </c>
      <c r="P174" s="234"/>
      <c r="Q174" s="234"/>
      <c r="R174" s="234"/>
      <c r="S174" s="234"/>
      <c r="T174" s="234"/>
      <c r="U174" s="234" t="str">
        <f>IFERROR(__xludf.DUMMYFUNCTION("""COMPUTED_VALUE"""),"Workiva")</f>
        <v>Workiva</v>
      </c>
      <c r="V174" s="234">
        <f>IFERROR(__xludf.DUMMYFUNCTION("""COMPUTED_VALUE"""),"1")</f>
        <v>1</v>
      </c>
      <c r="W174" s="234" t="str">
        <f>IFERROR(__xludf.DUMMYFUNCTION("""COMPUTED_VALUE"""),"Qualys Cloud Platform")</f>
        <v>Qualys Cloud Platform</v>
      </c>
      <c r="X174" s="234">
        <f>IFERROR(__xludf.DUMMYFUNCTION("""COMPUTED_VALUE"""),"3")</f>
        <v>3</v>
      </c>
      <c r="Y174" s="234"/>
      <c r="Z174" s="234"/>
      <c r="AA174" s="234"/>
    </row>
    <row r="175" ht="14.25" customHeight="1">
      <c r="A175" s="234"/>
      <c r="B175" s="234"/>
      <c r="C175" s="234"/>
      <c r="D175" s="239" t="s">
        <v>2035</v>
      </c>
      <c r="E175" s="239" t="s">
        <v>989</v>
      </c>
      <c r="F175" s="234"/>
      <c r="G175" s="234"/>
      <c r="H175" s="234"/>
      <c r="I175" s="234"/>
      <c r="J175" s="234"/>
      <c r="K175" s="234"/>
      <c r="L175" s="234"/>
      <c r="M175" s="234"/>
      <c r="N175" s="234"/>
      <c r="O175" s="234" t="s">
        <v>1594</v>
      </c>
      <c r="P175" s="234"/>
      <c r="Q175" s="234"/>
      <c r="R175" s="234"/>
      <c r="S175" s="234"/>
      <c r="T175" s="234"/>
      <c r="U175" s="234" t="str">
        <f>IFERROR(__xludf.DUMMYFUNCTION("""COMPUTED_VALUE"""),"Xerox Corporation")</f>
        <v>Xerox Corporation</v>
      </c>
      <c r="V175" s="234">
        <f>IFERROR(__xludf.DUMMYFUNCTION("""COMPUTED_VALUE"""),"1")</f>
        <v>1</v>
      </c>
      <c r="W175" s="234" t="str">
        <f>IFERROR(__xludf.DUMMYFUNCTION("""COMPUTED_VALUE"""),"Questionmark OnDemand for Government")</f>
        <v>Questionmark OnDemand for Government</v>
      </c>
      <c r="X175" s="234">
        <f>IFERROR(__xludf.DUMMYFUNCTION("""COMPUTED_VALUE"""),"1")</f>
        <v>1</v>
      </c>
      <c r="Y175" s="234"/>
      <c r="Z175" s="234"/>
      <c r="AA175" s="234"/>
    </row>
    <row r="176" ht="14.25" customHeight="1">
      <c r="A176" s="234"/>
      <c r="B176" s="234"/>
      <c r="C176" s="234"/>
      <c r="D176" s="239" t="s">
        <v>2038</v>
      </c>
      <c r="E176" s="239" t="s">
        <v>1023</v>
      </c>
      <c r="F176" s="234"/>
      <c r="G176" s="234"/>
      <c r="H176" s="234"/>
      <c r="I176" s="234"/>
      <c r="J176" s="234"/>
      <c r="K176" s="234"/>
      <c r="L176" s="234"/>
      <c r="M176" s="234"/>
      <c r="N176" s="234"/>
      <c r="O176" s="234" t="s">
        <v>1600</v>
      </c>
      <c r="P176" s="234"/>
      <c r="Q176" s="234"/>
      <c r="R176" s="234"/>
      <c r="S176" s="234"/>
      <c r="T176" s="234"/>
      <c r="U176" s="234" t="str">
        <f>IFERROR(__xludf.DUMMYFUNCTION("""COMPUTED_VALUE"""),"Zapproved LLC")</f>
        <v>Zapproved LLC</v>
      </c>
      <c r="V176" s="234">
        <f>IFERROR(__xludf.DUMMYFUNCTION("""COMPUTED_VALUE"""),"1")</f>
        <v>1</v>
      </c>
      <c r="W176" s="234" t="str">
        <f>IFERROR(__xludf.DUMMYFUNCTION("""COMPUTED_VALUE"""),"Rackspace Government Cloud")</f>
        <v>Rackspace Government Cloud</v>
      </c>
      <c r="X176" s="234">
        <f>IFERROR(__xludf.DUMMYFUNCTION("""COMPUTED_VALUE"""),"6")</f>
        <v>6</v>
      </c>
      <c r="Y176" s="234"/>
      <c r="Z176" s="234"/>
      <c r="AA176" s="234"/>
    </row>
    <row r="177" ht="14.25" customHeight="1">
      <c r="A177" s="234"/>
      <c r="B177" s="234"/>
      <c r="C177" s="234"/>
      <c r="D177" s="240" t="s">
        <v>2040</v>
      </c>
      <c r="E177" s="240" t="s">
        <v>989</v>
      </c>
      <c r="F177" s="234"/>
      <c r="G177" s="234"/>
      <c r="H177" s="234"/>
      <c r="I177" s="234"/>
      <c r="J177" s="234"/>
      <c r="K177" s="234"/>
      <c r="L177" s="234"/>
      <c r="M177" s="234"/>
      <c r="N177" s="234"/>
      <c r="O177" s="234" t="s">
        <v>1603</v>
      </c>
      <c r="P177" s="234"/>
      <c r="Q177" s="234"/>
      <c r="R177" s="234"/>
      <c r="S177" s="234"/>
      <c r="T177" s="234"/>
      <c r="U177" s="234" t="str">
        <f>IFERROR(__xludf.DUMMYFUNCTION("""COMPUTED_VALUE"""),"Zendesk Inc.")</f>
        <v>Zendesk Inc.</v>
      </c>
      <c r="V177" s="234">
        <f>IFERROR(__xludf.DUMMYFUNCTION("""COMPUTED_VALUE"""),"1")</f>
        <v>1</v>
      </c>
      <c r="W177" s="234" t="str">
        <f>IFERROR(__xludf.DUMMYFUNCTION("""COMPUTED_VALUE"""),"Rave Alert")</f>
        <v>Rave Alert</v>
      </c>
      <c r="X177" s="234">
        <f>IFERROR(__xludf.DUMMYFUNCTION("""COMPUTED_VALUE"""),"1")</f>
        <v>1</v>
      </c>
      <c r="Y177" s="234"/>
      <c r="Z177" s="234"/>
      <c r="AA177" s="234"/>
    </row>
    <row r="178" ht="14.25" customHeight="1">
      <c r="A178" s="234"/>
      <c r="B178" s="234"/>
      <c r="C178" s="234"/>
      <c r="D178" s="239" t="s">
        <v>2042</v>
      </c>
      <c r="E178" s="239" t="s">
        <v>989</v>
      </c>
      <c r="F178" s="234"/>
      <c r="G178" s="234"/>
      <c r="H178" s="234"/>
      <c r="I178" s="234"/>
      <c r="J178" s="234"/>
      <c r="K178" s="234"/>
      <c r="L178" s="234"/>
      <c r="M178" s="234"/>
      <c r="N178" s="234"/>
      <c r="O178" s="234" t="s">
        <v>1608</v>
      </c>
      <c r="P178" s="234"/>
      <c r="Q178" s="234"/>
      <c r="R178" s="234"/>
      <c r="S178" s="234"/>
      <c r="T178" s="234"/>
      <c r="U178" s="234" t="str">
        <f>IFERROR(__xludf.DUMMYFUNCTION("""COMPUTED_VALUE"""),"Zimperium")</f>
        <v>Zimperium</v>
      </c>
      <c r="V178" s="234">
        <f>IFERROR(__xludf.DUMMYFUNCTION("""COMPUTED_VALUE"""),"1")</f>
        <v>1</v>
      </c>
      <c r="W178" s="234" t="str">
        <f>IFERROR(__xludf.DUMMYFUNCTION("""COMPUTED_VALUE"""),"Recruitment Assessments and Video Interviewing")</f>
        <v>Recruitment Assessments and Video Interviewing</v>
      </c>
      <c r="X178" s="234">
        <f>IFERROR(__xludf.DUMMYFUNCTION("""COMPUTED_VALUE"""),"1")</f>
        <v>1</v>
      </c>
      <c r="Y178" s="234"/>
      <c r="Z178" s="234"/>
      <c r="AA178" s="234"/>
    </row>
    <row r="179" ht="14.25" customHeight="1">
      <c r="A179" s="234"/>
      <c r="B179" s="234"/>
      <c r="C179" s="234"/>
      <c r="D179" s="240" t="s">
        <v>2048</v>
      </c>
      <c r="E179" s="240" t="s">
        <v>220</v>
      </c>
      <c r="F179" s="234"/>
      <c r="G179" s="234"/>
      <c r="H179" s="234"/>
      <c r="I179" s="234"/>
      <c r="J179" s="234"/>
      <c r="K179" s="234"/>
      <c r="L179" s="234"/>
      <c r="M179" s="234"/>
      <c r="N179" s="234"/>
      <c r="O179" s="234" t="s">
        <v>1613</v>
      </c>
      <c r="P179" s="234"/>
      <c r="Q179" s="234"/>
      <c r="R179" s="234"/>
      <c r="S179" s="234"/>
      <c r="T179" s="234"/>
      <c r="U179" s="234" t="str">
        <f>IFERROR(__xludf.DUMMYFUNCTION("""COMPUTED_VALUE"""),"Zoom Video Communications, LLC")</f>
        <v>Zoom Video Communications, LLC</v>
      </c>
      <c r="V179" s="234">
        <f>IFERROR(__xludf.DUMMYFUNCTION("""COMPUTED_VALUE"""),"1")</f>
        <v>1</v>
      </c>
      <c r="W179" s="234" t="str">
        <f>IFERROR(__xludf.DUMMYFUNCTION("""COMPUTED_VALUE"""),"Replicon Cloud Platform")</f>
        <v>Replicon Cloud Platform</v>
      </c>
      <c r="X179" s="234">
        <f>IFERROR(__xludf.DUMMYFUNCTION("""COMPUTED_VALUE"""),"1")</f>
        <v>1</v>
      </c>
      <c r="Y179" s="234"/>
      <c r="Z179" s="234"/>
      <c r="AA179" s="234"/>
    </row>
    <row r="180" ht="14.25" customHeight="1">
      <c r="A180" s="234"/>
      <c r="B180" s="234"/>
      <c r="C180" s="234"/>
      <c r="D180" s="239" t="s">
        <v>2048</v>
      </c>
      <c r="E180" s="239" t="s">
        <v>327</v>
      </c>
      <c r="F180" s="234"/>
      <c r="G180" s="234"/>
      <c r="H180" s="234"/>
      <c r="I180" s="234"/>
      <c r="J180" s="234"/>
      <c r="K180" s="234"/>
      <c r="L180" s="234"/>
      <c r="M180" s="234"/>
      <c r="N180" s="234"/>
      <c r="O180" s="234" t="s">
        <v>1615</v>
      </c>
      <c r="P180" s="234"/>
      <c r="Q180" s="234"/>
      <c r="R180" s="234"/>
      <c r="S180" s="234"/>
      <c r="T180" s="234"/>
      <c r="U180" s="234" t="str">
        <f>IFERROR(__xludf.DUMMYFUNCTION("""COMPUTED_VALUE"""),"Zscaler")</f>
        <v>Zscaler</v>
      </c>
      <c r="V180" s="234">
        <f>IFERROR(__xludf.DUMMYFUNCTION("""COMPUTED_VALUE"""),"2")</f>
        <v>2</v>
      </c>
      <c r="W180" s="234" t="str">
        <f>IFERROR(__xludf.DUMMYFUNCTION("""COMPUTED_VALUE"""),"Resource Scheduler Room and Real Estate Utilization")</f>
        <v>Resource Scheduler Room and Real Estate Utilization</v>
      </c>
      <c r="X180" s="234">
        <f>IFERROR(__xludf.DUMMYFUNCTION("""COMPUTED_VALUE"""),"1")</f>
        <v>1</v>
      </c>
      <c r="Y180" s="234"/>
      <c r="Z180" s="234"/>
      <c r="AA180" s="234"/>
    </row>
    <row r="181" ht="14.25" customHeight="1">
      <c r="A181" s="234"/>
      <c r="B181" s="234"/>
      <c r="C181" s="234"/>
      <c r="D181" s="239" t="s">
        <v>1635</v>
      </c>
      <c r="E181" s="239" t="s">
        <v>969</v>
      </c>
      <c r="F181" s="234"/>
      <c r="G181" s="234"/>
      <c r="H181" s="234"/>
      <c r="I181" s="234"/>
      <c r="J181" s="234"/>
      <c r="K181" s="234"/>
      <c r="L181" s="234"/>
      <c r="M181" s="234"/>
      <c r="N181" s="234"/>
      <c r="O181" s="234" t="s">
        <v>1617</v>
      </c>
      <c r="P181" s="234"/>
      <c r="Q181" s="234"/>
      <c r="R181" s="234"/>
      <c r="S181" s="234"/>
      <c r="T181" s="234"/>
      <c r="U181" s="234"/>
      <c r="V181" s="234"/>
      <c r="W181" s="234" t="str">
        <f>IFERROR(__xludf.DUMMYFUNCTION("""COMPUTED_VALUE"""),"Ricoh Government Cloud (RGC)")</f>
        <v>Ricoh Government Cloud (RGC)</v>
      </c>
      <c r="X181" s="234">
        <f>IFERROR(__xludf.DUMMYFUNCTION("""COMPUTED_VALUE"""),"1")</f>
        <v>1</v>
      </c>
      <c r="Y181" s="234"/>
      <c r="Z181" s="234"/>
      <c r="AA181" s="234"/>
    </row>
    <row r="182" ht="14.25" customHeight="1">
      <c r="A182" s="234"/>
      <c r="B182" s="234"/>
      <c r="C182" s="234"/>
      <c r="D182" s="240" t="s">
        <v>2061</v>
      </c>
      <c r="E182" s="240" t="s">
        <v>1195</v>
      </c>
      <c r="F182" s="234"/>
      <c r="G182" s="234"/>
      <c r="H182" s="234"/>
      <c r="I182" s="234"/>
      <c r="J182" s="234"/>
      <c r="K182" s="234"/>
      <c r="L182" s="234"/>
      <c r="M182" s="234"/>
      <c r="N182" s="234"/>
      <c r="O182" s="234" t="s">
        <v>1621</v>
      </c>
      <c r="P182" s="234"/>
      <c r="Q182" s="234"/>
      <c r="R182" s="234"/>
      <c r="S182" s="234"/>
      <c r="T182" s="234"/>
      <c r="U182" s="234"/>
      <c r="V182" s="234"/>
      <c r="W182" s="234" t="str">
        <f>IFERROR(__xludf.DUMMYFUNCTION("""COMPUTED_VALUE"""),"SAIC Cloud Infrastructure Service")</f>
        <v>SAIC Cloud Infrastructure Service</v>
      </c>
      <c r="X182" s="234">
        <f>IFERROR(__xludf.DUMMYFUNCTION("""COMPUTED_VALUE"""),"1")</f>
        <v>1</v>
      </c>
      <c r="Y182" s="234"/>
      <c r="Z182" s="234"/>
      <c r="AA182" s="234"/>
    </row>
    <row r="183" ht="14.25" customHeight="1">
      <c r="A183" s="234"/>
      <c r="B183" s="234"/>
      <c r="C183" s="234"/>
      <c r="D183" s="240" t="s">
        <v>2066</v>
      </c>
      <c r="E183" s="240" t="s">
        <v>1012</v>
      </c>
      <c r="F183" s="234"/>
      <c r="G183" s="234"/>
      <c r="H183" s="234"/>
      <c r="I183" s="234"/>
      <c r="J183" s="234"/>
      <c r="K183" s="234"/>
      <c r="L183" s="234"/>
      <c r="M183" s="234"/>
      <c r="N183" s="234"/>
      <c r="O183" s="234" t="s">
        <v>1629</v>
      </c>
      <c r="P183" s="234"/>
      <c r="Q183" s="234"/>
      <c r="R183" s="234"/>
      <c r="S183" s="234"/>
      <c r="T183" s="234"/>
      <c r="U183" s="234"/>
      <c r="V183" s="234"/>
      <c r="W183" s="234" t="str">
        <f>IFERROR(__xludf.DUMMYFUNCTION("""COMPUTED_VALUE"""),"Salesforce Government Cloud")</f>
        <v>Salesforce Government Cloud</v>
      </c>
      <c r="X183" s="234">
        <f>IFERROR(__xludf.DUMMYFUNCTION("""COMPUTED_VALUE"""),"47")</f>
        <v>47</v>
      </c>
      <c r="Y183" s="234"/>
      <c r="Z183" s="234"/>
      <c r="AA183" s="234"/>
    </row>
    <row r="184" ht="14.25" customHeight="1">
      <c r="A184" s="234"/>
      <c r="B184" s="234"/>
      <c r="C184" s="234"/>
      <c r="D184" s="240" t="s">
        <v>1297</v>
      </c>
      <c r="E184" s="240" t="s">
        <v>1296</v>
      </c>
      <c r="F184" s="234"/>
      <c r="G184" s="234"/>
      <c r="H184" s="234"/>
      <c r="I184" s="234"/>
      <c r="J184" s="234"/>
      <c r="K184" s="234"/>
      <c r="L184" s="234"/>
      <c r="M184" s="234"/>
      <c r="N184" s="234"/>
      <c r="O184" s="234" t="s">
        <v>1640</v>
      </c>
      <c r="P184" s="234"/>
      <c r="Q184" s="234"/>
      <c r="R184" s="234"/>
      <c r="S184" s="234"/>
      <c r="T184" s="234"/>
      <c r="U184" s="234"/>
      <c r="V184" s="234"/>
      <c r="W184" s="234" t="str">
        <f>IFERROR(__xludf.DUMMYFUNCTION("""COMPUTED_VALUE"""),"SAP NS2 Cloud - SuccessFactors HCM Suite for Government")</f>
        <v>SAP NS2 Cloud - SuccessFactors HCM Suite for Government</v>
      </c>
      <c r="X184" s="234">
        <f>IFERROR(__xludf.DUMMYFUNCTION("""COMPUTED_VALUE"""),"11")</f>
        <v>11</v>
      </c>
      <c r="Y184" s="234"/>
      <c r="Z184" s="234"/>
      <c r="AA184" s="234"/>
    </row>
    <row r="185" ht="14.25" customHeight="1">
      <c r="A185" s="234"/>
      <c r="B185" s="234"/>
      <c r="C185" s="234"/>
      <c r="D185" s="239" t="s">
        <v>2071</v>
      </c>
      <c r="E185" s="239" t="s">
        <v>1296</v>
      </c>
      <c r="F185" s="234"/>
      <c r="G185" s="234"/>
      <c r="H185" s="234"/>
      <c r="I185" s="234"/>
      <c r="J185" s="234"/>
      <c r="K185" s="234"/>
      <c r="L185" s="234"/>
      <c r="M185" s="234"/>
      <c r="N185" s="234"/>
      <c r="O185" s="234" t="s">
        <v>605</v>
      </c>
      <c r="P185" s="234"/>
      <c r="Q185" s="234"/>
      <c r="R185" s="234"/>
      <c r="S185" s="234"/>
      <c r="T185" s="234"/>
      <c r="U185" s="234"/>
      <c r="V185" s="234"/>
      <c r="W185" s="234" t="str">
        <f>IFERROR(__xludf.DUMMYFUNCTION("""COMPUTED_VALUE"""),"SAP NS2 Secure Node with SuccessFactors Suite - DoD")</f>
        <v>SAP NS2 Secure Node with SuccessFactors Suite - DoD</v>
      </c>
      <c r="X185" s="234">
        <f>IFERROR(__xludf.DUMMYFUNCTION("""COMPUTED_VALUE"""),"3")</f>
        <v>3</v>
      </c>
      <c r="Y185" s="234"/>
      <c r="Z185" s="234"/>
      <c r="AA185" s="234"/>
    </row>
    <row r="186" ht="14.25" customHeight="1">
      <c r="A186" s="234"/>
      <c r="B186" s="234"/>
      <c r="C186" s="234"/>
      <c r="D186" s="240" t="s">
        <v>2072</v>
      </c>
      <c r="E186" s="240" t="s">
        <v>989</v>
      </c>
      <c r="F186" s="234"/>
      <c r="G186" s="234"/>
      <c r="H186" s="234"/>
      <c r="I186" s="234"/>
      <c r="J186" s="234"/>
      <c r="K186" s="234"/>
      <c r="L186" s="234"/>
      <c r="M186" s="234"/>
      <c r="N186" s="234"/>
      <c r="O186" s="234" t="s">
        <v>1648</v>
      </c>
      <c r="P186" s="234"/>
      <c r="Q186" s="234"/>
      <c r="R186" s="234"/>
      <c r="S186" s="234"/>
      <c r="T186" s="234"/>
      <c r="U186" s="234"/>
      <c r="V186" s="234"/>
      <c r="W186" s="234" t="str">
        <f>IFERROR(__xludf.DUMMYFUNCTION("""COMPUTED_VALUE"""),"Secure Cloud")</f>
        <v>Secure Cloud</v>
      </c>
      <c r="X186" s="234">
        <f>IFERROR(__xludf.DUMMYFUNCTION("""COMPUTED_VALUE"""),"3")</f>
        <v>3</v>
      </c>
      <c r="Y186" s="234"/>
      <c r="Z186" s="234"/>
      <c r="AA186" s="234"/>
    </row>
    <row r="187" ht="14.25" customHeight="1">
      <c r="A187" s="234"/>
      <c r="B187" s="234"/>
      <c r="C187" s="234"/>
      <c r="D187" s="239" t="s">
        <v>2074</v>
      </c>
      <c r="E187" s="239" t="s">
        <v>989</v>
      </c>
      <c r="F187" s="234"/>
      <c r="G187" s="234"/>
      <c r="H187" s="234"/>
      <c r="I187" s="234"/>
      <c r="J187" s="234"/>
      <c r="K187" s="234"/>
      <c r="L187" s="234"/>
      <c r="M187" s="234"/>
      <c r="N187" s="234"/>
      <c r="O187" s="234" t="s">
        <v>1653</v>
      </c>
      <c r="P187" s="234"/>
      <c r="Q187" s="234"/>
      <c r="R187" s="234"/>
      <c r="S187" s="234"/>
      <c r="T187" s="234"/>
      <c r="U187" s="234"/>
      <c r="V187" s="234"/>
      <c r="W187" s="234" t="str">
        <f>IFERROR(__xludf.DUMMYFUNCTION("""COMPUTED_VALUE"""),"Secure UC")</f>
        <v>Secure UC</v>
      </c>
      <c r="X187" s="234">
        <f>IFERROR(__xludf.DUMMYFUNCTION("""COMPUTED_VALUE"""),"1")</f>
        <v>1</v>
      </c>
      <c r="Y187" s="234"/>
      <c r="Z187" s="234"/>
      <c r="AA187" s="234"/>
    </row>
    <row r="188" ht="14.25" customHeight="1">
      <c r="A188" s="234"/>
      <c r="B188" s="234"/>
      <c r="C188" s="234"/>
      <c r="D188" s="240" t="s">
        <v>2076</v>
      </c>
      <c r="E188" s="240" t="s">
        <v>1296</v>
      </c>
      <c r="F188" s="234"/>
      <c r="G188" s="234"/>
      <c r="H188" s="234"/>
      <c r="I188" s="234"/>
      <c r="J188" s="234"/>
      <c r="K188" s="234"/>
      <c r="L188" s="234"/>
      <c r="M188" s="234"/>
      <c r="N188" s="234"/>
      <c r="O188" s="234" t="s">
        <v>1659</v>
      </c>
      <c r="P188" s="234"/>
      <c r="Q188" s="234"/>
      <c r="R188" s="234"/>
      <c r="S188" s="234"/>
      <c r="T188" s="234"/>
      <c r="U188" s="234"/>
      <c r="V188" s="234"/>
      <c r="W188" s="234" t="str">
        <f>IFERROR(__xludf.DUMMYFUNCTION("""COMPUTED_VALUE"""),"Send Word Now from OnSolve")</f>
        <v>Send Word Now from OnSolve</v>
      </c>
      <c r="X188" s="234">
        <f>IFERROR(__xludf.DUMMYFUNCTION("""COMPUTED_VALUE"""),"1")</f>
        <v>1</v>
      </c>
      <c r="Y188" s="234"/>
      <c r="Z188" s="234"/>
      <c r="AA188" s="234"/>
    </row>
    <row r="189" ht="14.25" customHeight="1">
      <c r="A189" s="234"/>
      <c r="B189" s="234"/>
      <c r="C189" s="234"/>
      <c r="D189" s="240" t="s">
        <v>2077</v>
      </c>
      <c r="E189" s="240" t="s">
        <v>989</v>
      </c>
      <c r="F189" s="234"/>
      <c r="G189" s="234"/>
      <c r="H189" s="234"/>
      <c r="I189" s="234"/>
      <c r="J189" s="234"/>
      <c r="K189" s="234"/>
      <c r="L189" s="234"/>
      <c r="M189" s="234"/>
      <c r="N189" s="234"/>
      <c r="O189" s="234" t="s">
        <v>1663</v>
      </c>
      <c r="P189" s="234"/>
      <c r="Q189" s="234"/>
      <c r="R189" s="234"/>
      <c r="S189" s="234"/>
      <c r="T189" s="234"/>
      <c r="U189" s="234"/>
      <c r="V189" s="234"/>
      <c r="W189" s="234" t="str">
        <f>IFERROR(__xludf.DUMMYFUNCTION("""COMPUTED_VALUE"""),"ServiceNow Service Automation Government Cloud Suite")</f>
        <v>ServiceNow Service Automation Government Cloud Suite</v>
      </c>
      <c r="X189" s="234">
        <f>IFERROR(__xludf.DUMMYFUNCTION("""COMPUTED_VALUE"""),"36")</f>
        <v>36</v>
      </c>
      <c r="Y189" s="234"/>
      <c r="Z189" s="234"/>
      <c r="AA189" s="234"/>
    </row>
    <row r="190" ht="14.25" customHeight="1">
      <c r="A190" s="234"/>
      <c r="B190" s="234"/>
      <c r="C190" s="234"/>
      <c r="D190" s="239" t="s">
        <v>2079</v>
      </c>
      <c r="E190" s="239" t="s">
        <v>220</v>
      </c>
      <c r="F190" s="234"/>
      <c r="G190" s="234"/>
      <c r="H190" s="234"/>
      <c r="I190" s="234"/>
      <c r="J190" s="234"/>
      <c r="K190" s="234"/>
      <c r="L190" s="234"/>
      <c r="M190" s="234"/>
      <c r="N190" s="234"/>
      <c r="O190" s="234" t="s">
        <v>1665</v>
      </c>
      <c r="P190" s="234"/>
      <c r="Q190" s="234"/>
      <c r="R190" s="234"/>
      <c r="S190" s="234"/>
      <c r="T190" s="234"/>
      <c r="U190" s="234"/>
      <c r="V190" s="234"/>
      <c r="W190" s="234" t="str">
        <f>IFERROR(__xludf.DUMMYFUNCTION("""COMPUTED_VALUE"""),"Slack")</f>
        <v>Slack</v>
      </c>
      <c r="X190" s="234">
        <f>IFERROR(__xludf.DUMMYFUNCTION("""COMPUTED_VALUE"""),"1")</f>
        <v>1</v>
      </c>
      <c r="Y190" s="234"/>
      <c r="Z190" s="234"/>
      <c r="AA190" s="234"/>
    </row>
    <row r="191" ht="14.25" customHeight="1">
      <c r="A191" s="234"/>
      <c r="B191" s="234"/>
      <c r="C191" s="234"/>
      <c r="D191" s="239" t="s">
        <v>2081</v>
      </c>
      <c r="E191" s="239" t="s">
        <v>1012</v>
      </c>
      <c r="F191" s="234"/>
      <c r="G191" s="234"/>
      <c r="H191" s="234"/>
      <c r="I191" s="234"/>
      <c r="J191" s="234"/>
      <c r="K191" s="234"/>
      <c r="L191" s="234"/>
      <c r="M191" s="234"/>
      <c r="N191" s="234"/>
      <c r="O191" s="234" t="s">
        <v>1667</v>
      </c>
      <c r="P191" s="234"/>
      <c r="Q191" s="234"/>
      <c r="R191" s="234"/>
      <c r="S191" s="234"/>
      <c r="T191" s="234"/>
      <c r="U191" s="234"/>
      <c r="V191" s="234"/>
      <c r="W191" s="234" t="str">
        <f>IFERROR(__xludf.DUMMYFUNCTION("""COMPUTED_VALUE"""),"SmartCloud for Government")</f>
        <v>SmartCloud for Government</v>
      </c>
      <c r="X191" s="234">
        <f>IFERROR(__xludf.DUMMYFUNCTION("""COMPUTED_VALUE"""),"11")</f>
        <v>11</v>
      </c>
      <c r="Y191" s="234"/>
      <c r="Z191" s="234"/>
      <c r="AA191" s="234"/>
    </row>
    <row r="192" ht="14.25" customHeight="1">
      <c r="A192" s="234"/>
      <c r="B192" s="234"/>
      <c r="C192" s="234"/>
      <c r="D192" s="240" t="s">
        <v>2082</v>
      </c>
      <c r="E192" s="240" t="s">
        <v>850</v>
      </c>
      <c r="F192" s="234"/>
      <c r="G192" s="234"/>
      <c r="H192" s="234"/>
      <c r="I192" s="234"/>
      <c r="J192" s="234"/>
      <c r="K192" s="234"/>
      <c r="L192" s="234"/>
      <c r="M192" s="234"/>
      <c r="N192" s="234"/>
      <c r="O192" s="234" t="s">
        <v>1674</v>
      </c>
      <c r="P192" s="234"/>
      <c r="Q192" s="234"/>
      <c r="R192" s="234"/>
      <c r="S192" s="234"/>
      <c r="T192" s="234"/>
      <c r="U192" s="234"/>
      <c r="V192" s="234"/>
      <c r="W192" s="234" t="str">
        <f>IFERROR(__xludf.DUMMYFUNCTION("""COMPUTED_VALUE"""),"Snowflake Data Warehouse Software as a Service")</f>
        <v>Snowflake Data Warehouse Software as a Service</v>
      </c>
      <c r="X192" s="234">
        <f>IFERROR(__xludf.DUMMYFUNCTION("""COMPUTED_VALUE"""),"1")</f>
        <v>1</v>
      </c>
      <c r="Y192" s="234"/>
      <c r="Z192" s="234"/>
      <c r="AA192" s="234"/>
    </row>
    <row r="193" ht="14.25" customHeight="1">
      <c r="A193" s="234"/>
      <c r="B193" s="234"/>
      <c r="C193" s="234"/>
      <c r="D193" s="239" t="s">
        <v>2084</v>
      </c>
      <c r="E193" s="239" t="s">
        <v>850</v>
      </c>
      <c r="F193" s="234"/>
      <c r="G193" s="234"/>
      <c r="H193" s="234"/>
      <c r="I193" s="234"/>
      <c r="J193" s="234"/>
      <c r="K193" s="234"/>
      <c r="L193" s="234"/>
      <c r="M193" s="234"/>
      <c r="N193" s="234"/>
      <c r="O193" s="234" t="s">
        <v>1681</v>
      </c>
      <c r="P193" s="234"/>
      <c r="Q193" s="234"/>
      <c r="R193" s="234"/>
      <c r="S193" s="234"/>
      <c r="T193" s="234"/>
      <c r="U193" s="234"/>
      <c r="V193" s="234"/>
      <c r="W193" s="234" t="str">
        <f>IFERROR(__xludf.DUMMYFUNCTION("""COMPUTED_VALUE"""),"Socrata Data Platform")</f>
        <v>Socrata Data Platform</v>
      </c>
      <c r="X193" s="234">
        <f>IFERROR(__xludf.DUMMYFUNCTION("""COMPUTED_VALUE"""),"3")</f>
        <v>3</v>
      </c>
      <c r="Y193" s="234"/>
      <c r="Z193" s="234"/>
      <c r="AA193" s="234"/>
    </row>
    <row r="194" ht="14.25" customHeight="1">
      <c r="A194" s="234"/>
      <c r="B194" s="234"/>
      <c r="C194" s="234"/>
      <c r="D194" s="239" t="s">
        <v>2084</v>
      </c>
      <c r="E194" s="239" t="s">
        <v>196</v>
      </c>
      <c r="F194" s="234"/>
      <c r="G194" s="234"/>
      <c r="H194" s="234"/>
      <c r="I194" s="234"/>
      <c r="J194" s="234"/>
      <c r="K194" s="234"/>
      <c r="L194" s="234"/>
      <c r="M194" s="234"/>
      <c r="N194" s="234"/>
      <c r="O194" s="234" t="s">
        <v>1684</v>
      </c>
      <c r="P194" s="234"/>
      <c r="Q194" s="234"/>
      <c r="R194" s="234"/>
      <c r="S194" s="234"/>
      <c r="T194" s="234"/>
      <c r="U194" s="234"/>
      <c r="V194" s="234"/>
      <c r="W194" s="234" t="str">
        <f>IFERROR(__xludf.DUMMYFUNCTION("""COMPUTED_VALUE"""),"Softlayer Federal Cloud (SFC)")</f>
        <v>Softlayer Federal Cloud (SFC)</v>
      </c>
      <c r="X194" s="234">
        <f>IFERROR(__xludf.DUMMYFUNCTION("""COMPUTED_VALUE"""),"9")</f>
        <v>9</v>
      </c>
      <c r="Y194" s="234"/>
      <c r="Z194" s="234"/>
      <c r="AA194" s="234"/>
    </row>
    <row r="195" ht="14.25" customHeight="1">
      <c r="A195" s="234"/>
      <c r="B195" s="234"/>
      <c r="C195" s="234"/>
      <c r="D195" s="240" t="s">
        <v>2084</v>
      </c>
      <c r="E195" s="240" t="s">
        <v>175</v>
      </c>
      <c r="F195" s="234"/>
      <c r="G195" s="234"/>
      <c r="H195" s="234"/>
      <c r="I195" s="234"/>
      <c r="J195" s="234"/>
      <c r="K195" s="234"/>
      <c r="L195" s="234"/>
      <c r="M195" s="234"/>
      <c r="N195" s="234"/>
      <c r="O195" s="234" t="s">
        <v>1687</v>
      </c>
      <c r="P195" s="234"/>
      <c r="Q195" s="234"/>
      <c r="R195" s="234"/>
      <c r="S195" s="234"/>
      <c r="T195" s="234"/>
      <c r="U195" s="234"/>
      <c r="V195" s="234"/>
      <c r="W195" s="234" t="str">
        <f>IFERROR(__xludf.DUMMYFUNCTION("""COMPUTED_VALUE"""),"Solutions as a Service (Solas) Community Cloud ")</f>
        <v>Solutions as a Service (Solas) Community Cloud </v>
      </c>
      <c r="X195" s="234">
        <f>IFERROR(__xludf.DUMMYFUNCTION("""COMPUTED_VALUE"""),"5")</f>
        <v>5</v>
      </c>
      <c r="Y195" s="234"/>
      <c r="Z195" s="234"/>
      <c r="AA195" s="234"/>
    </row>
    <row r="196" ht="14.25" customHeight="1">
      <c r="A196" s="234"/>
      <c r="B196" s="234"/>
      <c r="C196" s="234"/>
      <c r="D196" s="240" t="s">
        <v>2086</v>
      </c>
      <c r="E196" s="240" t="s">
        <v>850</v>
      </c>
      <c r="F196" s="234"/>
      <c r="G196" s="234"/>
      <c r="H196" s="234"/>
      <c r="I196" s="234"/>
      <c r="J196" s="234"/>
      <c r="K196" s="234"/>
      <c r="L196" s="234"/>
      <c r="M196" s="234"/>
      <c r="N196" s="234"/>
      <c r="O196" s="234" t="s">
        <v>1133</v>
      </c>
      <c r="P196" s="234"/>
      <c r="Q196" s="234"/>
      <c r="R196" s="234"/>
      <c r="S196" s="234"/>
      <c r="T196" s="234"/>
      <c r="U196" s="234"/>
      <c r="V196" s="234"/>
      <c r="W196" s="234" t="str">
        <f>IFERROR(__xludf.DUMMYFUNCTION("""COMPUTED_VALUE"""),"Splunk Cloud")</f>
        <v>Splunk Cloud</v>
      </c>
      <c r="X196" s="234">
        <f>IFERROR(__xludf.DUMMYFUNCTION("""COMPUTED_VALUE"""),"1")</f>
        <v>1</v>
      </c>
      <c r="Y196" s="234"/>
      <c r="Z196" s="234"/>
      <c r="AA196" s="234"/>
    </row>
    <row r="197" ht="14.25" customHeight="1">
      <c r="A197" s="234"/>
      <c r="B197" s="234"/>
      <c r="C197" s="234"/>
      <c r="D197" s="240" t="s">
        <v>2086</v>
      </c>
      <c r="E197" s="240" t="s">
        <v>327</v>
      </c>
      <c r="F197" s="234"/>
      <c r="G197" s="234"/>
      <c r="H197" s="234"/>
      <c r="I197" s="234"/>
      <c r="J197" s="234"/>
      <c r="K197" s="234"/>
      <c r="L197" s="234"/>
      <c r="M197" s="234"/>
      <c r="N197" s="234"/>
      <c r="O197" s="234" t="s">
        <v>1691</v>
      </c>
      <c r="P197" s="234"/>
      <c r="Q197" s="234"/>
      <c r="R197" s="234"/>
      <c r="S197" s="234"/>
      <c r="T197" s="234"/>
      <c r="U197" s="234"/>
      <c r="V197" s="234"/>
      <c r="W197" s="234" t="str">
        <f>IFERROR(__xludf.DUMMYFUNCTION("""COMPUTED_VALUE"""),"SpringCM")</f>
        <v>SpringCM</v>
      </c>
      <c r="X197" s="234">
        <f>IFERROR(__xludf.DUMMYFUNCTION("""COMPUTED_VALUE"""),"2")</f>
        <v>2</v>
      </c>
      <c r="Y197" s="234"/>
      <c r="Z197" s="234"/>
      <c r="AA197" s="234"/>
    </row>
    <row r="198" ht="14.25" customHeight="1">
      <c r="A198" s="234"/>
      <c r="B198" s="234"/>
      <c r="C198" s="234"/>
      <c r="D198" s="240" t="s">
        <v>2093</v>
      </c>
      <c r="E198" s="240" t="s">
        <v>220</v>
      </c>
      <c r="F198" s="234"/>
      <c r="G198" s="234"/>
      <c r="H198" s="234"/>
      <c r="I198" s="234"/>
      <c r="J198" s="234"/>
      <c r="K198" s="234"/>
      <c r="L198" s="234"/>
      <c r="M198" s="234"/>
      <c r="N198" s="234"/>
      <c r="O198" s="234" t="s">
        <v>1500</v>
      </c>
      <c r="P198" s="234"/>
      <c r="Q198" s="234"/>
      <c r="R198" s="234"/>
      <c r="S198" s="234"/>
      <c r="T198" s="234"/>
      <c r="U198" s="234"/>
      <c r="V198" s="234"/>
      <c r="W198" s="234" t="str">
        <f>IFERROR(__xludf.DUMMYFUNCTION("""COMPUTED_VALUE"""),"Storage as a Service")</f>
        <v>Storage as a Service</v>
      </c>
      <c r="X198" s="234">
        <f>IFERROR(__xludf.DUMMYFUNCTION("""COMPUTED_VALUE"""),"4")</f>
        <v>4</v>
      </c>
      <c r="Y198" s="234"/>
      <c r="Z198" s="234"/>
      <c r="AA198" s="234"/>
    </row>
    <row r="199" ht="14.25" customHeight="1">
      <c r="A199" s="234"/>
      <c r="B199" s="234"/>
      <c r="C199" s="234"/>
      <c r="D199" s="239" t="s">
        <v>2097</v>
      </c>
      <c r="E199" s="239" t="s">
        <v>220</v>
      </c>
      <c r="F199" s="234"/>
      <c r="G199" s="234"/>
      <c r="H199" s="234"/>
      <c r="I199" s="234"/>
      <c r="J199" s="234"/>
      <c r="K199" s="234"/>
      <c r="L199" s="234"/>
      <c r="M199" s="234"/>
      <c r="N199" s="234"/>
      <c r="O199" s="234" t="s">
        <v>1705</v>
      </c>
      <c r="P199" s="234"/>
      <c r="Q199" s="234"/>
      <c r="R199" s="234"/>
      <c r="S199" s="234"/>
      <c r="T199" s="234"/>
      <c r="U199" s="234"/>
      <c r="V199" s="234"/>
      <c r="W199" s="234" t="str">
        <f>IFERROR(__xludf.DUMMYFUNCTION("""COMPUTED_VALUE"""),"SumTotal Enterprise Learning Management System (ELMS)")</f>
        <v>SumTotal Enterprise Learning Management System (ELMS)</v>
      </c>
      <c r="X199" s="234">
        <f>IFERROR(__xludf.DUMMYFUNCTION("""COMPUTED_VALUE"""),"1")</f>
        <v>1</v>
      </c>
      <c r="Y199" s="234"/>
      <c r="Z199" s="234"/>
      <c r="AA199" s="234"/>
    </row>
    <row r="200" ht="14.25" customHeight="1">
      <c r="A200" s="234"/>
      <c r="B200" s="234"/>
      <c r="C200" s="234"/>
      <c r="D200" s="239" t="s">
        <v>2100</v>
      </c>
      <c r="E200" s="239" t="s">
        <v>1296</v>
      </c>
      <c r="F200" s="234"/>
      <c r="G200" s="234"/>
      <c r="H200" s="234"/>
      <c r="I200" s="234"/>
      <c r="J200" s="234"/>
      <c r="K200" s="234"/>
      <c r="L200" s="234"/>
      <c r="M200" s="234"/>
      <c r="N200" s="234"/>
      <c r="O200" s="234" t="s">
        <v>1711</v>
      </c>
      <c r="P200" s="234"/>
      <c r="Q200" s="234"/>
      <c r="R200" s="234"/>
      <c r="S200" s="234"/>
      <c r="T200" s="234"/>
      <c r="U200" s="234"/>
      <c r="V200" s="234"/>
      <c r="W200" s="234" t="str">
        <f>IFERROR(__xludf.DUMMYFUNCTION("""COMPUTED_VALUE"""),"Symantec™ Email Security Service – Government, powered by Rackspace")</f>
        <v>Symantec™ Email Security Service – Government, powered by Rackspace</v>
      </c>
      <c r="X200" s="234">
        <f>IFERROR(__xludf.DUMMYFUNCTION("""COMPUTED_VALUE"""),"1")</f>
        <v>1</v>
      </c>
      <c r="Y200" s="234"/>
      <c r="Z200" s="234"/>
      <c r="AA200" s="234"/>
    </row>
    <row r="201" ht="14.25" customHeight="1">
      <c r="A201" s="234"/>
      <c r="B201" s="234"/>
      <c r="C201" s="234"/>
      <c r="D201" s="240" t="s">
        <v>2102</v>
      </c>
      <c r="E201" s="240" t="s">
        <v>1023</v>
      </c>
      <c r="F201" s="234"/>
      <c r="G201" s="234"/>
      <c r="H201" s="234"/>
      <c r="I201" s="234"/>
      <c r="J201" s="234"/>
      <c r="K201" s="234"/>
      <c r="L201" s="234"/>
      <c r="M201" s="234"/>
      <c r="N201" s="234"/>
      <c r="O201" s="234" t="s">
        <v>1718</v>
      </c>
      <c r="P201" s="234"/>
      <c r="Q201" s="234"/>
      <c r="R201" s="234"/>
      <c r="S201" s="234"/>
      <c r="T201" s="234"/>
      <c r="U201" s="234"/>
      <c r="V201" s="234"/>
      <c r="W201" s="234" t="str">
        <f>IFERROR(__xludf.DUMMYFUNCTION("""COMPUTED_VALUE"""),"Taleo Cloud - U.S. Government Cloud")</f>
        <v>Taleo Cloud - U.S. Government Cloud</v>
      </c>
      <c r="X201" s="234">
        <f>IFERROR(__xludf.DUMMYFUNCTION("""COMPUTED_VALUE"""),"1")</f>
        <v>1</v>
      </c>
      <c r="Y201" s="234"/>
      <c r="Z201" s="234"/>
      <c r="AA201" s="234"/>
    </row>
    <row r="202" ht="14.25" customHeight="1">
      <c r="A202" s="234"/>
      <c r="B202" s="234"/>
      <c r="C202" s="234"/>
      <c r="D202" s="239" t="s">
        <v>2103</v>
      </c>
      <c r="E202" s="239" t="s">
        <v>989</v>
      </c>
      <c r="F202" s="234"/>
      <c r="G202" s="234"/>
      <c r="H202" s="234"/>
      <c r="I202" s="234"/>
      <c r="J202" s="234"/>
      <c r="K202" s="234"/>
      <c r="L202" s="234"/>
      <c r="M202" s="234"/>
      <c r="N202" s="234"/>
      <c r="O202" s="234" t="s">
        <v>1347</v>
      </c>
      <c r="P202" s="234"/>
      <c r="Q202" s="234"/>
      <c r="R202" s="234"/>
      <c r="S202" s="234"/>
      <c r="T202" s="234"/>
      <c r="U202" s="234"/>
      <c r="V202" s="234"/>
      <c r="W202" s="234" t="str">
        <f>IFERROR(__xludf.DUMMYFUNCTION("""COMPUTED_VALUE"""),"Teletrac Navman DIRECTOR")</f>
        <v>Teletrac Navman DIRECTOR</v>
      </c>
      <c r="X202" s="234">
        <f>IFERROR(__xludf.DUMMYFUNCTION("""COMPUTED_VALUE"""),"1")</f>
        <v>1</v>
      </c>
      <c r="Y202" s="234"/>
      <c r="Z202" s="234"/>
      <c r="AA202" s="234"/>
    </row>
    <row r="203" ht="14.25" customHeight="1">
      <c r="A203" s="234"/>
      <c r="B203" s="234"/>
      <c r="C203" s="234"/>
      <c r="D203" s="239" t="s">
        <v>2105</v>
      </c>
      <c r="E203" s="239" t="s">
        <v>1195</v>
      </c>
      <c r="F203" s="234"/>
      <c r="G203" s="234"/>
      <c r="H203" s="234"/>
      <c r="I203" s="234"/>
      <c r="J203" s="234"/>
      <c r="K203" s="234"/>
      <c r="L203" s="234"/>
      <c r="M203" s="234"/>
      <c r="N203" s="234"/>
      <c r="O203" s="234" t="s">
        <v>1731</v>
      </c>
      <c r="P203" s="234"/>
      <c r="Q203" s="234"/>
      <c r="R203" s="234"/>
      <c r="S203" s="234"/>
      <c r="T203" s="234"/>
      <c r="U203" s="234"/>
      <c r="V203" s="234"/>
      <c r="W203" s="234" t="str">
        <f>IFERROR(__xludf.DUMMYFUNCTION("""COMPUTED_VALUE"""),"The Apptio Technology Business Management (TBM)")</f>
        <v>The Apptio Technology Business Management (TBM)</v>
      </c>
      <c r="X203" s="234">
        <f>IFERROR(__xludf.DUMMYFUNCTION("""COMPUTED_VALUE"""),"2")</f>
        <v>2</v>
      </c>
      <c r="Y203" s="234"/>
      <c r="Z203" s="234"/>
      <c r="AA203" s="234"/>
    </row>
    <row r="204" ht="14.25" customHeight="1">
      <c r="A204" s="234"/>
      <c r="B204" s="234"/>
      <c r="C204" s="234"/>
      <c r="D204" s="239" t="s">
        <v>2106</v>
      </c>
      <c r="E204" s="239" t="s">
        <v>142</v>
      </c>
      <c r="F204" s="234"/>
      <c r="G204" s="234"/>
      <c r="H204" s="234"/>
      <c r="I204" s="234"/>
      <c r="J204" s="234"/>
      <c r="K204" s="234"/>
      <c r="L204" s="234"/>
      <c r="M204" s="234"/>
      <c r="N204" s="234"/>
      <c r="O204" s="234" t="s">
        <v>1737</v>
      </c>
      <c r="P204" s="234"/>
      <c r="Q204" s="234"/>
      <c r="R204" s="234"/>
      <c r="S204" s="234"/>
      <c r="T204" s="234"/>
      <c r="U204" s="234"/>
      <c r="V204" s="234"/>
      <c r="W204" s="234" t="str">
        <f>IFERROR(__xludf.DUMMYFUNCTION("""COMPUTED_VALUE"""),"The Archiving Platform")</f>
        <v>The Archiving Platform</v>
      </c>
      <c r="X204" s="234">
        <f>IFERROR(__xludf.DUMMYFUNCTION("""COMPUTED_VALUE"""),"1")</f>
        <v>1</v>
      </c>
      <c r="Y204" s="234"/>
      <c r="Z204" s="234"/>
      <c r="AA204" s="234"/>
    </row>
    <row r="205" ht="14.25" customHeight="1">
      <c r="A205" s="234"/>
      <c r="B205" s="234"/>
      <c r="C205" s="234"/>
      <c r="D205" s="240" t="s">
        <v>2111</v>
      </c>
      <c r="E205" s="240" t="s">
        <v>1510</v>
      </c>
      <c r="F205" s="234"/>
      <c r="G205" s="234"/>
      <c r="H205" s="234"/>
      <c r="I205" s="234"/>
      <c r="J205" s="234"/>
      <c r="K205" s="234"/>
      <c r="L205" s="234"/>
      <c r="M205" s="234"/>
      <c r="N205" s="234"/>
      <c r="O205" s="234" t="s">
        <v>1740</v>
      </c>
      <c r="P205" s="234"/>
      <c r="Q205" s="234"/>
      <c r="R205" s="234"/>
      <c r="S205" s="234"/>
      <c r="T205" s="234"/>
      <c r="U205" s="234"/>
      <c r="V205" s="234"/>
      <c r="W205" s="234" t="str">
        <f>IFERROR(__xludf.DUMMYFUNCTION("""COMPUTED_VALUE"""),"Tibbr")</f>
        <v>Tibbr</v>
      </c>
      <c r="X205" s="234">
        <f>IFERROR(__xludf.DUMMYFUNCTION("""COMPUTED_VALUE"""),"1")</f>
        <v>1</v>
      </c>
      <c r="Y205" s="234"/>
      <c r="Z205" s="234"/>
      <c r="AA205" s="234"/>
    </row>
    <row r="206" ht="14.25" customHeight="1">
      <c r="A206" s="234"/>
      <c r="B206" s="234"/>
      <c r="C206" s="234"/>
      <c r="D206" s="239" t="s">
        <v>2117</v>
      </c>
      <c r="E206" s="239" t="s">
        <v>1452</v>
      </c>
      <c r="F206" s="234"/>
      <c r="G206" s="234"/>
      <c r="H206" s="234"/>
      <c r="I206" s="234"/>
      <c r="J206" s="234"/>
      <c r="K206" s="234"/>
      <c r="L206" s="234"/>
      <c r="M206" s="234"/>
      <c r="N206" s="234"/>
      <c r="O206" s="234" t="s">
        <v>1744</v>
      </c>
      <c r="P206" s="234"/>
      <c r="Q206" s="234"/>
      <c r="R206" s="234"/>
      <c r="S206" s="234"/>
      <c r="T206" s="234"/>
      <c r="U206" s="234"/>
      <c r="V206" s="234"/>
      <c r="W206" s="234" t="str">
        <f>IFERROR(__xludf.DUMMYFUNCTION("""COMPUTED_VALUE"""),"TRAPWIRE Threat Detection and Analysis System")</f>
        <v>TRAPWIRE Threat Detection and Analysis System</v>
      </c>
      <c r="X206" s="234">
        <f>IFERROR(__xludf.DUMMYFUNCTION("""COMPUTED_VALUE"""),"1")</f>
        <v>1</v>
      </c>
      <c r="Y206" s="234"/>
      <c r="Z206" s="234"/>
      <c r="AA206" s="234"/>
    </row>
    <row r="207" ht="14.25" customHeight="1">
      <c r="A207" s="234"/>
      <c r="B207" s="234"/>
      <c r="C207" s="234"/>
      <c r="D207" s="240" t="s">
        <v>2119</v>
      </c>
      <c r="E207" s="240" t="s">
        <v>1452</v>
      </c>
      <c r="F207" s="234"/>
      <c r="G207" s="234"/>
      <c r="H207" s="234"/>
      <c r="I207" s="234"/>
      <c r="J207" s="234"/>
      <c r="K207" s="234"/>
      <c r="L207" s="234"/>
      <c r="M207" s="234"/>
      <c r="N207" s="234"/>
      <c r="O207" s="234" t="s">
        <v>972</v>
      </c>
      <c r="P207" s="234"/>
      <c r="Q207" s="234"/>
      <c r="R207" s="234"/>
      <c r="S207" s="234"/>
      <c r="T207" s="234"/>
      <c r="U207" s="234"/>
      <c r="V207" s="234"/>
      <c r="W207" s="234" t="str">
        <f>IFERROR(__xludf.DUMMYFUNCTION("""COMPUTED_VALUE"""),"Trust &amp; Wealth Management Solutions")</f>
        <v>Trust &amp; Wealth Management Solutions</v>
      </c>
      <c r="X207" s="234">
        <f>IFERROR(__xludf.DUMMYFUNCTION("""COMPUTED_VALUE"""),"1")</f>
        <v>1</v>
      </c>
      <c r="Y207" s="234"/>
      <c r="Z207" s="234"/>
      <c r="AA207" s="234"/>
    </row>
    <row r="208" ht="14.25" customHeight="1">
      <c r="A208" s="234"/>
      <c r="B208" s="234"/>
      <c r="C208" s="234"/>
      <c r="D208" s="240" t="s">
        <v>2125</v>
      </c>
      <c r="E208" s="240" t="s">
        <v>1195</v>
      </c>
      <c r="F208" s="234"/>
      <c r="G208" s="234"/>
      <c r="H208" s="234"/>
      <c r="I208" s="234"/>
      <c r="J208" s="234"/>
      <c r="K208" s="234"/>
      <c r="L208" s="234"/>
      <c r="M208" s="234"/>
      <c r="N208" s="234"/>
      <c r="O208" s="234" t="s">
        <v>1574</v>
      </c>
      <c r="P208" s="234"/>
      <c r="Q208" s="234"/>
      <c r="R208" s="234"/>
      <c r="S208" s="234"/>
      <c r="T208" s="234"/>
      <c r="U208" s="234"/>
      <c r="V208" s="234"/>
      <c r="W208" s="234" t="str">
        <f>IFERROR(__xludf.DUMMYFUNCTION("""COMPUTED_VALUE"""),"Unclassified Remote Hosted Desktops (URHD) ")</f>
        <v>Unclassified Remote Hosted Desktops (URHD) </v>
      </c>
      <c r="X208" s="234">
        <f>IFERROR(__xludf.DUMMYFUNCTION("""COMPUTED_VALUE"""),"2")</f>
        <v>2</v>
      </c>
      <c r="Y208" s="234"/>
      <c r="Z208" s="234"/>
      <c r="AA208" s="234"/>
    </row>
    <row r="209" ht="14.25" customHeight="1">
      <c r="A209" s="234"/>
      <c r="B209" s="234"/>
      <c r="C209" s="234"/>
      <c r="D209" s="239" t="s">
        <v>2126</v>
      </c>
      <c r="E209" s="239" t="s">
        <v>327</v>
      </c>
      <c r="F209" s="234"/>
      <c r="G209" s="234"/>
      <c r="H209" s="234"/>
      <c r="I209" s="234"/>
      <c r="J209" s="234"/>
      <c r="K209" s="234"/>
      <c r="L209" s="234"/>
      <c r="M209" s="234"/>
      <c r="N209" s="234"/>
      <c r="O209" s="234" t="s">
        <v>1751</v>
      </c>
      <c r="P209" s="234"/>
      <c r="Q209" s="234"/>
      <c r="R209" s="234"/>
      <c r="S209" s="234"/>
      <c r="T209" s="234"/>
      <c r="U209" s="234"/>
      <c r="V209" s="234"/>
      <c r="W209" s="234" t="str">
        <f>IFERROR(__xludf.DUMMYFUNCTION("""COMPUTED_VALUE"""),"Unified Talent Management Suite (CUTMS)")</f>
        <v>Unified Talent Management Suite (CUTMS)</v>
      </c>
      <c r="X209" s="234">
        <f>IFERROR(__xludf.DUMMYFUNCTION("""COMPUTED_VALUE"""),"9")</f>
        <v>9</v>
      </c>
      <c r="Y209" s="234"/>
      <c r="Z209" s="234"/>
      <c r="AA209" s="234"/>
    </row>
    <row r="210" ht="14.25" customHeight="1">
      <c r="A210" s="234"/>
      <c r="B210" s="234"/>
      <c r="C210" s="234"/>
      <c r="D210" s="240" t="s">
        <v>2129</v>
      </c>
      <c r="E210" s="240" t="s">
        <v>1012</v>
      </c>
      <c r="F210" s="234"/>
      <c r="G210" s="234"/>
      <c r="H210" s="234"/>
      <c r="I210" s="234"/>
      <c r="J210" s="234"/>
      <c r="K210" s="234"/>
      <c r="L210" s="234"/>
      <c r="M210" s="234"/>
      <c r="N210" s="234"/>
      <c r="O210" s="234" t="s">
        <v>1754</v>
      </c>
      <c r="P210" s="234"/>
      <c r="Q210" s="234"/>
      <c r="R210" s="234"/>
      <c r="S210" s="234"/>
      <c r="T210" s="234"/>
      <c r="U210" s="234"/>
      <c r="V210" s="234"/>
      <c r="W210" s="234" t="str">
        <f>IFERROR(__xludf.DUMMYFUNCTION("""COMPUTED_VALUE"""),"USDA National Finance Center")</f>
        <v>USDA National Finance Center</v>
      </c>
      <c r="X210" s="234">
        <f>IFERROR(__xludf.DUMMYFUNCTION("""COMPUTED_VALUE"""),"1")</f>
        <v>1</v>
      </c>
      <c r="Y210" s="234"/>
      <c r="Z210" s="234"/>
      <c r="AA210" s="234"/>
    </row>
    <row r="211" ht="14.25" customHeight="1">
      <c r="A211" s="234"/>
      <c r="B211" s="234"/>
      <c r="C211" s="234"/>
      <c r="D211" s="240" t="s">
        <v>2132</v>
      </c>
      <c r="E211" s="240" t="s">
        <v>989</v>
      </c>
      <c r="F211" s="234"/>
      <c r="G211" s="234"/>
      <c r="H211" s="234"/>
      <c r="I211" s="234"/>
      <c r="J211" s="234"/>
      <c r="K211" s="234"/>
      <c r="L211" s="234"/>
      <c r="M211" s="234"/>
      <c r="N211" s="234"/>
      <c r="O211" s="234" t="s">
        <v>1757</v>
      </c>
      <c r="P211" s="234"/>
      <c r="Q211" s="234"/>
      <c r="R211" s="234"/>
      <c r="S211" s="234"/>
      <c r="T211" s="234"/>
      <c r="U211" s="234"/>
      <c r="V211" s="234"/>
      <c r="W211" s="234" t="str">
        <f>IFERROR(__xludf.DUMMYFUNCTION("""COMPUTED_VALUE"""),"USDA National Information Technology Center")</f>
        <v>USDA National Information Technology Center</v>
      </c>
      <c r="X211" s="234">
        <f>IFERROR(__xludf.DUMMYFUNCTION("""COMPUTED_VALUE"""),"7")</f>
        <v>7</v>
      </c>
      <c r="Y211" s="234"/>
      <c r="Z211" s="234"/>
      <c r="AA211" s="234"/>
    </row>
    <row r="212" ht="14.25" customHeight="1">
      <c r="A212" s="234"/>
      <c r="B212" s="234"/>
      <c r="C212" s="234"/>
      <c r="D212" s="240" t="s">
        <v>2135</v>
      </c>
      <c r="E212" s="240" t="s">
        <v>1296</v>
      </c>
      <c r="F212" s="234"/>
      <c r="G212" s="234"/>
      <c r="H212" s="234"/>
      <c r="I212" s="234"/>
      <c r="J212" s="234"/>
      <c r="K212" s="234"/>
      <c r="L212" s="234"/>
      <c r="M212" s="234"/>
      <c r="N212" s="234"/>
      <c r="O212" s="234" t="s">
        <v>1760</v>
      </c>
      <c r="P212" s="234"/>
      <c r="Q212" s="234"/>
      <c r="R212" s="234"/>
      <c r="S212" s="234"/>
      <c r="T212" s="234"/>
      <c r="U212" s="234"/>
      <c r="V212" s="234"/>
      <c r="W212" s="234" t="str">
        <f>IFERROR(__xludf.DUMMYFUNCTION("""COMPUTED_VALUE"""),"Valimail Enforce Platform")</f>
        <v>Valimail Enforce Platform</v>
      </c>
      <c r="X212" s="234">
        <f>IFERROR(__xludf.DUMMYFUNCTION("""COMPUTED_VALUE"""),"1")</f>
        <v>1</v>
      </c>
      <c r="Y212" s="234"/>
      <c r="Z212" s="234"/>
      <c r="AA212" s="234"/>
    </row>
    <row r="213" ht="14.25" customHeight="1">
      <c r="A213" s="234"/>
      <c r="B213" s="234"/>
      <c r="C213" s="234"/>
      <c r="D213" s="240" t="s">
        <v>2138</v>
      </c>
      <c r="E213" s="240" t="s">
        <v>142</v>
      </c>
      <c r="F213" s="234"/>
      <c r="G213" s="234"/>
      <c r="H213" s="234"/>
      <c r="I213" s="234"/>
      <c r="J213" s="234"/>
      <c r="K213" s="234"/>
      <c r="L213" s="234"/>
      <c r="M213" s="234"/>
      <c r="N213" s="234"/>
      <c r="O213" s="234" t="s">
        <v>1763</v>
      </c>
      <c r="P213" s="234"/>
      <c r="Q213" s="234"/>
      <c r="R213" s="234"/>
      <c r="S213" s="234"/>
      <c r="T213" s="234"/>
      <c r="U213" s="234"/>
      <c r="V213" s="234"/>
      <c r="W213" s="234" t="str">
        <f>IFERROR(__xludf.DUMMYFUNCTION("""COMPUTED_VALUE"""),"VBrick Rev")</f>
        <v>VBrick Rev</v>
      </c>
      <c r="X213" s="234">
        <f>IFERROR(__xludf.DUMMYFUNCTION("""COMPUTED_VALUE"""),"1")</f>
        <v>1</v>
      </c>
      <c r="Y213" s="234"/>
      <c r="Z213" s="234"/>
      <c r="AA213" s="234"/>
    </row>
    <row r="214" ht="14.25" customHeight="1">
      <c r="A214" s="234"/>
      <c r="B214" s="234"/>
      <c r="C214" s="234"/>
      <c r="D214" s="240" t="s">
        <v>2139</v>
      </c>
      <c r="E214" s="240" t="s">
        <v>196</v>
      </c>
      <c r="F214" s="234"/>
      <c r="G214" s="234"/>
      <c r="H214" s="234"/>
      <c r="I214" s="234"/>
      <c r="J214" s="234"/>
      <c r="K214" s="234"/>
      <c r="L214" s="234"/>
      <c r="M214" s="234"/>
      <c r="N214" s="234"/>
      <c r="O214" s="234" t="s">
        <v>1767</v>
      </c>
      <c r="P214" s="234"/>
      <c r="Q214" s="234"/>
      <c r="R214" s="234"/>
      <c r="S214" s="234"/>
      <c r="T214" s="234"/>
      <c r="U214" s="234"/>
      <c r="V214" s="234"/>
      <c r="W214" s="234" t="str">
        <f>IFERROR(__xludf.DUMMYFUNCTION("""COMPUTED_VALUE"""),"Veracode Application Security Services System")</f>
        <v>Veracode Application Security Services System</v>
      </c>
      <c r="X214" s="234">
        <f>IFERROR(__xludf.DUMMYFUNCTION("""COMPUTED_VALUE"""),"1")</f>
        <v>1</v>
      </c>
      <c r="Y214" s="234"/>
      <c r="Z214" s="234"/>
      <c r="AA214" s="234"/>
    </row>
    <row r="215" ht="14.25" customHeight="1">
      <c r="A215" s="234"/>
      <c r="B215" s="234"/>
      <c r="C215" s="234"/>
      <c r="D215" s="239" t="s">
        <v>2141</v>
      </c>
      <c r="E215" s="239" t="s">
        <v>1012</v>
      </c>
      <c r="F215" s="234"/>
      <c r="G215" s="234"/>
      <c r="H215" s="234"/>
      <c r="I215" s="234"/>
      <c r="J215" s="234"/>
      <c r="K215" s="234"/>
      <c r="L215" s="234"/>
      <c r="M215" s="234"/>
      <c r="N215" s="234"/>
      <c r="O215" s="234" t="s">
        <v>1771</v>
      </c>
      <c r="P215" s="234"/>
      <c r="Q215" s="234"/>
      <c r="R215" s="234"/>
      <c r="S215" s="234"/>
      <c r="T215" s="234"/>
      <c r="U215" s="234"/>
      <c r="V215" s="234"/>
      <c r="W215" s="234" t="str">
        <f>IFERROR(__xludf.DUMMYFUNCTION("""COMPUTED_VALUE"""),"Virtru Data Protection Platform")</f>
        <v>Virtru Data Protection Platform</v>
      </c>
      <c r="X215" s="234">
        <f>IFERROR(__xludf.DUMMYFUNCTION("""COMPUTED_VALUE"""),"1")</f>
        <v>1</v>
      </c>
      <c r="Y215" s="234"/>
      <c r="Z215" s="234"/>
      <c r="AA215" s="234"/>
    </row>
    <row r="216" ht="14.25" customHeight="1">
      <c r="A216" s="234"/>
      <c r="B216" s="234"/>
      <c r="C216" s="234"/>
      <c r="D216" s="240" t="s">
        <v>2143</v>
      </c>
      <c r="E216" s="240" t="s">
        <v>969</v>
      </c>
      <c r="F216" s="234"/>
      <c r="G216" s="234"/>
      <c r="H216" s="234"/>
      <c r="I216" s="234"/>
      <c r="J216" s="234"/>
      <c r="K216" s="234"/>
      <c r="L216" s="234"/>
      <c r="M216" s="234"/>
      <c r="N216" s="234"/>
      <c r="O216" s="234" t="s">
        <v>1776</v>
      </c>
      <c r="P216" s="234"/>
      <c r="Q216" s="234"/>
      <c r="R216" s="234"/>
      <c r="S216" s="234"/>
      <c r="T216" s="234"/>
      <c r="U216" s="234"/>
      <c r="V216" s="234"/>
      <c r="W216" s="234" t="str">
        <f>IFERROR(__xludf.DUMMYFUNCTION("""COMPUTED_VALUE"""),"Waggl Pulse")</f>
        <v>Waggl Pulse</v>
      </c>
      <c r="X216" s="234">
        <f>IFERROR(__xludf.DUMMYFUNCTION("""COMPUTED_VALUE"""),"1")</f>
        <v>1</v>
      </c>
      <c r="Y216" s="234"/>
      <c r="Z216" s="234"/>
      <c r="AA216" s="234"/>
    </row>
    <row r="217" ht="14.25" customHeight="1">
      <c r="A217" s="234"/>
      <c r="B217" s="234"/>
      <c r="C217" s="234"/>
      <c r="D217" s="239" t="s">
        <v>2144</v>
      </c>
      <c r="E217" s="239" t="s">
        <v>402</v>
      </c>
      <c r="F217" s="234"/>
      <c r="G217" s="234"/>
      <c r="H217" s="234"/>
      <c r="I217" s="234"/>
      <c r="J217" s="234"/>
      <c r="K217" s="234"/>
      <c r="L217" s="234"/>
      <c r="M217" s="234"/>
      <c r="N217" s="234"/>
      <c r="O217" s="234" t="s">
        <v>1780</v>
      </c>
      <c r="P217" s="234"/>
      <c r="Q217" s="234"/>
      <c r="R217" s="234"/>
      <c r="S217" s="234"/>
      <c r="T217" s="234"/>
      <c r="U217" s="234"/>
      <c r="V217" s="234"/>
      <c r="W217" s="234" t="str">
        <f>IFERROR(__xludf.DUMMYFUNCTION("""COMPUTED_VALUE"""),"Wdesk")</f>
        <v>Wdesk</v>
      </c>
      <c r="X217" s="234">
        <f>IFERROR(__xludf.DUMMYFUNCTION("""COMPUTED_VALUE"""),"1")</f>
        <v>1</v>
      </c>
      <c r="Y217" s="234"/>
      <c r="Z217" s="234"/>
      <c r="AA217" s="234"/>
    </row>
    <row r="218" ht="14.25" customHeight="1">
      <c r="A218" s="234"/>
      <c r="B218" s="234"/>
      <c r="C218" s="234"/>
      <c r="D218" s="240" t="s">
        <v>2145</v>
      </c>
      <c r="E218" s="240" t="s">
        <v>327</v>
      </c>
      <c r="F218" s="234"/>
      <c r="G218" s="234"/>
      <c r="H218" s="234"/>
      <c r="I218" s="234"/>
      <c r="J218" s="234"/>
      <c r="K218" s="234"/>
      <c r="L218" s="234"/>
      <c r="M218" s="234"/>
      <c r="N218" s="234"/>
      <c r="O218" s="234" t="s">
        <v>1783</v>
      </c>
      <c r="P218" s="234"/>
      <c r="Q218" s="234"/>
      <c r="R218" s="234"/>
      <c r="S218" s="234"/>
      <c r="T218" s="234"/>
      <c r="U218" s="234"/>
      <c r="V218" s="234"/>
      <c r="W218" s="234" t="str">
        <f>IFERROR(__xludf.DUMMYFUNCTION("""COMPUTED_VALUE"""),"Web Development and Hosting")</f>
        <v>Web Development and Hosting</v>
      </c>
      <c r="X218" s="234">
        <f>IFERROR(__xludf.DUMMYFUNCTION("""COMPUTED_VALUE"""),"1")</f>
        <v>1</v>
      </c>
      <c r="Y218" s="234"/>
      <c r="Z218" s="234"/>
      <c r="AA218" s="234"/>
    </row>
    <row r="219" ht="14.25" customHeight="1">
      <c r="A219" s="234"/>
      <c r="B219" s="234"/>
      <c r="C219" s="234"/>
      <c r="D219" s="239" t="s">
        <v>2147</v>
      </c>
      <c r="E219" s="239" t="s">
        <v>142</v>
      </c>
      <c r="F219" s="234"/>
      <c r="G219" s="234"/>
      <c r="H219" s="234"/>
      <c r="I219" s="234"/>
      <c r="J219" s="234"/>
      <c r="K219" s="234"/>
      <c r="L219" s="234"/>
      <c r="M219" s="234"/>
      <c r="N219" s="234"/>
      <c r="O219" s="234" t="s">
        <v>1786</v>
      </c>
      <c r="P219" s="234"/>
      <c r="Q219" s="234"/>
      <c r="R219" s="234"/>
      <c r="S219" s="234"/>
      <c r="T219" s="234"/>
      <c r="U219" s="234"/>
      <c r="V219" s="234"/>
      <c r="W219" s="234" t="str">
        <f>IFERROR(__xludf.DUMMYFUNCTION("""COMPUTED_VALUE"""),"Workplace.gov Community Cloud (WC2)")</f>
        <v>Workplace.gov Community Cloud (WC2)</v>
      </c>
      <c r="X219" s="234">
        <f>IFERROR(__xludf.DUMMYFUNCTION("""COMPUTED_VALUE"""),"2")</f>
        <v>2</v>
      </c>
      <c r="Y219" s="234"/>
      <c r="Z219" s="234"/>
      <c r="AA219" s="234"/>
    </row>
    <row r="220" ht="14.25" customHeight="1">
      <c r="A220" s="234"/>
      <c r="B220" s="234"/>
      <c r="C220" s="234"/>
      <c r="D220" s="239" t="s">
        <v>2148</v>
      </c>
      <c r="E220" s="239" t="s">
        <v>1492</v>
      </c>
      <c r="F220" s="234"/>
      <c r="G220" s="234"/>
      <c r="H220" s="234"/>
      <c r="I220" s="234"/>
      <c r="J220" s="234"/>
      <c r="K220" s="234"/>
      <c r="L220" s="234"/>
      <c r="M220" s="234"/>
      <c r="N220" s="234"/>
      <c r="O220" s="234" t="s">
        <v>1790</v>
      </c>
      <c r="P220" s="234"/>
      <c r="Q220" s="234"/>
      <c r="R220" s="234"/>
      <c r="S220" s="234"/>
      <c r="T220" s="234"/>
      <c r="U220" s="234"/>
      <c r="V220" s="234"/>
      <c r="W220" s="234" t="str">
        <f>IFERROR(__xludf.DUMMYFUNCTION("""COMPUTED_VALUE"""),"Workplace.gov Community Cloud (WC2) ")</f>
        <v>Workplace.gov Community Cloud (WC2) </v>
      </c>
      <c r="X220" s="234">
        <f>IFERROR(__xludf.DUMMYFUNCTION("""COMPUTED_VALUE"""),"3")</f>
        <v>3</v>
      </c>
      <c r="Y220" s="234"/>
      <c r="Z220" s="234"/>
      <c r="AA220" s="234"/>
    </row>
    <row r="221" ht="14.25" customHeight="1">
      <c r="A221" s="234"/>
      <c r="B221" s="234"/>
      <c r="C221" s="234"/>
      <c r="D221" s="240" t="s">
        <v>2150</v>
      </c>
      <c r="E221" s="240" t="s">
        <v>142</v>
      </c>
      <c r="F221" s="234"/>
      <c r="G221" s="234"/>
      <c r="H221" s="234"/>
      <c r="I221" s="234"/>
      <c r="J221" s="234"/>
      <c r="K221" s="234"/>
      <c r="L221" s="234"/>
      <c r="M221" s="234"/>
      <c r="N221" s="234"/>
      <c r="O221" s="234" t="s">
        <v>1794</v>
      </c>
      <c r="P221" s="234"/>
      <c r="Q221" s="234"/>
      <c r="R221" s="234"/>
      <c r="S221" s="234"/>
      <c r="T221" s="234"/>
      <c r="U221" s="234"/>
      <c r="V221" s="234"/>
      <c r="W221" s="234" t="str">
        <f>IFERROR(__xludf.DUMMYFUNCTION("""COMPUTED_VALUE"""),"Workplace.gov Community Cloud High (WC2-H)")</f>
        <v>Workplace.gov Community Cloud High (WC2-H)</v>
      </c>
      <c r="X221" s="234">
        <f>IFERROR(__xludf.DUMMYFUNCTION("""COMPUTED_VALUE"""),"1")</f>
        <v>1</v>
      </c>
      <c r="Y221" s="234"/>
      <c r="Z221" s="234"/>
      <c r="AA221" s="234"/>
    </row>
    <row r="222" ht="14.25" customHeight="1">
      <c r="A222" s="234"/>
      <c r="B222" s="234"/>
      <c r="C222" s="234"/>
      <c r="D222" s="239" t="s">
        <v>2152</v>
      </c>
      <c r="E222" s="239" t="s">
        <v>850</v>
      </c>
      <c r="F222" s="234"/>
      <c r="G222" s="234"/>
      <c r="H222" s="234"/>
      <c r="I222" s="234"/>
      <c r="J222" s="234"/>
      <c r="K222" s="234"/>
      <c r="L222" s="234"/>
      <c r="M222" s="234"/>
      <c r="N222" s="234"/>
      <c r="O222" s="234" t="s">
        <v>1802</v>
      </c>
      <c r="P222" s="234"/>
      <c r="Q222" s="234"/>
      <c r="R222" s="234"/>
      <c r="S222" s="234"/>
      <c r="T222" s="234"/>
      <c r="U222" s="234"/>
      <c r="V222" s="234"/>
      <c r="W222" s="234" t="str">
        <f>IFERROR(__xludf.DUMMYFUNCTION("""COMPUTED_VALUE"""),"Zendesk")</f>
        <v>Zendesk</v>
      </c>
      <c r="X222" s="234">
        <f>IFERROR(__xludf.DUMMYFUNCTION("""COMPUTED_VALUE"""),"1")</f>
        <v>1</v>
      </c>
      <c r="Y222" s="234"/>
      <c r="Z222" s="234"/>
      <c r="AA222" s="234"/>
    </row>
    <row r="223" ht="14.25" customHeight="1">
      <c r="A223" s="234"/>
      <c r="B223" s="234"/>
      <c r="C223" s="234"/>
      <c r="D223" s="240" t="s">
        <v>2154</v>
      </c>
      <c r="E223" s="240" t="s">
        <v>850</v>
      </c>
      <c r="F223" s="234"/>
      <c r="G223" s="234"/>
      <c r="H223" s="234"/>
      <c r="I223" s="234"/>
      <c r="J223" s="234"/>
      <c r="K223" s="234"/>
      <c r="L223" s="234"/>
      <c r="M223" s="234"/>
      <c r="N223" s="234"/>
      <c r="O223" s="234" t="s">
        <v>1808</v>
      </c>
      <c r="P223" s="234"/>
      <c r="Q223" s="234"/>
      <c r="R223" s="234"/>
      <c r="S223" s="234"/>
      <c r="T223" s="234"/>
      <c r="U223" s="234"/>
      <c r="V223" s="234"/>
      <c r="W223" s="234" t="str">
        <f>IFERROR(__xludf.DUMMYFUNCTION("""COMPUTED_VALUE"""),"Zimperium Federal Cloud")</f>
        <v>Zimperium Federal Cloud</v>
      </c>
      <c r="X223" s="234">
        <f>IFERROR(__xludf.DUMMYFUNCTION("""COMPUTED_VALUE"""),"1")</f>
        <v>1</v>
      </c>
      <c r="Y223" s="234"/>
      <c r="Z223" s="234"/>
      <c r="AA223" s="234"/>
    </row>
    <row r="224" ht="14.25" customHeight="1">
      <c r="A224" s="234"/>
      <c r="B224" s="234"/>
      <c r="C224" s="234"/>
      <c r="D224" s="239" t="s">
        <v>2155</v>
      </c>
      <c r="E224" s="239" t="s">
        <v>850</v>
      </c>
      <c r="F224" s="234"/>
      <c r="G224" s="234"/>
      <c r="H224" s="234"/>
      <c r="I224" s="234"/>
      <c r="J224" s="234"/>
      <c r="K224" s="234"/>
      <c r="L224" s="234"/>
      <c r="M224" s="234"/>
      <c r="N224" s="234"/>
      <c r="O224" s="234" t="s">
        <v>1812</v>
      </c>
      <c r="P224" s="234"/>
      <c r="Q224" s="234"/>
      <c r="R224" s="234"/>
      <c r="S224" s="234"/>
      <c r="T224" s="234"/>
      <c r="U224" s="234"/>
      <c r="V224" s="234"/>
      <c r="W224" s="234" t="str">
        <f>IFERROR(__xludf.DUMMYFUNCTION("""COMPUTED_VALUE"""),"Zoom for Government")</f>
        <v>Zoom for Government</v>
      </c>
      <c r="X224" s="234">
        <f>IFERROR(__xludf.DUMMYFUNCTION("""COMPUTED_VALUE"""),"1")</f>
        <v>1</v>
      </c>
      <c r="Y224" s="234"/>
      <c r="Z224" s="234"/>
      <c r="AA224" s="234"/>
    </row>
    <row r="225" ht="14.25" customHeight="1">
      <c r="A225" s="234"/>
      <c r="B225" s="234"/>
      <c r="C225" s="234"/>
      <c r="D225" s="240" t="s">
        <v>2161</v>
      </c>
      <c r="E225" s="240" t="s">
        <v>850</v>
      </c>
      <c r="F225" s="234"/>
      <c r="G225" s="234"/>
      <c r="H225" s="234"/>
      <c r="I225" s="234"/>
      <c r="J225" s="234"/>
      <c r="K225" s="234"/>
      <c r="L225" s="234"/>
      <c r="M225" s="234"/>
      <c r="N225" s="234"/>
      <c r="O225" s="234" t="s">
        <v>1815</v>
      </c>
      <c r="P225" s="234"/>
      <c r="Q225" s="234"/>
      <c r="R225" s="234"/>
      <c r="S225" s="234"/>
      <c r="T225" s="234"/>
      <c r="U225" s="234"/>
      <c r="V225" s="234"/>
      <c r="W225" s="234" t="str">
        <f>IFERROR(__xludf.DUMMYFUNCTION("""COMPUTED_VALUE"""),"Zscaler Internet Access - Government")</f>
        <v>Zscaler Internet Access - Government</v>
      </c>
      <c r="X225" s="234">
        <f>IFERROR(__xludf.DUMMYFUNCTION("""COMPUTED_VALUE"""),"1")</f>
        <v>1</v>
      </c>
      <c r="Y225" s="234"/>
      <c r="Z225" s="234"/>
      <c r="AA225" s="234"/>
    </row>
    <row r="226" ht="14.25" customHeight="1">
      <c r="A226" s="234"/>
      <c r="B226" s="234"/>
      <c r="C226" s="234"/>
      <c r="D226" s="239" t="s">
        <v>2163</v>
      </c>
      <c r="E226" s="239" t="s">
        <v>850</v>
      </c>
      <c r="F226" s="234"/>
      <c r="G226" s="234"/>
      <c r="H226" s="234"/>
      <c r="I226" s="234"/>
      <c r="J226" s="234"/>
      <c r="K226" s="234"/>
      <c r="L226" s="234"/>
      <c r="M226" s="234"/>
      <c r="N226" s="234"/>
      <c r="O226" s="234" t="s">
        <v>1818</v>
      </c>
      <c r="P226" s="234"/>
      <c r="Q226" s="234"/>
      <c r="R226" s="234"/>
      <c r="S226" s="234"/>
      <c r="T226" s="234"/>
      <c r="U226" s="234"/>
      <c r="V226" s="234"/>
      <c r="W226" s="234" t="str">
        <f>IFERROR(__xludf.DUMMYFUNCTION("""COMPUTED_VALUE"""),"Zscaler Private Access - Government (VPN Replacement)")</f>
        <v>Zscaler Private Access - Government (VPN Replacement)</v>
      </c>
      <c r="X226" s="234">
        <f>IFERROR(__xludf.DUMMYFUNCTION("""COMPUTED_VALUE"""),"1")</f>
        <v>1</v>
      </c>
      <c r="Y226" s="234"/>
      <c r="Z226" s="234"/>
      <c r="AA226" s="234"/>
    </row>
    <row r="227" ht="14.25" customHeight="1">
      <c r="A227" s="234"/>
      <c r="B227" s="234"/>
      <c r="C227" s="234"/>
      <c r="D227" s="239" t="s">
        <v>2168</v>
      </c>
      <c r="E227" s="239" t="s">
        <v>327</v>
      </c>
      <c r="F227" s="234"/>
      <c r="G227" s="234"/>
      <c r="H227" s="234"/>
      <c r="I227" s="234"/>
      <c r="J227" s="234"/>
      <c r="K227" s="234"/>
      <c r="L227" s="234"/>
      <c r="M227" s="234"/>
      <c r="N227" s="234"/>
      <c r="O227" s="234" t="s">
        <v>643</v>
      </c>
      <c r="P227" s="234"/>
      <c r="Q227" s="234"/>
      <c r="R227" s="234"/>
      <c r="S227" s="234"/>
      <c r="T227" s="234"/>
      <c r="U227" s="234"/>
      <c r="V227" s="234"/>
      <c r="W227" s="234"/>
      <c r="X227" s="234"/>
      <c r="Y227" s="234"/>
      <c r="Z227" s="234"/>
      <c r="AA227" s="234"/>
    </row>
    <row r="228" ht="14.25" customHeight="1">
      <c r="A228" s="234"/>
      <c r="B228" s="234"/>
      <c r="C228" s="234"/>
      <c r="D228" s="239" t="s">
        <v>2170</v>
      </c>
      <c r="E228" s="239" t="s">
        <v>175</v>
      </c>
      <c r="F228" s="234"/>
      <c r="G228" s="234"/>
      <c r="H228" s="234"/>
      <c r="I228" s="234"/>
      <c r="J228" s="234"/>
      <c r="K228" s="234"/>
      <c r="L228" s="234"/>
      <c r="M228" s="234"/>
      <c r="N228" s="234"/>
      <c r="O228" s="234" t="s">
        <v>1822</v>
      </c>
      <c r="P228" s="234"/>
      <c r="Q228" s="234"/>
      <c r="R228" s="234"/>
      <c r="S228" s="234"/>
      <c r="T228" s="234"/>
      <c r="U228" s="234"/>
      <c r="V228" s="234"/>
      <c r="W228" s="234"/>
      <c r="X228" s="234"/>
      <c r="Y228" s="234"/>
      <c r="Z228" s="234"/>
      <c r="AA228" s="234"/>
    </row>
    <row r="229" ht="14.25" customHeight="1">
      <c r="A229" s="234"/>
      <c r="B229" s="234"/>
      <c r="C229" s="234"/>
      <c r="D229" s="240" t="s">
        <v>2173</v>
      </c>
      <c r="E229" s="240" t="s">
        <v>175</v>
      </c>
      <c r="F229" s="234"/>
      <c r="G229" s="234"/>
      <c r="H229" s="234"/>
      <c r="I229" s="234"/>
      <c r="J229" s="234"/>
      <c r="K229" s="234"/>
      <c r="L229" s="234"/>
      <c r="M229" s="234"/>
      <c r="N229" s="234"/>
      <c r="O229" s="234" t="s">
        <v>1825</v>
      </c>
      <c r="P229" s="234"/>
      <c r="Q229" s="234"/>
      <c r="R229" s="234"/>
      <c r="S229" s="234"/>
      <c r="T229" s="234"/>
      <c r="U229" s="234"/>
      <c r="V229" s="234"/>
      <c r="W229" s="234"/>
      <c r="X229" s="234"/>
      <c r="Y229" s="234"/>
      <c r="Z229" s="234"/>
      <c r="AA229" s="234"/>
    </row>
    <row r="230" ht="14.25" customHeight="1">
      <c r="A230" s="234"/>
      <c r="B230" s="234"/>
      <c r="C230" s="234"/>
      <c r="D230" s="240" t="s">
        <v>2176</v>
      </c>
      <c r="E230" s="240" t="s">
        <v>1492</v>
      </c>
      <c r="F230" s="234"/>
      <c r="G230" s="234"/>
      <c r="H230" s="234"/>
      <c r="I230" s="234"/>
      <c r="J230" s="234"/>
      <c r="K230" s="234"/>
      <c r="L230" s="234"/>
      <c r="M230" s="234"/>
      <c r="N230" s="234"/>
      <c r="O230" s="234" t="s">
        <v>1830</v>
      </c>
      <c r="P230" s="234"/>
      <c r="Q230" s="234"/>
      <c r="R230" s="234"/>
      <c r="S230" s="234"/>
      <c r="T230" s="234"/>
      <c r="U230" s="234"/>
      <c r="V230" s="234"/>
      <c r="W230" s="234"/>
      <c r="X230" s="234"/>
      <c r="Y230" s="234"/>
      <c r="Z230" s="234"/>
      <c r="AA230" s="234"/>
    </row>
    <row r="231" ht="14.25" customHeight="1">
      <c r="A231" s="234"/>
      <c r="B231" s="234"/>
      <c r="C231" s="234"/>
      <c r="D231" s="239" t="s">
        <v>2178</v>
      </c>
      <c r="E231" s="239" t="s">
        <v>1452</v>
      </c>
      <c r="F231" s="234"/>
      <c r="G231" s="234"/>
      <c r="H231" s="234"/>
      <c r="I231" s="234"/>
      <c r="J231" s="234"/>
      <c r="K231" s="234"/>
      <c r="L231" s="234"/>
      <c r="M231" s="234"/>
      <c r="N231" s="234"/>
      <c r="O231" s="234" t="s">
        <v>1834</v>
      </c>
      <c r="P231" s="234"/>
      <c r="Q231" s="234"/>
      <c r="R231" s="234"/>
      <c r="S231" s="234"/>
      <c r="T231" s="234"/>
      <c r="U231" s="234"/>
      <c r="V231" s="234"/>
      <c r="W231" s="234"/>
      <c r="X231" s="234"/>
      <c r="Y231" s="234"/>
      <c r="Z231" s="234"/>
      <c r="AA231" s="234"/>
    </row>
    <row r="232" ht="14.25" customHeight="1">
      <c r="A232" s="234"/>
      <c r="B232" s="234"/>
      <c r="C232" s="234"/>
      <c r="D232" s="239" t="s">
        <v>2179</v>
      </c>
      <c r="E232" s="239" t="s">
        <v>1296</v>
      </c>
      <c r="F232" s="234"/>
      <c r="G232" s="234"/>
      <c r="H232" s="234"/>
      <c r="I232" s="234"/>
      <c r="J232" s="234"/>
      <c r="K232" s="234"/>
      <c r="L232" s="234"/>
      <c r="M232" s="234"/>
      <c r="N232" s="234"/>
      <c r="O232" s="234" t="s">
        <v>1840</v>
      </c>
      <c r="P232" s="234"/>
      <c r="Q232" s="234"/>
      <c r="R232" s="234"/>
      <c r="S232" s="234"/>
      <c r="T232" s="234"/>
      <c r="U232" s="234"/>
      <c r="V232" s="234"/>
      <c r="W232" s="234"/>
      <c r="X232" s="234"/>
      <c r="Y232" s="234"/>
      <c r="Z232" s="234"/>
      <c r="AA232" s="234"/>
    </row>
    <row r="233" ht="14.25" customHeight="1">
      <c r="A233" s="234"/>
      <c r="B233" s="234"/>
      <c r="C233" s="234"/>
      <c r="D233" s="239" t="s">
        <v>2180</v>
      </c>
      <c r="E233" s="239" t="s">
        <v>142</v>
      </c>
      <c r="F233" s="234"/>
      <c r="G233" s="234"/>
      <c r="H233" s="234"/>
      <c r="I233" s="234"/>
      <c r="J233" s="234"/>
      <c r="K233" s="234"/>
      <c r="L233" s="234"/>
      <c r="M233" s="234"/>
      <c r="N233" s="234"/>
      <c r="O233" s="234" t="s">
        <v>1846</v>
      </c>
      <c r="P233" s="234"/>
      <c r="Q233" s="234"/>
      <c r="R233" s="234"/>
      <c r="S233" s="234"/>
      <c r="T233" s="234"/>
      <c r="U233" s="234"/>
      <c r="V233" s="234"/>
      <c r="W233" s="234"/>
      <c r="X233" s="234"/>
      <c r="Y233" s="234"/>
      <c r="Z233" s="234"/>
      <c r="AA233" s="234"/>
    </row>
    <row r="234" ht="14.25" customHeight="1">
      <c r="A234" s="234"/>
      <c r="B234" s="234"/>
      <c r="C234" s="234"/>
      <c r="D234" s="239" t="s">
        <v>2181</v>
      </c>
      <c r="E234" s="239" t="s">
        <v>196</v>
      </c>
      <c r="F234" s="234"/>
      <c r="G234" s="234"/>
      <c r="H234" s="234"/>
      <c r="I234" s="234"/>
      <c r="J234" s="234"/>
      <c r="K234" s="234"/>
      <c r="L234" s="234"/>
      <c r="M234" s="234"/>
      <c r="N234" s="234"/>
      <c r="O234" s="234" t="s">
        <v>1849</v>
      </c>
      <c r="P234" s="234"/>
      <c r="Q234" s="234"/>
      <c r="R234" s="234"/>
      <c r="S234" s="234"/>
      <c r="T234" s="234"/>
      <c r="U234" s="234"/>
      <c r="V234" s="234"/>
      <c r="W234" s="234"/>
      <c r="X234" s="234"/>
      <c r="Y234" s="234"/>
      <c r="Z234" s="234"/>
      <c r="AA234" s="234"/>
    </row>
    <row r="235" ht="14.25" customHeight="1">
      <c r="A235" s="234"/>
      <c r="B235" s="234"/>
      <c r="C235" s="234"/>
      <c r="D235" s="240" t="s">
        <v>2182</v>
      </c>
      <c r="E235" s="240" t="s">
        <v>402</v>
      </c>
      <c r="F235" s="234"/>
      <c r="G235" s="234"/>
      <c r="H235" s="234"/>
      <c r="I235" s="234"/>
      <c r="J235" s="234"/>
      <c r="K235" s="234"/>
      <c r="L235" s="234"/>
      <c r="M235" s="234"/>
      <c r="N235" s="234"/>
      <c r="O235" s="234" t="s">
        <v>1547</v>
      </c>
      <c r="P235" s="234"/>
      <c r="Q235" s="234"/>
      <c r="R235" s="234"/>
      <c r="S235" s="234"/>
      <c r="T235" s="234"/>
      <c r="U235" s="234"/>
      <c r="V235" s="234"/>
      <c r="W235" s="234"/>
      <c r="X235" s="234"/>
      <c r="Y235" s="234"/>
      <c r="Z235" s="234"/>
      <c r="AA235" s="234"/>
    </row>
    <row r="236" ht="14.25" customHeight="1">
      <c r="A236" s="234"/>
      <c r="B236" s="234"/>
      <c r="C236" s="234"/>
      <c r="D236" s="240" t="s">
        <v>2185</v>
      </c>
      <c r="E236" s="240" t="s">
        <v>1133</v>
      </c>
      <c r="F236" s="234"/>
      <c r="G236" s="234"/>
      <c r="H236" s="234"/>
      <c r="I236" s="234"/>
      <c r="J236" s="234"/>
      <c r="K236" s="234"/>
      <c r="L236" s="234"/>
      <c r="M236" s="234"/>
      <c r="N236" s="234"/>
      <c r="O236" s="234" t="s">
        <v>1854</v>
      </c>
      <c r="P236" s="234"/>
      <c r="Q236" s="234"/>
      <c r="R236" s="234"/>
      <c r="S236" s="234"/>
      <c r="T236" s="234"/>
      <c r="U236" s="234"/>
      <c r="V236" s="234"/>
      <c r="W236" s="234"/>
      <c r="X236" s="234"/>
      <c r="Y236" s="234"/>
      <c r="Z236" s="234"/>
      <c r="AA236" s="234"/>
    </row>
    <row r="237" ht="14.25" customHeight="1">
      <c r="A237" s="234"/>
      <c r="B237" s="234"/>
      <c r="C237" s="234"/>
      <c r="D237" s="240" t="s">
        <v>2187</v>
      </c>
      <c r="E237" s="240" t="s">
        <v>327</v>
      </c>
      <c r="F237" s="234"/>
      <c r="G237" s="234"/>
      <c r="H237" s="234"/>
      <c r="I237" s="234"/>
      <c r="J237" s="234"/>
      <c r="K237" s="234"/>
      <c r="L237" s="234"/>
      <c r="M237" s="234"/>
      <c r="N237" s="234"/>
      <c r="O237" s="234" t="s">
        <v>1861</v>
      </c>
      <c r="P237" s="234"/>
      <c r="Q237" s="234"/>
      <c r="R237" s="234"/>
      <c r="S237" s="234"/>
      <c r="T237" s="234"/>
      <c r="U237" s="234"/>
      <c r="V237" s="234"/>
      <c r="W237" s="234"/>
      <c r="X237" s="234"/>
      <c r="Y237" s="234"/>
      <c r="Z237" s="234"/>
      <c r="AA237" s="234"/>
    </row>
    <row r="238" ht="14.25" customHeight="1">
      <c r="A238" s="234"/>
      <c r="B238" s="234"/>
      <c r="C238" s="234"/>
      <c r="D238" s="239" t="s">
        <v>2191</v>
      </c>
      <c r="E238" s="239" t="s">
        <v>954</v>
      </c>
      <c r="F238" s="234"/>
      <c r="G238" s="234"/>
      <c r="H238" s="234"/>
      <c r="I238" s="234"/>
      <c r="J238" s="234"/>
      <c r="K238" s="234"/>
      <c r="L238" s="234"/>
      <c r="M238" s="234"/>
      <c r="N238" s="234"/>
      <c r="O238" s="234" t="s">
        <v>1867</v>
      </c>
      <c r="P238" s="234"/>
      <c r="Q238" s="234"/>
      <c r="R238" s="234"/>
      <c r="S238" s="234"/>
      <c r="T238" s="234"/>
      <c r="U238" s="234"/>
      <c r="V238" s="234"/>
      <c r="W238" s="234"/>
      <c r="X238" s="234"/>
      <c r="Y238" s="234"/>
      <c r="Z238" s="234"/>
      <c r="AA238" s="234"/>
    </row>
    <row r="239" ht="14.25" customHeight="1">
      <c r="A239" s="234"/>
      <c r="B239" s="234"/>
      <c r="C239" s="234"/>
      <c r="D239" s="240" t="s">
        <v>2192</v>
      </c>
      <c r="E239" s="240" t="s">
        <v>1296</v>
      </c>
      <c r="F239" s="234"/>
      <c r="G239" s="234"/>
      <c r="H239" s="234"/>
      <c r="I239" s="234"/>
      <c r="J239" s="234"/>
      <c r="K239" s="234"/>
      <c r="L239" s="234"/>
      <c r="M239" s="234"/>
      <c r="N239" s="234"/>
      <c r="O239" s="234" t="s">
        <v>1873</v>
      </c>
      <c r="P239" s="234"/>
      <c r="Q239" s="234"/>
      <c r="R239" s="234"/>
      <c r="S239" s="234"/>
      <c r="T239" s="234"/>
      <c r="U239" s="234"/>
      <c r="V239" s="234"/>
      <c r="W239" s="234"/>
      <c r="X239" s="234"/>
      <c r="Y239" s="234"/>
      <c r="Z239" s="234"/>
      <c r="AA239" s="234"/>
    </row>
    <row r="240" ht="14.25" customHeight="1">
      <c r="A240" s="234"/>
      <c r="B240" s="234"/>
      <c r="C240" s="234"/>
      <c r="D240" s="240" t="s">
        <v>2194</v>
      </c>
      <c r="E240" s="240" t="s">
        <v>1452</v>
      </c>
      <c r="F240" s="234"/>
      <c r="G240" s="234"/>
      <c r="H240" s="234"/>
      <c r="I240" s="234"/>
      <c r="J240" s="234"/>
      <c r="K240" s="234"/>
      <c r="L240" s="234"/>
      <c r="M240" s="234"/>
      <c r="N240" s="234"/>
      <c r="O240" s="234" t="s">
        <v>1876</v>
      </c>
      <c r="P240" s="234"/>
      <c r="Q240" s="234"/>
      <c r="R240" s="234"/>
      <c r="S240" s="234"/>
      <c r="T240" s="234"/>
      <c r="U240" s="234"/>
      <c r="V240" s="234"/>
      <c r="W240" s="234"/>
      <c r="X240" s="234"/>
      <c r="Y240" s="234"/>
      <c r="Z240" s="234"/>
      <c r="AA240" s="234"/>
    </row>
    <row r="241" ht="14.25" customHeight="1">
      <c r="A241" s="234"/>
      <c r="B241" s="234"/>
      <c r="C241" s="234"/>
      <c r="D241" s="239" t="s">
        <v>2196</v>
      </c>
      <c r="E241" s="239" t="s">
        <v>175</v>
      </c>
      <c r="F241" s="234"/>
      <c r="G241" s="234"/>
      <c r="H241" s="234"/>
      <c r="I241" s="234"/>
      <c r="J241" s="234"/>
      <c r="K241" s="234"/>
      <c r="L241" s="234"/>
      <c r="M241" s="234"/>
      <c r="N241" s="234"/>
      <c r="O241" s="234" t="s">
        <v>1879</v>
      </c>
      <c r="P241" s="234"/>
      <c r="Q241" s="234"/>
      <c r="R241" s="234"/>
      <c r="S241" s="234"/>
      <c r="T241" s="234"/>
      <c r="U241" s="234"/>
      <c r="V241" s="234"/>
      <c r="W241" s="234"/>
      <c r="X241" s="234"/>
      <c r="Y241" s="234"/>
      <c r="Z241" s="234"/>
      <c r="AA241" s="234"/>
    </row>
    <row r="242" ht="14.25" customHeight="1">
      <c r="A242" s="234"/>
      <c r="B242" s="234"/>
      <c r="C242" s="234"/>
      <c r="D242" s="240" t="s">
        <v>2197</v>
      </c>
      <c r="E242" s="240" t="s">
        <v>142</v>
      </c>
      <c r="F242" s="234"/>
      <c r="G242" s="234"/>
      <c r="H242" s="234"/>
      <c r="I242" s="234"/>
      <c r="J242" s="234"/>
      <c r="K242" s="234"/>
      <c r="L242" s="234"/>
      <c r="M242" s="234"/>
      <c r="N242" s="234"/>
      <c r="O242" s="234" t="s">
        <v>1883</v>
      </c>
      <c r="P242" s="234"/>
      <c r="Q242" s="234"/>
      <c r="R242" s="234"/>
      <c r="S242" s="234"/>
      <c r="T242" s="234"/>
      <c r="U242" s="234"/>
      <c r="V242" s="234"/>
      <c r="W242" s="234"/>
      <c r="X242" s="234"/>
      <c r="Y242" s="234"/>
      <c r="Z242" s="234"/>
      <c r="AA242" s="234"/>
    </row>
    <row r="243" ht="14.25" customHeight="1">
      <c r="A243" s="234"/>
      <c r="B243" s="234"/>
      <c r="C243" s="234"/>
      <c r="D243" s="240" t="s">
        <v>2200</v>
      </c>
      <c r="E243" s="240" t="s">
        <v>954</v>
      </c>
      <c r="F243" s="234"/>
      <c r="G243" s="234"/>
      <c r="H243" s="234"/>
      <c r="I243" s="234"/>
      <c r="J243" s="234"/>
      <c r="K243" s="234"/>
      <c r="L243" s="234"/>
      <c r="M243" s="234"/>
      <c r="N243" s="234"/>
      <c r="O243" s="234" t="s">
        <v>1887</v>
      </c>
      <c r="P243" s="234"/>
      <c r="Q243" s="234"/>
      <c r="R243" s="234"/>
      <c r="S243" s="234"/>
      <c r="T243" s="234"/>
      <c r="U243" s="234"/>
      <c r="V243" s="234"/>
      <c r="W243" s="234"/>
      <c r="X243" s="234"/>
      <c r="Y243" s="234"/>
      <c r="Z243" s="234"/>
      <c r="AA243" s="234"/>
    </row>
    <row r="244" ht="14.25" customHeight="1">
      <c r="A244" s="234"/>
      <c r="B244" s="234"/>
      <c r="C244" s="234"/>
      <c r="D244" s="239" t="s">
        <v>2202</v>
      </c>
      <c r="E244" s="239" t="s">
        <v>1296</v>
      </c>
      <c r="F244" s="234"/>
      <c r="G244" s="234"/>
      <c r="H244" s="234"/>
      <c r="I244" s="234"/>
      <c r="J244" s="234"/>
      <c r="K244" s="234"/>
      <c r="L244" s="234"/>
      <c r="M244" s="234"/>
      <c r="N244" s="234"/>
      <c r="O244" s="234"/>
      <c r="P244" s="234"/>
      <c r="Q244" s="234"/>
      <c r="R244" s="234"/>
      <c r="S244" s="234"/>
      <c r="T244" s="234"/>
      <c r="U244" s="234"/>
      <c r="V244" s="234"/>
      <c r="W244" s="234"/>
      <c r="X244" s="234"/>
      <c r="Y244" s="234"/>
      <c r="Z244" s="234"/>
      <c r="AA244" s="234"/>
    </row>
    <row r="245" ht="14.25" customHeight="1">
      <c r="A245" s="234"/>
      <c r="B245" s="234"/>
      <c r="C245" s="234"/>
      <c r="D245" s="240" t="s">
        <v>2205</v>
      </c>
      <c r="E245" s="240" t="s">
        <v>175</v>
      </c>
      <c r="F245" s="234"/>
      <c r="G245" s="234"/>
      <c r="H245" s="234"/>
      <c r="I245" s="234"/>
      <c r="J245" s="234"/>
      <c r="K245" s="234"/>
      <c r="L245" s="234"/>
      <c r="M245" s="234"/>
      <c r="N245" s="234"/>
      <c r="O245" s="234"/>
      <c r="P245" s="234"/>
      <c r="Q245" s="234"/>
      <c r="R245" s="234"/>
      <c r="S245" s="234"/>
      <c r="T245" s="234"/>
      <c r="U245" s="234"/>
      <c r="V245" s="234"/>
      <c r="W245" s="234"/>
      <c r="X245" s="234"/>
      <c r="Y245" s="234"/>
      <c r="Z245" s="234"/>
      <c r="AA245" s="234"/>
    </row>
    <row r="246" ht="14.25" customHeight="1">
      <c r="A246" s="234"/>
      <c r="B246" s="234"/>
      <c r="C246" s="234"/>
      <c r="D246" s="239" t="s">
        <v>2206</v>
      </c>
      <c r="E246" s="239" t="s">
        <v>1133</v>
      </c>
      <c r="F246" s="234"/>
      <c r="G246" s="234"/>
      <c r="H246" s="234"/>
      <c r="I246" s="234"/>
      <c r="J246" s="234"/>
      <c r="K246" s="234"/>
      <c r="L246" s="234"/>
      <c r="M246" s="234"/>
      <c r="N246" s="234"/>
      <c r="O246" s="234"/>
      <c r="P246" s="234"/>
      <c r="Q246" s="234"/>
      <c r="R246" s="234"/>
      <c r="S246" s="234"/>
      <c r="T246" s="234"/>
      <c r="U246" s="234"/>
      <c r="V246" s="234"/>
      <c r="W246" s="234"/>
      <c r="X246" s="234"/>
      <c r="Y246" s="234"/>
      <c r="Z246" s="234"/>
      <c r="AA246" s="234"/>
    </row>
    <row r="247" ht="14.25" customHeight="1">
      <c r="A247" s="234"/>
      <c r="B247" s="234"/>
      <c r="C247" s="234"/>
      <c r="D247" s="240" t="s">
        <v>2207</v>
      </c>
      <c r="E247" s="240" t="s">
        <v>1133</v>
      </c>
      <c r="F247" s="234"/>
      <c r="G247" s="234"/>
      <c r="H247" s="234"/>
      <c r="I247" s="234"/>
      <c r="J247" s="234"/>
      <c r="K247" s="234"/>
      <c r="L247" s="234"/>
      <c r="M247" s="234"/>
      <c r="N247" s="234"/>
      <c r="O247" s="234"/>
      <c r="P247" s="234"/>
      <c r="Q247" s="234"/>
      <c r="R247" s="234"/>
      <c r="S247" s="234"/>
      <c r="T247" s="234"/>
      <c r="U247" s="234"/>
      <c r="V247" s="234"/>
      <c r="W247" s="234"/>
      <c r="X247" s="234"/>
      <c r="Y247" s="234"/>
      <c r="Z247" s="234"/>
      <c r="AA247" s="234"/>
    </row>
    <row r="248" ht="14.25" customHeight="1">
      <c r="A248" s="234"/>
      <c r="B248" s="234"/>
      <c r="C248" s="234"/>
      <c r="D248" s="240" t="s">
        <v>2208</v>
      </c>
      <c r="E248" s="240" t="s">
        <v>220</v>
      </c>
      <c r="F248" s="234"/>
      <c r="G248" s="234"/>
      <c r="H248" s="234"/>
      <c r="I248" s="234"/>
      <c r="J248" s="234"/>
      <c r="K248" s="234"/>
      <c r="L248" s="234"/>
      <c r="M248" s="234"/>
      <c r="N248" s="234"/>
      <c r="O248" s="234"/>
      <c r="P248" s="234"/>
      <c r="Q248" s="234"/>
      <c r="R248" s="234"/>
      <c r="S248" s="234"/>
      <c r="T248" s="234"/>
      <c r="U248" s="234"/>
      <c r="V248" s="234"/>
      <c r="W248" s="234"/>
      <c r="X248" s="234"/>
      <c r="Y248" s="234"/>
      <c r="Z248" s="234"/>
      <c r="AA248" s="234"/>
    </row>
    <row r="249" ht="14.25" customHeight="1">
      <c r="A249" s="234"/>
      <c r="B249" s="234"/>
      <c r="C249" s="234"/>
      <c r="D249" s="239" t="s">
        <v>2209</v>
      </c>
      <c r="E249" s="239" t="s">
        <v>220</v>
      </c>
      <c r="F249" s="234"/>
      <c r="G249" s="234"/>
      <c r="H249" s="234"/>
      <c r="I249" s="234"/>
      <c r="J249" s="234"/>
      <c r="K249" s="234"/>
      <c r="L249" s="234"/>
      <c r="M249" s="234"/>
      <c r="N249" s="234"/>
      <c r="O249" s="234"/>
      <c r="P249" s="234"/>
      <c r="Q249" s="234"/>
      <c r="R249" s="234"/>
      <c r="S249" s="234"/>
      <c r="T249" s="234"/>
      <c r="U249" s="234"/>
      <c r="V249" s="234"/>
      <c r="W249" s="234"/>
      <c r="X249" s="234"/>
      <c r="Y249" s="234"/>
      <c r="Z249" s="234"/>
      <c r="AA249" s="234"/>
    </row>
    <row r="250" ht="14.25" customHeight="1">
      <c r="A250" s="234"/>
      <c r="B250" s="234"/>
      <c r="C250" s="234"/>
      <c r="D250" s="239" t="s">
        <v>1277</v>
      </c>
      <c r="E250" s="239" t="s">
        <v>1023</v>
      </c>
      <c r="F250" s="234"/>
      <c r="G250" s="234"/>
      <c r="H250" s="234"/>
      <c r="I250" s="234"/>
      <c r="J250" s="234"/>
      <c r="K250" s="234"/>
      <c r="L250" s="234"/>
      <c r="M250" s="234"/>
      <c r="N250" s="234"/>
      <c r="O250" s="234"/>
      <c r="P250" s="234"/>
      <c r="Q250" s="234"/>
      <c r="R250" s="234"/>
      <c r="S250" s="234"/>
      <c r="T250" s="234"/>
      <c r="U250" s="234"/>
      <c r="V250" s="234"/>
      <c r="W250" s="234"/>
      <c r="X250" s="234"/>
      <c r="Y250" s="234"/>
      <c r="Z250" s="234"/>
      <c r="AA250" s="234"/>
    </row>
    <row r="251" ht="14.25" customHeight="1">
      <c r="A251" s="234"/>
      <c r="B251" s="234"/>
      <c r="C251" s="234"/>
      <c r="D251" s="239" t="s">
        <v>2211</v>
      </c>
      <c r="E251" s="239" t="s">
        <v>969</v>
      </c>
      <c r="F251" s="234"/>
      <c r="G251" s="234"/>
      <c r="H251" s="234"/>
      <c r="I251" s="234"/>
      <c r="J251" s="234"/>
      <c r="K251" s="234"/>
      <c r="L251" s="234"/>
      <c r="M251" s="234"/>
      <c r="N251" s="234"/>
      <c r="O251" s="234"/>
      <c r="P251" s="234"/>
      <c r="Q251" s="234"/>
      <c r="R251" s="234"/>
      <c r="S251" s="234"/>
      <c r="T251" s="234"/>
      <c r="U251" s="234"/>
      <c r="V251" s="234"/>
      <c r="W251" s="234"/>
      <c r="X251" s="234"/>
      <c r="Y251" s="234"/>
      <c r="Z251" s="234"/>
      <c r="AA251" s="234"/>
    </row>
    <row r="252" ht="14.25" customHeight="1">
      <c r="A252" s="234"/>
      <c r="B252" s="234"/>
      <c r="C252" s="234"/>
      <c r="D252" s="239" t="s">
        <v>2212</v>
      </c>
      <c r="E252" s="239" t="s">
        <v>175</v>
      </c>
      <c r="F252" s="234"/>
      <c r="G252" s="234"/>
      <c r="H252" s="234"/>
      <c r="I252" s="234"/>
      <c r="J252" s="234"/>
      <c r="K252" s="234"/>
      <c r="L252" s="234"/>
      <c r="M252" s="234"/>
      <c r="N252" s="234"/>
      <c r="O252" s="234"/>
      <c r="P252" s="234"/>
      <c r="Q252" s="234"/>
      <c r="R252" s="234"/>
      <c r="S252" s="234"/>
      <c r="T252" s="234"/>
      <c r="U252" s="234"/>
      <c r="V252" s="234"/>
      <c r="W252" s="234"/>
      <c r="X252" s="234"/>
      <c r="Y252" s="234"/>
      <c r="Z252" s="234"/>
      <c r="AA252" s="234"/>
    </row>
    <row r="253" ht="14.25" customHeight="1">
      <c r="A253" s="234"/>
      <c r="B253" s="234"/>
      <c r="C253" s="234"/>
      <c r="D253" s="239" t="s">
        <v>2214</v>
      </c>
      <c r="E253" s="239" t="s">
        <v>1133</v>
      </c>
      <c r="F253" s="234"/>
      <c r="G253" s="234"/>
      <c r="H253" s="234"/>
      <c r="I253" s="234"/>
      <c r="J253" s="234"/>
      <c r="K253" s="234"/>
      <c r="L253" s="234"/>
      <c r="M253" s="234"/>
      <c r="N253" s="234"/>
      <c r="O253" s="234"/>
      <c r="P253" s="234"/>
      <c r="Q253" s="234"/>
      <c r="R253" s="234"/>
      <c r="S253" s="234"/>
      <c r="T253" s="234"/>
      <c r="U253" s="234"/>
      <c r="V253" s="234"/>
      <c r="W253" s="234"/>
      <c r="X253" s="234"/>
      <c r="Y253" s="234"/>
      <c r="Z253" s="234"/>
      <c r="AA253" s="234"/>
    </row>
    <row r="254" ht="14.25" customHeight="1">
      <c r="A254" s="234"/>
      <c r="B254" s="234"/>
      <c r="C254" s="234"/>
      <c r="D254" s="239" t="s">
        <v>2215</v>
      </c>
      <c r="E254" s="239" t="s">
        <v>743</v>
      </c>
      <c r="F254" s="234"/>
      <c r="G254" s="234"/>
      <c r="H254" s="234"/>
      <c r="I254" s="234"/>
      <c r="J254" s="234"/>
      <c r="K254" s="234"/>
      <c r="L254" s="234"/>
      <c r="M254" s="234"/>
      <c r="N254" s="234"/>
      <c r="O254" s="234"/>
      <c r="P254" s="234"/>
      <c r="Q254" s="234"/>
      <c r="R254" s="234"/>
      <c r="S254" s="234"/>
      <c r="T254" s="234"/>
      <c r="U254" s="234"/>
      <c r="V254" s="234"/>
      <c r="W254" s="234"/>
      <c r="X254" s="234"/>
      <c r="Y254" s="234"/>
      <c r="Z254" s="234"/>
      <c r="AA254" s="234"/>
    </row>
    <row r="255" ht="14.25" customHeight="1">
      <c r="A255" s="234"/>
      <c r="B255" s="234"/>
      <c r="C255" s="234"/>
      <c r="D255" s="240" t="s">
        <v>2216</v>
      </c>
      <c r="E255" s="240" t="s">
        <v>969</v>
      </c>
      <c r="F255" s="234"/>
      <c r="G255" s="234"/>
      <c r="H255" s="234"/>
      <c r="I255" s="234"/>
      <c r="J255" s="234"/>
      <c r="K255" s="234"/>
      <c r="L255" s="234"/>
      <c r="M255" s="234"/>
      <c r="N255" s="234"/>
      <c r="O255" s="234"/>
      <c r="P255" s="234"/>
      <c r="Q255" s="234"/>
      <c r="R255" s="234"/>
      <c r="S255" s="234"/>
      <c r="T255" s="234"/>
      <c r="U255" s="234"/>
      <c r="V255" s="234"/>
      <c r="W255" s="234"/>
      <c r="X255" s="234"/>
      <c r="Y255" s="234"/>
      <c r="Z255" s="234"/>
      <c r="AA255" s="234"/>
    </row>
    <row r="256" ht="14.25" customHeight="1">
      <c r="A256" s="234"/>
      <c r="B256" s="234"/>
      <c r="C256" s="234"/>
      <c r="D256" s="239" t="s">
        <v>2217</v>
      </c>
      <c r="E256" s="239" t="s">
        <v>1195</v>
      </c>
      <c r="F256" s="234"/>
      <c r="G256" s="234"/>
      <c r="H256" s="234"/>
      <c r="I256" s="234"/>
      <c r="J256" s="234"/>
      <c r="K256" s="234"/>
      <c r="L256" s="234"/>
      <c r="M256" s="234"/>
      <c r="N256" s="234"/>
      <c r="O256" s="234"/>
      <c r="P256" s="234"/>
      <c r="Q256" s="234"/>
      <c r="R256" s="234"/>
      <c r="S256" s="234"/>
      <c r="T256" s="234"/>
      <c r="U256" s="234"/>
      <c r="V256" s="234"/>
      <c r="W256" s="234"/>
      <c r="X256" s="234"/>
      <c r="Y256" s="234"/>
      <c r="Z256" s="234"/>
      <c r="AA256" s="234"/>
    </row>
    <row r="257" ht="14.25" customHeight="1">
      <c r="A257" s="234"/>
      <c r="B257" s="234"/>
      <c r="C257" s="234"/>
      <c r="D257" s="239"/>
      <c r="E257" s="239" t="s">
        <v>1392</v>
      </c>
      <c r="F257" s="234"/>
      <c r="G257" s="234"/>
      <c r="H257" s="234"/>
      <c r="I257" s="234"/>
      <c r="J257" s="234"/>
      <c r="K257" s="234"/>
      <c r="L257" s="234"/>
      <c r="M257" s="234"/>
      <c r="N257" s="234"/>
      <c r="O257" s="234"/>
      <c r="P257" s="234"/>
      <c r="Q257" s="234"/>
      <c r="R257" s="234"/>
      <c r="S257" s="234"/>
      <c r="T257" s="234"/>
      <c r="U257" s="234"/>
      <c r="V257" s="234"/>
      <c r="W257" s="234"/>
      <c r="X257" s="234"/>
      <c r="Y257" s="234"/>
      <c r="Z257" s="234"/>
      <c r="AA257" s="234"/>
    </row>
    <row r="258" ht="14.25" customHeight="1">
      <c r="A258" s="234"/>
      <c r="B258" s="234"/>
      <c r="C258" s="234"/>
      <c r="D258" s="240"/>
      <c r="E258" s="240" t="s">
        <v>1416</v>
      </c>
      <c r="F258" s="234"/>
      <c r="G258" s="234"/>
      <c r="H258" s="234"/>
      <c r="I258" s="234"/>
      <c r="J258" s="234"/>
      <c r="K258" s="234"/>
      <c r="L258" s="234"/>
      <c r="M258" s="234"/>
      <c r="N258" s="234"/>
      <c r="O258" s="234"/>
      <c r="P258" s="234"/>
      <c r="Q258" s="234"/>
      <c r="R258" s="234"/>
      <c r="S258" s="234"/>
      <c r="T258" s="234"/>
      <c r="U258" s="234"/>
      <c r="V258" s="234"/>
      <c r="W258" s="234"/>
      <c r="X258" s="234"/>
      <c r="Y258" s="234"/>
      <c r="Z258" s="234"/>
      <c r="AA258" s="234"/>
    </row>
    <row r="259" ht="14.25" customHeight="1">
      <c r="A259" s="234"/>
      <c r="B259" s="234"/>
      <c r="C259" s="234"/>
      <c r="D259" s="239"/>
      <c r="E259" s="239" t="s">
        <v>1433</v>
      </c>
      <c r="F259" s="234"/>
      <c r="G259" s="234"/>
      <c r="H259" s="234"/>
      <c r="I259" s="234"/>
      <c r="J259" s="234"/>
      <c r="K259" s="234"/>
      <c r="L259" s="234"/>
      <c r="M259" s="234"/>
      <c r="N259" s="234"/>
      <c r="O259" s="234"/>
      <c r="P259" s="234"/>
      <c r="Q259" s="234"/>
      <c r="R259" s="234"/>
      <c r="S259" s="234"/>
      <c r="T259" s="234"/>
      <c r="U259" s="234"/>
      <c r="V259" s="234"/>
      <c r="W259" s="234"/>
      <c r="X259" s="234"/>
      <c r="Y259" s="234"/>
      <c r="Z259" s="234"/>
      <c r="AA259" s="234"/>
    </row>
    <row r="260" ht="14.25" customHeight="1">
      <c r="A260" s="234"/>
      <c r="B260" s="234"/>
      <c r="C260" s="234"/>
      <c r="D260" s="240"/>
      <c r="E260" s="240" t="s">
        <v>1443</v>
      </c>
      <c r="F260" s="234"/>
      <c r="G260" s="234"/>
      <c r="H260" s="234"/>
      <c r="I260" s="234"/>
      <c r="J260" s="234"/>
      <c r="K260" s="234"/>
      <c r="L260" s="234"/>
      <c r="M260" s="234"/>
      <c r="N260" s="234"/>
      <c r="O260" s="234"/>
      <c r="P260" s="234"/>
      <c r="Q260" s="234"/>
      <c r="R260" s="234"/>
      <c r="S260" s="234"/>
      <c r="T260" s="234"/>
      <c r="U260" s="234"/>
      <c r="V260" s="234"/>
      <c r="W260" s="234"/>
      <c r="X260" s="234"/>
      <c r="Y260" s="234"/>
      <c r="Z260" s="234"/>
      <c r="AA260" s="234"/>
    </row>
    <row r="261" ht="14.25" customHeight="1">
      <c r="A261" s="234"/>
      <c r="B261" s="234"/>
      <c r="C261" s="234"/>
      <c r="D261" s="239"/>
      <c r="E261" s="239" t="s">
        <v>1449</v>
      </c>
      <c r="F261" s="234"/>
      <c r="G261" s="234"/>
      <c r="H261" s="234"/>
      <c r="I261" s="234"/>
      <c r="J261" s="234"/>
      <c r="K261" s="234"/>
      <c r="L261" s="234"/>
      <c r="M261" s="234"/>
      <c r="N261" s="234"/>
      <c r="O261" s="234"/>
      <c r="P261" s="234"/>
      <c r="Q261" s="234"/>
      <c r="R261" s="234"/>
      <c r="S261" s="234"/>
      <c r="T261" s="234"/>
      <c r="U261" s="234"/>
      <c r="V261" s="234"/>
      <c r="W261" s="234"/>
      <c r="X261" s="234"/>
      <c r="Y261" s="234"/>
      <c r="Z261" s="234"/>
      <c r="AA261" s="234"/>
    </row>
    <row r="262" ht="14.25" customHeight="1">
      <c r="A262" s="234"/>
      <c r="B262" s="234"/>
      <c r="C262" s="234"/>
      <c r="D262" s="240"/>
      <c r="E262" s="240" t="s">
        <v>1458</v>
      </c>
      <c r="F262" s="234"/>
      <c r="G262" s="234"/>
      <c r="H262" s="234"/>
      <c r="I262" s="234"/>
      <c r="J262" s="234"/>
      <c r="K262" s="234"/>
      <c r="L262" s="234"/>
      <c r="M262" s="234"/>
      <c r="N262" s="234"/>
      <c r="O262" s="234"/>
      <c r="P262" s="234"/>
      <c r="Q262" s="234"/>
      <c r="R262" s="234"/>
      <c r="S262" s="234"/>
      <c r="T262" s="234"/>
      <c r="U262" s="234"/>
      <c r="V262" s="234"/>
      <c r="W262" s="234"/>
      <c r="X262" s="234"/>
      <c r="Y262" s="234"/>
      <c r="Z262" s="234"/>
      <c r="AA262" s="234"/>
    </row>
    <row r="263" ht="14.25" customHeight="1">
      <c r="A263" s="234"/>
      <c r="B263" s="234"/>
      <c r="C263" s="234"/>
      <c r="D263" s="239"/>
      <c r="E263" s="239" t="s">
        <v>1464</v>
      </c>
      <c r="F263" s="234"/>
      <c r="G263" s="234"/>
      <c r="H263" s="234"/>
      <c r="I263" s="234"/>
      <c r="J263" s="234"/>
      <c r="K263" s="234"/>
      <c r="L263" s="234"/>
      <c r="M263" s="234"/>
      <c r="N263" s="234"/>
      <c r="O263" s="234"/>
      <c r="P263" s="234"/>
      <c r="Q263" s="234"/>
      <c r="R263" s="234"/>
      <c r="S263" s="234"/>
      <c r="T263" s="234"/>
      <c r="U263" s="234"/>
      <c r="V263" s="234"/>
      <c r="W263" s="234"/>
      <c r="X263" s="234"/>
      <c r="Y263" s="234"/>
      <c r="Z263" s="234"/>
      <c r="AA263" s="234"/>
    </row>
    <row r="264" ht="14.25" customHeight="1">
      <c r="A264" s="234"/>
      <c r="B264" s="234"/>
      <c r="C264" s="234"/>
      <c r="D264" s="240"/>
      <c r="E264" s="240" t="s">
        <v>1468</v>
      </c>
      <c r="F264" s="234"/>
      <c r="G264" s="234"/>
      <c r="H264" s="234"/>
      <c r="I264" s="234"/>
      <c r="J264" s="234"/>
      <c r="K264" s="234"/>
      <c r="L264" s="234"/>
      <c r="M264" s="234"/>
      <c r="N264" s="234"/>
      <c r="O264" s="234"/>
      <c r="P264" s="234"/>
      <c r="Q264" s="234"/>
      <c r="R264" s="234"/>
      <c r="S264" s="234"/>
      <c r="T264" s="234"/>
      <c r="U264" s="234"/>
      <c r="V264" s="234"/>
      <c r="W264" s="234"/>
      <c r="X264" s="234"/>
      <c r="Y264" s="234"/>
      <c r="Z264" s="234"/>
      <c r="AA264" s="234"/>
    </row>
    <row r="265" ht="14.25" customHeight="1">
      <c r="A265" s="234"/>
      <c r="B265" s="234"/>
      <c r="C265" s="234"/>
      <c r="D265" s="239"/>
      <c r="E265" s="239" t="s">
        <v>1473</v>
      </c>
      <c r="F265" s="234"/>
      <c r="G265" s="234"/>
      <c r="H265" s="234"/>
      <c r="I265" s="234"/>
      <c r="J265" s="234"/>
      <c r="K265" s="234"/>
      <c r="L265" s="234"/>
      <c r="M265" s="234"/>
      <c r="N265" s="234"/>
      <c r="O265" s="234"/>
      <c r="P265" s="234"/>
      <c r="Q265" s="234"/>
      <c r="R265" s="234"/>
      <c r="S265" s="234"/>
      <c r="T265" s="234"/>
      <c r="U265" s="234"/>
      <c r="V265" s="234"/>
      <c r="W265" s="234"/>
      <c r="X265" s="234"/>
      <c r="Y265" s="234"/>
      <c r="Z265" s="234"/>
      <c r="AA265" s="234"/>
    </row>
    <row r="266" ht="14.25" customHeight="1">
      <c r="A266" s="234"/>
      <c r="B266" s="234"/>
      <c r="C266" s="234"/>
      <c r="D266" s="240"/>
      <c r="E266" s="240" t="s">
        <v>1480</v>
      </c>
      <c r="F266" s="234"/>
      <c r="G266" s="234"/>
      <c r="H266" s="234"/>
      <c r="I266" s="234"/>
      <c r="J266" s="234"/>
      <c r="K266" s="234"/>
      <c r="L266" s="234"/>
      <c r="M266" s="234"/>
      <c r="N266" s="234"/>
      <c r="O266" s="234"/>
      <c r="P266" s="234"/>
      <c r="Q266" s="234"/>
      <c r="R266" s="234"/>
      <c r="S266" s="234"/>
      <c r="T266" s="234"/>
      <c r="U266" s="234"/>
      <c r="V266" s="234"/>
      <c r="W266" s="234"/>
      <c r="X266" s="234"/>
      <c r="Y266" s="234"/>
      <c r="Z266" s="234"/>
      <c r="AA266" s="234"/>
    </row>
    <row r="267" ht="14.25" customHeight="1">
      <c r="A267" s="234"/>
      <c r="B267" s="234"/>
      <c r="C267" s="234"/>
      <c r="D267" s="239"/>
      <c r="E267" s="239" t="s">
        <v>1485</v>
      </c>
      <c r="F267" s="234"/>
      <c r="G267" s="234"/>
      <c r="H267" s="234"/>
      <c r="I267" s="234"/>
      <c r="J267" s="234"/>
      <c r="K267" s="234"/>
      <c r="L267" s="234"/>
      <c r="M267" s="234"/>
      <c r="N267" s="234"/>
      <c r="O267" s="234"/>
      <c r="P267" s="234"/>
      <c r="Q267" s="234"/>
      <c r="R267" s="234"/>
      <c r="S267" s="234"/>
      <c r="T267" s="234"/>
      <c r="U267" s="234"/>
      <c r="V267" s="234"/>
      <c r="W267" s="234"/>
      <c r="X267" s="234"/>
      <c r="Y267" s="234"/>
      <c r="Z267" s="234"/>
      <c r="AA267" s="234"/>
    </row>
    <row r="268" ht="14.25" customHeight="1">
      <c r="A268" s="234"/>
      <c r="B268" s="234"/>
      <c r="C268" s="234"/>
      <c r="D268" s="240"/>
      <c r="E268" s="240" t="s">
        <v>1489</v>
      </c>
      <c r="F268" s="234"/>
      <c r="G268" s="234"/>
      <c r="H268" s="234"/>
      <c r="I268" s="234"/>
      <c r="J268" s="234"/>
      <c r="K268" s="234"/>
      <c r="L268" s="234"/>
      <c r="M268" s="234"/>
      <c r="N268" s="234"/>
      <c r="O268" s="234"/>
      <c r="P268" s="234"/>
      <c r="Q268" s="234"/>
      <c r="R268" s="234"/>
      <c r="S268" s="234"/>
      <c r="T268" s="234"/>
      <c r="U268" s="234"/>
      <c r="V268" s="234"/>
      <c r="W268" s="234"/>
      <c r="X268" s="234"/>
      <c r="Y268" s="234"/>
      <c r="Z268" s="234"/>
      <c r="AA268" s="234"/>
    </row>
    <row r="269" ht="14.25" customHeight="1">
      <c r="A269" s="234"/>
      <c r="B269" s="234"/>
      <c r="C269" s="234"/>
      <c r="D269" s="239"/>
      <c r="E269" s="239" t="s">
        <v>523</v>
      </c>
      <c r="F269" s="234"/>
      <c r="G269" s="234"/>
      <c r="H269" s="234"/>
      <c r="I269" s="234"/>
      <c r="J269" s="234"/>
      <c r="K269" s="234"/>
      <c r="L269" s="234"/>
      <c r="M269" s="234"/>
      <c r="N269" s="234"/>
      <c r="O269" s="234"/>
      <c r="P269" s="234"/>
      <c r="Q269" s="234"/>
      <c r="R269" s="234"/>
      <c r="S269" s="234"/>
      <c r="T269" s="234"/>
      <c r="U269" s="234"/>
      <c r="V269" s="234"/>
      <c r="W269" s="234"/>
      <c r="X269" s="234"/>
      <c r="Y269" s="234"/>
      <c r="Z269" s="234"/>
      <c r="AA269" s="234"/>
    </row>
    <row r="270" ht="14.25" customHeight="1">
      <c r="A270" s="234"/>
      <c r="B270" s="234"/>
      <c r="C270" s="234"/>
      <c r="D270" s="240"/>
      <c r="E270" s="240" t="s">
        <v>1494</v>
      </c>
      <c r="F270" s="234"/>
      <c r="G270" s="234"/>
      <c r="H270" s="234"/>
      <c r="I270" s="234"/>
      <c r="J270" s="234"/>
      <c r="K270" s="234"/>
      <c r="L270" s="234"/>
      <c r="M270" s="234"/>
      <c r="N270" s="234"/>
      <c r="O270" s="234"/>
      <c r="P270" s="234"/>
      <c r="Q270" s="234"/>
      <c r="R270" s="234"/>
      <c r="S270" s="234"/>
      <c r="T270" s="234"/>
      <c r="U270" s="234"/>
      <c r="V270" s="234"/>
      <c r="W270" s="234"/>
      <c r="X270" s="234"/>
      <c r="Y270" s="234"/>
      <c r="Z270" s="234"/>
      <c r="AA270" s="234"/>
    </row>
    <row r="271" ht="14.25" customHeight="1">
      <c r="A271" s="234"/>
      <c r="B271" s="234"/>
      <c r="C271" s="234"/>
      <c r="D271" s="239"/>
      <c r="E271" s="239" t="s">
        <v>1498</v>
      </c>
      <c r="F271" s="234"/>
      <c r="G271" s="234"/>
      <c r="H271" s="234"/>
      <c r="I271" s="234"/>
      <c r="J271" s="234"/>
      <c r="K271" s="234"/>
      <c r="L271" s="234"/>
      <c r="M271" s="234"/>
      <c r="N271" s="234"/>
      <c r="O271" s="234"/>
      <c r="P271" s="234"/>
      <c r="Q271" s="234"/>
      <c r="R271" s="234"/>
      <c r="S271" s="234"/>
      <c r="T271" s="234"/>
      <c r="U271" s="234"/>
      <c r="V271" s="234"/>
      <c r="W271" s="234"/>
      <c r="X271" s="234"/>
      <c r="Y271" s="234"/>
      <c r="Z271" s="234"/>
      <c r="AA271" s="234"/>
    </row>
    <row r="272" ht="14.25" customHeight="1">
      <c r="A272" s="234"/>
      <c r="B272" s="234"/>
      <c r="C272" s="234"/>
      <c r="D272" s="240"/>
      <c r="E272" s="240" t="s">
        <v>1503</v>
      </c>
      <c r="F272" s="234"/>
      <c r="G272" s="234"/>
      <c r="H272" s="234"/>
      <c r="I272" s="234"/>
      <c r="J272" s="234"/>
      <c r="K272" s="234"/>
      <c r="L272" s="234"/>
      <c r="M272" s="234"/>
      <c r="N272" s="234"/>
      <c r="O272" s="234"/>
      <c r="P272" s="234"/>
      <c r="Q272" s="234"/>
      <c r="R272" s="234"/>
      <c r="S272" s="234"/>
      <c r="T272" s="234"/>
      <c r="U272" s="234"/>
      <c r="V272" s="234"/>
      <c r="W272" s="234"/>
      <c r="X272" s="234"/>
      <c r="Y272" s="234"/>
      <c r="Z272" s="234"/>
      <c r="AA272" s="234"/>
    </row>
    <row r="273" ht="14.25" customHeight="1">
      <c r="A273" s="234"/>
      <c r="B273" s="234"/>
      <c r="C273" s="234"/>
      <c r="D273" s="239"/>
      <c r="E273" s="239" t="s">
        <v>1505</v>
      </c>
      <c r="F273" s="234"/>
      <c r="G273" s="234"/>
      <c r="H273" s="234"/>
      <c r="I273" s="234"/>
      <c r="J273" s="234"/>
      <c r="K273" s="234"/>
      <c r="L273" s="234"/>
      <c r="M273" s="234"/>
      <c r="N273" s="234"/>
      <c r="O273" s="234"/>
      <c r="P273" s="234"/>
      <c r="Q273" s="234"/>
      <c r="R273" s="234"/>
      <c r="S273" s="234"/>
      <c r="T273" s="234"/>
      <c r="U273" s="234"/>
      <c r="V273" s="234"/>
      <c r="W273" s="234"/>
      <c r="X273" s="234"/>
      <c r="Y273" s="234"/>
      <c r="Z273" s="234"/>
      <c r="AA273" s="234"/>
    </row>
    <row r="274" ht="14.25" customHeight="1">
      <c r="A274" s="234"/>
      <c r="B274" s="234"/>
      <c r="C274" s="234"/>
      <c r="D274" s="240"/>
      <c r="E274" s="240" t="s">
        <v>1508</v>
      </c>
      <c r="F274" s="234"/>
      <c r="G274" s="234"/>
      <c r="H274" s="234"/>
      <c r="I274" s="234"/>
      <c r="J274" s="234"/>
      <c r="K274" s="234"/>
      <c r="L274" s="234"/>
      <c r="M274" s="234"/>
      <c r="N274" s="234"/>
      <c r="O274" s="234"/>
      <c r="P274" s="234"/>
      <c r="Q274" s="234"/>
      <c r="R274" s="234"/>
      <c r="S274" s="234"/>
      <c r="T274" s="234"/>
      <c r="U274" s="234"/>
      <c r="V274" s="234"/>
      <c r="W274" s="234"/>
      <c r="X274" s="234"/>
      <c r="Y274" s="234"/>
      <c r="Z274" s="234"/>
      <c r="AA274" s="234"/>
    </row>
    <row r="275" ht="14.25" customHeight="1">
      <c r="A275" s="234"/>
      <c r="B275" s="234"/>
      <c r="C275" s="234"/>
      <c r="D275" s="239"/>
      <c r="E275" s="239" t="s">
        <v>1513</v>
      </c>
      <c r="F275" s="234"/>
      <c r="G275" s="234"/>
      <c r="H275" s="234"/>
      <c r="I275" s="234"/>
      <c r="J275" s="234"/>
      <c r="K275" s="234"/>
      <c r="L275" s="234"/>
      <c r="M275" s="234"/>
      <c r="N275" s="234"/>
      <c r="O275" s="234"/>
      <c r="P275" s="234"/>
      <c r="Q275" s="234"/>
      <c r="R275" s="234"/>
      <c r="S275" s="234"/>
      <c r="T275" s="234"/>
      <c r="U275" s="234"/>
      <c r="V275" s="234"/>
      <c r="W275" s="234"/>
      <c r="X275" s="234"/>
      <c r="Y275" s="234"/>
      <c r="Z275" s="234"/>
      <c r="AA275" s="234"/>
    </row>
    <row r="276" ht="14.25" customHeight="1">
      <c r="A276" s="234"/>
      <c r="B276" s="234"/>
      <c r="C276" s="234"/>
      <c r="D276" s="240"/>
      <c r="E276" s="240" t="s">
        <v>1515</v>
      </c>
      <c r="F276" s="234"/>
      <c r="G276" s="234"/>
      <c r="H276" s="234"/>
      <c r="I276" s="234"/>
      <c r="J276" s="234"/>
      <c r="K276" s="234"/>
      <c r="L276" s="234"/>
      <c r="M276" s="234"/>
      <c r="N276" s="234"/>
      <c r="O276" s="234"/>
      <c r="P276" s="234"/>
      <c r="Q276" s="234"/>
      <c r="R276" s="234"/>
      <c r="S276" s="234"/>
      <c r="T276" s="234"/>
      <c r="U276" s="234"/>
      <c r="V276" s="234"/>
      <c r="W276" s="234"/>
      <c r="X276" s="234"/>
      <c r="Y276" s="234"/>
      <c r="Z276" s="234"/>
      <c r="AA276" s="234"/>
    </row>
    <row r="277" ht="14.25" customHeight="1">
      <c r="A277" s="234"/>
      <c r="B277" s="234"/>
      <c r="C277" s="234"/>
      <c r="D277" s="239"/>
      <c r="E277" s="239" t="s">
        <v>1518</v>
      </c>
      <c r="F277" s="234"/>
      <c r="G277" s="234"/>
      <c r="H277" s="234"/>
      <c r="I277" s="234"/>
      <c r="J277" s="234"/>
      <c r="K277" s="234"/>
      <c r="L277" s="234"/>
      <c r="M277" s="234"/>
      <c r="N277" s="234"/>
      <c r="O277" s="234"/>
      <c r="P277" s="234"/>
      <c r="Q277" s="234"/>
      <c r="R277" s="234"/>
      <c r="S277" s="234"/>
      <c r="T277" s="234"/>
      <c r="U277" s="234"/>
      <c r="V277" s="234"/>
      <c r="W277" s="234"/>
      <c r="X277" s="234"/>
      <c r="Y277" s="234"/>
      <c r="Z277" s="234"/>
      <c r="AA277" s="234"/>
    </row>
    <row r="278" ht="14.25" customHeight="1">
      <c r="A278" s="234"/>
      <c r="B278" s="234"/>
      <c r="C278" s="234"/>
      <c r="D278" s="240"/>
      <c r="E278" s="240" t="s">
        <v>1522</v>
      </c>
      <c r="F278" s="234"/>
      <c r="G278" s="234"/>
      <c r="H278" s="234"/>
      <c r="I278" s="234"/>
      <c r="J278" s="234"/>
      <c r="K278" s="234"/>
      <c r="L278" s="234"/>
      <c r="M278" s="234"/>
      <c r="N278" s="234"/>
      <c r="O278" s="234"/>
      <c r="P278" s="234"/>
      <c r="Q278" s="234"/>
      <c r="R278" s="234"/>
      <c r="S278" s="234"/>
      <c r="T278" s="234"/>
      <c r="U278" s="234"/>
      <c r="V278" s="234"/>
      <c r="W278" s="234"/>
      <c r="X278" s="234"/>
      <c r="Y278" s="234"/>
      <c r="Z278" s="234"/>
      <c r="AA278" s="234"/>
    </row>
    <row r="279" ht="14.25" customHeight="1">
      <c r="A279" s="234"/>
      <c r="B279" s="234"/>
      <c r="C279" s="234"/>
      <c r="D279" s="239"/>
      <c r="E279" s="239" t="s">
        <v>1524</v>
      </c>
      <c r="F279" s="234"/>
      <c r="G279" s="234"/>
      <c r="H279" s="234"/>
      <c r="I279" s="234"/>
      <c r="J279" s="234"/>
      <c r="K279" s="234"/>
      <c r="L279" s="234"/>
      <c r="M279" s="234"/>
      <c r="N279" s="234"/>
      <c r="O279" s="234"/>
      <c r="P279" s="234"/>
      <c r="Q279" s="234"/>
      <c r="R279" s="234"/>
      <c r="S279" s="234"/>
      <c r="T279" s="234"/>
      <c r="U279" s="234"/>
      <c r="V279" s="234"/>
      <c r="W279" s="234"/>
      <c r="X279" s="234"/>
      <c r="Y279" s="234"/>
      <c r="Z279" s="234"/>
      <c r="AA279" s="234"/>
    </row>
    <row r="280" ht="14.25" customHeight="1">
      <c r="A280" s="234"/>
      <c r="B280" s="234"/>
      <c r="C280" s="234"/>
      <c r="D280" s="240"/>
      <c r="E280" s="240" t="s">
        <v>1527</v>
      </c>
      <c r="F280" s="234"/>
      <c r="G280" s="234"/>
      <c r="H280" s="234"/>
      <c r="I280" s="234"/>
      <c r="J280" s="234"/>
      <c r="K280" s="234"/>
      <c r="L280" s="234"/>
      <c r="M280" s="234"/>
      <c r="N280" s="234"/>
      <c r="O280" s="234"/>
      <c r="P280" s="234"/>
      <c r="Q280" s="234"/>
      <c r="R280" s="234"/>
      <c r="S280" s="234"/>
      <c r="T280" s="234"/>
      <c r="U280" s="234"/>
      <c r="V280" s="234"/>
      <c r="W280" s="234"/>
      <c r="X280" s="234"/>
      <c r="Y280" s="234"/>
      <c r="Z280" s="234"/>
      <c r="AA280" s="234"/>
    </row>
    <row r="281" ht="14.25" customHeight="1">
      <c r="A281" s="234"/>
      <c r="B281" s="234"/>
      <c r="C281" s="234"/>
      <c r="D281" s="239"/>
      <c r="E281" s="239" t="s">
        <v>1531</v>
      </c>
      <c r="F281" s="234"/>
      <c r="G281" s="234"/>
      <c r="H281" s="234"/>
      <c r="I281" s="234"/>
      <c r="J281" s="234"/>
      <c r="K281" s="234"/>
      <c r="L281" s="234"/>
      <c r="M281" s="234"/>
      <c r="N281" s="234"/>
      <c r="O281" s="234"/>
      <c r="P281" s="234"/>
      <c r="Q281" s="234"/>
      <c r="R281" s="234"/>
      <c r="S281" s="234"/>
      <c r="T281" s="234"/>
      <c r="U281" s="234"/>
      <c r="V281" s="234"/>
      <c r="W281" s="234"/>
      <c r="X281" s="234"/>
      <c r="Y281" s="234"/>
      <c r="Z281" s="234"/>
      <c r="AA281" s="234"/>
    </row>
    <row r="282" ht="14.25" customHeight="1">
      <c r="A282" s="234"/>
      <c r="B282" s="234"/>
      <c r="C282" s="234"/>
      <c r="D282" s="240"/>
      <c r="E282" s="240" t="s">
        <v>1534</v>
      </c>
      <c r="F282" s="234"/>
      <c r="G282" s="234"/>
      <c r="H282" s="234"/>
      <c r="I282" s="234"/>
      <c r="J282" s="234"/>
      <c r="K282" s="234"/>
      <c r="L282" s="234"/>
      <c r="M282" s="234"/>
      <c r="N282" s="234"/>
      <c r="O282" s="234"/>
      <c r="P282" s="234"/>
      <c r="Q282" s="234"/>
      <c r="R282" s="234"/>
      <c r="S282" s="234"/>
      <c r="T282" s="234"/>
      <c r="U282" s="234"/>
      <c r="V282" s="234"/>
      <c r="W282" s="234"/>
      <c r="X282" s="234"/>
      <c r="Y282" s="234"/>
      <c r="Z282" s="234"/>
      <c r="AA282" s="234"/>
    </row>
    <row r="283" ht="14.25" customHeight="1">
      <c r="A283" s="234"/>
      <c r="B283" s="234"/>
      <c r="C283" s="234"/>
      <c r="D283" s="240"/>
      <c r="E283" s="240" t="s">
        <v>850</v>
      </c>
      <c r="F283" s="234"/>
      <c r="G283" s="234"/>
      <c r="H283" s="234"/>
      <c r="I283" s="234"/>
      <c r="J283" s="234"/>
      <c r="K283" s="234"/>
      <c r="L283" s="234"/>
      <c r="M283" s="234"/>
      <c r="N283" s="234"/>
      <c r="O283" s="234"/>
      <c r="P283" s="234"/>
      <c r="Q283" s="234"/>
      <c r="R283" s="234"/>
      <c r="S283" s="234"/>
      <c r="T283" s="234"/>
      <c r="U283" s="234"/>
      <c r="V283" s="234"/>
      <c r="W283" s="234"/>
      <c r="X283" s="234"/>
      <c r="Y283" s="234"/>
      <c r="Z283" s="234"/>
      <c r="AA283" s="234"/>
    </row>
    <row r="284" ht="14.25" customHeight="1">
      <c r="A284" s="234"/>
      <c r="B284" s="234"/>
      <c r="C284" s="234"/>
      <c r="D284" s="239"/>
      <c r="E284" s="239" t="s">
        <v>954</v>
      </c>
      <c r="F284" s="234"/>
      <c r="G284" s="234"/>
      <c r="H284" s="234"/>
      <c r="I284" s="234"/>
      <c r="J284" s="234"/>
      <c r="K284" s="234"/>
      <c r="L284" s="234"/>
      <c r="M284" s="234"/>
      <c r="N284" s="234"/>
      <c r="O284" s="234"/>
      <c r="P284" s="234"/>
      <c r="Q284" s="234"/>
      <c r="R284" s="234"/>
      <c r="S284" s="234"/>
      <c r="T284" s="234"/>
      <c r="U284" s="234"/>
      <c r="V284" s="234"/>
      <c r="W284" s="234"/>
      <c r="X284" s="234"/>
      <c r="Y284" s="234"/>
      <c r="Z284" s="234"/>
      <c r="AA284" s="234"/>
    </row>
    <row r="285" ht="14.25" customHeight="1">
      <c r="A285" s="234"/>
      <c r="B285" s="234"/>
      <c r="C285" s="234"/>
      <c r="D285" s="239"/>
      <c r="E285" s="239" t="s">
        <v>142</v>
      </c>
      <c r="F285" s="234"/>
      <c r="G285" s="234"/>
      <c r="H285" s="234"/>
      <c r="I285" s="234"/>
      <c r="J285" s="234"/>
      <c r="K285" s="234"/>
      <c r="L285" s="234"/>
      <c r="M285" s="234"/>
      <c r="N285" s="234"/>
      <c r="O285" s="234"/>
      <c r="P285" s="234"/>
      <c r="Q285" s="234"/>
      <c r="R285" s="234"/>
      <c r="S285" s="234"/>
      <c r="T285" s="234"/>
      <c r="U285" s="234"/>
      <c r="V285" s="234"/>
      <c r="W285" s="234"/>
      <c r="X285" s="234"/>
      <c r="Y285" s="234"/>
      <c r="Z285" s="234"/>
      <c r="AA285" s="234"/>
    </row>
    <row r="286" ht="14.25" customHeight="1">
      <c r="A286" s="234"/>
      <c r="B286" s="234"/>
      <c r="C286" s="234"/>
      <c r="D286" s="239"/>
      <c r="E286" s="239" t="s">
        <v>989</v>
      </c>
      <c r="F286" s="234"/>
      <c r="G286" s="234"/>
      <c r="H286" s="234"/>
      <c r="I286" s="234"/>
      <c r="J286" s="234"/>
      <c r="K286" s="234"/>
      <c r="L286" s="234"/>
      <c r="M286" s="234"/>
      <c r="N286" s="234"/>
      <c r="O286" s="234"/>
      <c r="P286" s="234"/>
      <c r="Q286" s="234"/>
      <c r="R286" s="234"/>
      <c r="S286" s="234"/>
      <c r="T286" s="234"/>
      <c r="U286" s="234"/>
      <c r="V286" s="234"/>
      <c r="W286" s="234"/>
      <c r="X286" s="234"/>
      <c r="Y286" s="234"/>
      <c r="Z286" s="234"/>
      <c r="AA286" s="234"/>
    </row>
    <row r="287" ht="14.25" customHeight="1">
      <c r="A287" s="234"/>
      <c r="B287" s="234"/>
      <c r="C287" s="234"/>
      <c r="D287" s="240"/>
      <c r="E287" s="240" t="s">
        <v>196</v>
      </c>
      <c r="F287" s="234"/>
      <c r="G287" s="234"/>
      <c r="H287" s="234"/>
      <c r="I287" s="234"/>
      <c r="J287" s="234"/>
      <c r="K287" s="234"/>
      <c r="L287" s="234"/>
      <c r="M287" s="234"/>
      <c r="N287" s="234"/>
      <c r="O287" s="234"/>
      <c r="P287" s="234"/>
      <c r="Q287" s="234"/>
      <c r="R287" s="234"/>
      <c r="S287" s="234"/>
      <c r="T287" s="234"/>
      <c r="U287" s="234"/>
      <c r="V287" s="234"/>
      <c r="W287" s="234"/>
      <c r="X287" s="234"/>
      <c r="Y287" s="234"/>
      <c r="Z287" s="234"/>
      <c r="AA287" s="234"/>
    </row>
    <row r="288" ht="14.25" customHeight="1">
      <c r="A288" s="234"/>
      <c r="B288" s="234"/>
      <c r="C288" s="234"/>
      <c r="D288" s="240"/>
      <c r="E288" s="240" t="s">
        <v>175</v>
      </c>
      <c r="F288" s="234"/>
      <c r="G288" s="234"/>
      <c r="H288" s="234"/>
      <c r="I288" s="234"/>
      <c r="J288" s="234"/>
      <c r="K288" s="234"/>
      <c r="L288" s="234"/>
      <c r="M288" s="234"/>
      <c r="N288" s="234"/>
      <c r="O288" s="234"/>
      <c r="P288" s="234"/>
      <c r="Q288" s="234"/>
      <c r="R288" s="234"/>
      <c r="S288" s="234"/>
      <c r="T288" s="234"/>
      <c r="U288" s="234"/>
      <c r="V288" s="234"/>
      <c r="W288" s="234"/>
      <c r="X288" s="234"/>
      <c r="Y288" s="234"/>
      <c r="Z288" s="234"/>
      <c r="AA288" s="234"/>
    </row>
    <row r="289" ht="14.25" customHeight="1">
      <c r="A289" s="234"/>
      <c r="B289" s="234"/>
      <c r="C289" s="234"/>
      <c r="D289" s="240"/>
      <c r="E289" s="240" t="s">
        <v>1012</v>
      </c>
      <c r="F289" s="234"/>
      <c r="G289" s="234"/>
      <c r="H289" s="234"/>
      <c r="I289" s="234"/>
      <c r="J289" s="234"/>
      <c r="K289" s="234"/>
      <c r="L289" s="234"/>
      <c r="M289" s="234"/>
      <c r="N289" s="234"/>
      <c r="O289" s="234"/>
      <c r="P289" s="234"/>
      <c r="Q289" s="234"/>
      <c r="R289" s="234"/>
      <c r="S289" s="234"/>
      <c r="T289" s="234"/>
      <c r="U289" s="234"/>
      <c r="V289" s="234"/>
      <c r="W289" s="234"/>
      <c r="X289" s="234"/>
      <c r="Y289" s="234"/>
      <c r="Z289" s="234"/>
      <c r="AA289" s="234"/>
    </row>
    <row r="290" ht="14.25" customHeight="1">
      <c r="A290" s="234"/>
      <c r="B290" s="234"/>
      <c r="C290" s="234"/>
      <c r="D290" s="239"/>
      <c r="E290" s="239" t="s">
        <v>969</v>
      </c>
      <c r="F290" s="234"/>
      <c r="G290" s="234"/>
      <c r="H290" s="234"/>
      <c r="I290" s="234"/>
      <c r="J290" s="234"/>
      <c r="K290" s="234"/>
      <c r="L290" s="234"/>
      <c r="M290" s="234"/>
      <c r="N290" s="234"/>
      <c r="O290" s="234"/>
      <c r="P290" s="234"/>
      <c r="Q290" s="234"/>
      <c r="R290" s="234"/>
      <c r="S290" s="234"/>
      <c r="T290" s="234"/>
      <c r="U290" s="234"/>
      <c r="V290" s="234"/>
      <c r="W290" s="234"/>
      <c r="X290" s="234"/>
      <c r="Y290" s="234"/>
      <c r="Z290" s="234"/>
      <c r="AA290" s="234"/>
    </row>
    <row r="291" ht="14.25" customHeight="1">
      <c r="A291" s="234"/>
      <c r="B291" s="234"/>
      <c r="C291" s="234"/>
      <c r="D291" s="240"/>
      <c r="E291" s="240" t="s">
        <v>1195</v>
      </c>
      <c r="F291" s="234"/>
      <c r="G291" s="234"/>
      <c r="H291" s="234"/>
      <c r="I291" s="234"/>
      <c r="J291" s="234"/>
      <c r="K291" s="234"/>
      <c r="L291" s="234"/>
      <c r="M291" s="234"/>
      <c r="N291" s="234"/>
      <c r="O291" s="234"/>
      <c r="P291" s="234"/>
      <c r="Q291" s="234"/>
      <c r="R291" s="234"/>
      <c r="S291" s="234"/>
      <c r="T291" s="234"/>
      <c r="U291" s="234"/>
      <c r="V291" s="234"/>
      <c r="W291" s="234"/>
      <c r="X291" s="234"/>
      <c r="Y291" s="234"/>
      <c r="Z291" s="234"/>
      <c r="AA291" s="234"/>
    </row>
    <row r="292" ht="14.25" customHeight="1">
      <c r="A292" s="234"/>
      <c r="B292" s="234"/>
      <c r="C292" s="234"/>
      <c r="D292" s="240"/>
      <c r="E292" s="240" t="s">
        <v>1418</v>
      </c>
      <c r="F292" s="234"/>
      <c r="G292" s="234"/>
      <c r="H292" s="234"/>
      <c r="I292" s="234"/>
      <c r="J292" s="234"/>
      <c r="K292" s="234"/>
      <c r="L292" s="234"/>
      <c r="M292" s="234"/>
      <c r="N292" s="234"/>
      <c r="O292" s="234"/>
      <c r="P292" s="234"/>
      <c r="Q292" s="234"/>
      <c r="R292" s="234"/>
      <c r="S292" s="234"/>
      <c r="T292" s="234"/>
      <c r="U292" s="234"/>
      <c r="V292" s="234"/>
      <c r="W292" s="234"/>
      <c r="X292" s="234"/>
      <c r="Y292" s="234"/>
      <c r="Z292" s="234"/>
      <c r="AA292" s="234"/>
    </row>
    <row r="293" ht="14.25" customHeight="1">
      <c r="A293" s="234"/>
      <c r="B293" s="234"/>
      <c r="C293" s="234"/>
      <c r="D293" s="240"/>
      <c r="E293" s="240" t="s">
        <v>220</v>
      </c>
      <c r="F293" s="234"/>
      <c r="G293" s="234"/>
      <c r="H293" s="234"/>
      <c r="I293" s="234"/>
      <c r="J293" s="234"/>
      <c r="K293" s="234"/>
      <c r="L293" s="234"/>
      <c r="M293" s="234"/>
      <c r="N293" s="234"/>
      <c r="O293" s="234"/>
      <c r="P293" s="234"/>
      <c r="Q293" s="234"/>
      <c r="R293" s="234"/>
      <c r="S293" s="234"/>
      <c r="T293" s="234"/>
      <c r="U293" s="234"/>
      <c r="V293" s="234"/>
      <c r="W293" s="234"/>
      <c r="X293" s="234"/>
      <c r="Y293" s="234"/>
      <c r="Z293" s="234"/>
      <c r="AA293" s="234"/>
    </row>
    <row r="294" ht="14.25" customHeight="1">
      <c r="A294" s="234"/>
      <c r="B294" s="234"/>
      <c r="C294" s="234"/>
      <c r="D294" s="240"/>
      <c r="E294" s="240" t="s">
        <v>1023</v>
      </c>
      <c r="F294" s="234"/>
      <c r="G294" s="234"/>
      <c r="H294" s="234"/>
      <c r="I294" s="234"/>
      <c r="J294" s="234"/>
      <c r="K294" s="234"/>
      <c r="L294" s="234"/>
      <c r="M294" s="234"/>
      <c r="N294" s="234"/>
      <c r="O294" s="234"/>
      <c r="P294" s="234"/>
      <c r="Q294" s="234"/>
      <c r="R294" s="234"/>
      <c r="S294" s="234"/>
      <c r="T294" s="234"/>
      <c r="U294" s="234"/>
      <c r="V294" s="234"/>
      <c r="W294" s="234"/>
      <c r="X294" s="234"/>
      <c r="Y294" s="234"/>
      <c r="Z294" s="234"/>
      <c r="AA294" s="234"/>
    </row>
    <row r="295" ht="14.25" customHeight="1">
      <c r="A295" s="234"/>
      <c r="B295" s="234"/>
      <c r="C295" s="234"/>
      <c r="D295" s="239"/>
      <c r="E295" s="239" t="s">
        <v>327</v>
      </c>
      <c r="F295" s="234"/>
      <c r="G295" s="234"/>
      <c r="H295" s="234"/>
      <c r="I295" s="234"/>
      <c r="J295" s="234"/>
      <c r="K295" s="234"/>
      <c r="L295" s="234"/>
      <c r="M295" s="234"/>
      <c r="N295" s="234"/>
      <c r="O295" s="234"/>
      <c r="P295" s="234"/>
      <c r="Q295" s="234"/>
      <c r="R295" s="234"/>
      <c r="S295" s="234"/>
      <c r="T295" s="234"/>
      <c r="U295" s="234"/>
      <c r="V295" s="234"/>
      <c r="W295" s="234"/>
      <c r="X295" s="234"/>
      <c r="Y295" s="234"/>
      <c r="Z295" s="234"/>
      <c r="AA295" s="234"/>
    </row>
    <row r="296" ht="14.25" customHeight="1">
      <c r="A296" s="234"/>
      <c r="B296" s="234"/>
      <c r="C296" s="234"/>
      <c r="D296" s="240"/>
      <c r="E296" s="240" t="s">
        <v>743</v>
      </c>
      <c r="F296" s="234"/>
      <c r="G296" s="234"/>
      <c r="H296" s="234"/>
      <c r="I296" s="234"/>
      <c r="J296" s="234"/>
      <c r="K296" s="234"/>
      <c r="L296" s="234"/>
      <c r="M296" s="234"/>
      <c r="N296" s="234"/>
      <c r="O296" s="234"/>
      <c r="P296" s="234"/>
      <c r="Q296" s="234"/>
      <c r="R296" s="234"/>
      <c r="S296" s="234"/>
      <c r="T296" s="234"/>
      <c r="U296" s="234"/>
      <c r="V296" s="234"/>
      <c r="W296" s="234"/>
      <c r="X296" s="234"/>
      <c r="Y296" s="234"/>
      <c r="Z296" s="234"/>
      <c r="AA296" s="234"/>
    </row>
    <row r="297" ht="14.25" customHeight="1">
      <c r="A297" s="234"/>
      <c r="B297" s="234"/>
      <c r="C297" s="234"/>
      <c r="D297" s="239"/>
      <c r="E297" s="239" t="s">
        <v>1538</v>
      </c>
      <c r="F297" s="234"/>
      <c r="G297" s="234"/>
      <c r="H297" s="234"/>
      <c r="I297" s="234"/>
      <c r="J297" s="234"/>
      <c r="K297" s="234"/>
      <c r="L297" s="234"/>
      <c r="M297" s="234"/>
      <c r="N297" s="234"/>
      <c r="O297" s="234"/>
      <c r="P297" s="234"/>
      <c r="Q297" s="234"/>
      <c r="R297" s="234"/>
      <c r="S297" s="234"/>
      <c r="T297" s="234"/>
      <c r="U297" s="234"/>
      <c r="V297" s="234"/>
      <c r="W297" s="234"/>
      <c r="X297" s="234"/>
      <c r="Y297" s="234"/>
      <c r="Z297" s="234"/>
      <c r="AA297" s="234"/>
    </row>
    <row r="298" ht="14.25" customHeight="1">
      <c r="A298" s="234"/>
      <c r="B298" s="234"/>
      <c r="C298" s="234"/>
      <c r="D298" s="240"/>
      <c r="E298" s="240" t="s">
        <v>1541</v>
      </c>
      <c r="F298" s="234"/>
      <c r="G298" s="234"/>
      <c r="H298" s="234"/>
      <c r="I298" s="234"/>
      <c r="J298" s="234"/>
      <c r="K298" s="234"/>
      <c r="L298" s="234"/>
      <c r="M298" s="234"/>
      <c r="N298" s="234"/>
      <c r="O298" s="234"/>
      <c r="P298" s="234"/>
      <c r="Q298" s="234"/>
      <c r="R298" s="234"/>
      <c r="S298" s="234"/>
      <c r="T298" s="234"/>
      <c r="U298" s="234"/>
      <c r="V298" s="234"/>
      <c r="W298" s="234"/>
      <c r="X298" s="234"/>
      <c r="Y298" s="234"/>
      <c r="Z298" s="234"/>
      <c r="AA298" s="234"/>
    </row>
    <row r="299" ht="14.25" customHeight="1">
      <c r="A299" s="234"/>
      <c r="B299" s="234"/>
      <c r="C299" s="234"/>
      <c r="D299" s="239"/>
      <c r="E299" s="239" t="s">
        <v>1610</v>
      </c>
      <c r="F299" s="234"/>
      <c r="G299" s="234"/>
      <c r="H299" s="234"/>
      <c r="I299" s="234"/>
      <c r="J299" s="234"/>
      <c r="K299" s="234"/>
      <c r="L299" s="234"/>
      <c r="M299" s="234"/>
      <c r="N299" s="234"/>
      <c r="O299" s="234"/>
      <c r="P299" s="234"/>
      <c r="Q299" s="234"/>
      <c r="R299" s="234"/>
      <c r="S299" s="234"/>
      <c r="T299" s="234"/>
      <c r="U299" s="234"/>
      <c r="V299" s="234"/>
      <c r="W299" s="234"/>
      <c r="X299" s="234"/>
      <c r="Y299" s="234"/>
      <c r="Z299" s="234"/>
      <c r="AA299" s="234"/>
    </row>
    <row r="300" ht="14.25" customHeight="1">
      <c r="A300" s="234"/>
      <c r="B300" s="234"/>
      <c r="C300" s="234"/>
      <c r="D300" s="240"/>
      <c r="E300" s="240" t="s">
        <v>1544</v>
      </c>
      <c r="F300" s="234"/>
      <c r="G300" s="234"/>
      <c r="H300" s="234"/>
      <c r="I300" s="234"/>
      <c r="J300" s="234"/>
      <c r="K300" s="234"/>
      <c r="L300" s="234"/>
      <c r="M300" s="234"/>
      <c r="N300" s="234"/>
      <c r="O300" s="234"/>
      <c r="P300" s="234"/>
      <c r="Q300" s="234"/>
      <c r="R300" s="234"/>
      <c r="S300" s="234"/>
      <c r="T300" s="234"/>
      <c r="U300" s="234"/>
      <c r="V300" s="234"/>
      <c r="W300" s="234"/>
      <c r="X300" s="234"/>
      <c r="Y300" s="234"/>
      <c r="Z300" s="234"/>
      <c r="AA300" s="234"/>
    </row>
    <row r="301" ht="14.25" customHeight="1">
      <c r="A301" s="234"/>
      <c r="B301" s="234"/>
      <c r="C301" s="234"/>
      <c r="D301" s="240"/>
      <c r="E301" s="240" t="s">
        <v>1296</v>
      </c>
      <c r="F301" s="234"/>
      <c r="G301" s="234"/>
      <c r="H301" s="234"/>
      <c r="I301" s="234"/>
      <c r="J301" s="234"/>
      <c r="K301" s="234"/>
      <c r="L301" s="234"/>
      <c r="M301" s="234"/>
      <c r="N301" s="234"/>
      <c r="O301" s="234"/>
      <c r="P301" s="234"/>
      <c r="Q301" s="234"/>
      <c r="R301" s="234"/>
      <c r="S301" s="234"/>
      <c r="T301" s="234"/>
      <c r="U301" s="234"/>
      <c r="V301" s="234"/>
      <c r="W301" s="234"/>
      <c r="X301" s="234"/>
      <c r="Y301" s="234"/>
      <c r="Z301" s="234"/>
      <c r="AA301" s="234"/>
    </row>
    <row r="302" ht="14.25" customHeight="1">
      <c r="A302" s="234"/>
      <c r="B302" s="234"/>
      <c r="C302" s="234"/>
      <c r="D302" s="239"/>
      <c r="E302" s="239" t="s">
        <v>1551</v>
      </c>
      <c r="F302" s="234"/>
      <c r="G302" s="234"/>
      <c r="H302" s="234"/>
      <c r="I302" s="234"/>
      <c r="J302" s="234"/>
      <c r="K302" s="234"/>
      <c r="L302" s="234"/>
      <c r="M302" s="234"/>
      <c r="N302" s="234"/>
      <c r="O302" s="234"/>
      <c r="P302" s="234"/>
      <c r="Q302" s="234"/>
      <c r="R302" s="234"/>
      <c r="S302" s="234"/>
      <c r="T302" s="234"/>
      <c r="U302" s="234"/>
      <c r="V302" s="234"/>
      <c r="W302" s="234"/>
      <c r="X302" s="234"/>
      <c r="Y302" s="234"/>
      <c r="Z302" s="234"/>
      <c r="AA302" s="234"/>
    </row>
    <row r="303" ht="14.25" customHeight="1">
      <c r="A303" s="234"/>
      <c r="B303" s="234"/>
      <c r="C303" s="234"/>
      <c r="D303" s="240"/>
      <c r="E303" s="240" t="s">
        <v>1559</v>
      </c>
      <c r="F303" s="234"/>
      <c r="G303" s="234"/>
      <c r="H303" s="234"/>
      <c r="I303" s="234"/>
      <c r="J303" s="234"/>
      <c r="K303" s="234"/>
      <c r="L303" s="234"/>
      <c r="M303" s="234"/>
      <c r="N303" s="234"/>
      <c r="O303" s="234"/>
      <c r="P303" s="234"/>
      <c r="Q303" s="234"/>
      <c r="R303" s="234"/>
      <c r="S303" s="234"/>
      <c r="T303" s="234"/>
      <c r="U303" s="234"/>
      <c r="V303" s="234"/>
      <c r="W303" s="234"/>
      <c r="X303" s="234"/>
      <c r="Y303" s="234"/>
      <c r="Z303" s="234"/>
      <c r="AA303" s="234"/>
    </row>
    <row r="304" ht="14.25" customHeight="1">
      <c r="A304" s="234"/>
      <c r="B304" s="234"/>
      <c r="C304" s="234"/>
      <c r="D304" s="239"/>
      <c r="E304" s="239" t="s">
        <v>1565</v>
      </c>
      <c r="F304" s="234"/>
      <c r="G304" s="234"/>
      <c r="H304" s="234"/>
      <c r="I304" s="234"/>
      <c r="J304" s="234"/>
      <c r="K304" s="234"/>
      <c r="L304" s="234"/>
      <c r="M304" s="234"/>
      <c r="N304" s="234"/>
      <c r="O304" s="234"/>
      <c r="P304" s="234"/>
      <c r="Q304" s="234"/>
      <c r="R304" s="234"/>
      <c r="S304" s="234"/>
      <c r="T304" s="234"/>
      <c r="U304" s="234"/>
      <c r="V304" s="234"/>
      <c r="W304" s="234"/>
      <c r="X304" s="234"/>
      <c r="Y304" s="234"/>
      <c r="Z304" s="234"/>
      <c r="AA304" s="234"/>
    </row>
    <row r="305" ht="14.25" customHeight="1">
      <c r="A305" s="234"/>
      <c r="B305" s="234"/>
      <c r="C305" s="234"/>
      <c r="D305" s="240"/>
      <c r="E305" s="240" t="s">
        <v>1567</v>
      </c>
      <c r="F305" s="234"/>
      <c r="G305" s="234"/>
      <c r="H305" s="234"/>
      <c r="I305" s="234"/>
      <c r="J305" s="234"/>
      <c r="K305" s="234"/>
      <c r="L305" s="234"/>
      <c r="M305" s="234"/>
      <c r="N305" s="234"/>
      <c r="O305" s="234"/>
      <c r="P305" s="234"/>
      <c r="Q305" s="234"/>
      <c r="R305" s="234"/>
      <c r="S305" s="234"/>
      <c r="T305" s="234"/>
      <c r="U305" s="234"/>
      <c r="V305" s="234"/>
      <c r="W305" s="234"/>
      <c r="X305" s="234"/>
      <c r="Y305" s="234"/>
      <c r="Z305" s="234"/>
      <c r="AA305" s="234"/>
    </row>
    <row r="306" ht="14.25" customHeight="1">
      <c r="A306" s="234"/>
      <c r="B306" s="234"/>
      <c r="C306" s="234"/>
      <c r="D306" s="239"/>
      <c r="E306" s="239" t="s">
        <v>1570</v>
      </c>
      <c r="F306" s="234"/>
      <c r="G306" s="234"/>
      <c r="H306" s="234"/>
      <c r="I306" s="234"/>
      <c r="J306" s="234"/>
      <c r="K306" s="234"/>
      <c r="L306" s="234"/>
      <c r="M306" s="234"/>
      <c r="N306" s="234"/>
      <c r="O306" s="234"/>
      <c r="P306" s="234"/>
      <c r="Q306" s="234"/>
      <c r="R306" s="234"/>
      <c r="S306" s="234"/>
      <c r="T306" s="234"/>
      <c r="U306" s="234"/>
      <c r="V306" s="234"/>
      <c r="W306" s="234"/>
      <c r="X306" s="234"/>
      <c r="Y306" s="234"/>
      <c r="Z306" s="234"/>
      <c r="AA306" s="234"/>
    </row>
    <row r="307" ht="14.25" customHeight="1">
      <c r="A307" s="234"/>
      <c r="B307" s="234"/>
      <c r="C307" s="234"/>
      <c r="D307" s="239"/>
      <c r="E307" s="239" t="s">
        <v>1577</v>
      </c>
      <c r="F307" s="234"/>
      <c r="G307" s="234"/>
      <c r="H307" s="234"/>
      <c r="I307" s="234"/>
      <c r="J307" s="234"/>
      <c r="K307" s="234"/>
      <c r="L307" s="234"/>
      <c r="M307" s="234"/>
      <c r="N307" s="234"/>
      <c r="O307" s="234"/>
      <c r="P307" s="234"/>
      <c r="Q307" s="234"/>
      <c r="R307" s="234"/>
      <c r="S307" s="234"/>
      <c r="T307" s="234"/>
      <c r="U307" s="234"/>
      <c r="V307" s="234"/>
      <c r="W307" s="234"/>
      <c r="X307" s="234"/>
      <c r="Y307" s="234"/>
      <c r="Z307" s="234"/>
      <c r="AA307" s="234"/>
    </row>
    <row r="308" ht="14.25" customHeight="1">
      <c r="A308" s="234"/>
      <c r="B308" s="234"/>
      <c r="C308" s="234"/>
      <c r="D308" s="240"/>
      <c r="E308" s="240" t="s">
        <v>1583</v>
      </c>
      <c r="F308" s="234"/>
      <c r="G308" s="234"/>
      <c r="H308" s="234"/>
      <c r="I308" s="234"/>
      <c r="J308" s="234"/>
      <c r="K308" s="234"/>
      <c r="L308" s="234"/>
      <c r="M308" s="234"/>
      <c r="N308" s="234"/>
      <c r="O308" s="234"/>
      <c r="P308" s="234"/>
      <c r="Q308" s="234"/>
      <c r="R308" s="234"/>
      <c r="S308" s="234"/>
      <c r="T308" s="234"/>
      <c r="U308" s="234"/>
      <c r="V308" s="234"/>
      <c r="W308" s="234"/>
      <c r="X308" s="234"/>
      <c r="Y308" s="234"/>
      <c r="Z308" s="234"/>
      <c r="AA308" s="234"/>
    </row>
    <row r="309" ht="14.25" customHeight="1">
      <c r="A309" s="234"/>
      <c r="B309" s="234"/>
      <c r="C309" s="234"/>
      <c r="D309" s="239"/>
      <c r="E309" s="239" t="s">
        <v>1583</v>
      </c>
      <c r="F309" s="234"/>
      <c r="G309" s="234"/>
      <c r="H309" s="234"/>
      <c r="I309" s="234"/>
      <c r="J309" s="234"/>
      <c r="K309" s="234"/>
      <c r="L309" s="234"/>
      <c r="M309" s="234"/>
      <c r="N309" s="234"/>
      <c r="O309" s="234"/>
      <c r="P309" s="234"/>
      <c r="Q309" s="234"/>
      <c r="R309" s="234"/>
      <c r="S309" s="234"/>
      <c r="T309" s="234"/>
      <c r="U309" s="234"/>
      <c r="V309" s="234"/>
      <c r="W309" s="234"/>
      <c r="X309" s="234"/>
      <c r="Y309" s="234"/>
      <c r="Z309" s="234"/>
      <c r="AA309" s="234"/>
    </row>
    <row r="310" ht="14.25" customHeight="1">
      <c r="A310" s="234"/>
      <c r="B310" s="234"/>
      <c r="C310" s="234"/>
      <c r="D310" s="240"/>
      <c r="E310" s="240" t="s">
        <v>1594</v>
      </c>
      <c r="F310" s="234"/>
      <c r="G310" s="234"/>
      <c r="H310" s="234"/>
      <c r="I310" s="234"/>
      <c r="J310" s="234"/>
      <c r="K310" s="234"/>
      <c r="L310" s="234"/>
      <c r="M310" s="234"/>
      <c r="N310" s="234"/>
      <c r="O310" s="234"/>
      <c r="P310" s="234"/>
      <c r="Q310" s="234"/>
      <c r="R310" s="234"/>
      <c r="S310" s="234"/>
      <c r="T310" s="234"/>
      <c r="U310" s="234"/>
      <c r="V310" s="234"/>
      <c r="W310" s="234"/>
      <c r="X310" s="234"/>
      <c r="Y310" s="234"/>
      <c r="Z310" s="234"/>
      <c r="AA310" s="234"/>
    </row>
    <row r="311" ht="14.25" customHeight="1">
      <c r="A311" s="234"/>
      <c r="B311" s="234"/>
      <c r="C311" s="234"/>
      <c r="D311" s="239"/>
      <c r="E311" s="239" t="s">
        <v>1600</v>
      </c>
      <c r="F311" s="234"/>
      <c r="G311" s="234"/>
      <c r="H311" s="234"/>
      <c r="I311" s="234"/>
      <c r="J311" s="234"/>
      <c r="K311" s="234"/>
      <c r="L311" s="234"/>
      <c r="M311" s="234"/>
      <c r="N311" s="234"/>
      <c r="O311" s="234"/>
      <c r="P311" s="234"/>
      <c r="Q311" s="234"/>
      <c r="R311" s="234"/>
      <c r="S311" s="234"/>
      <c r="T311" s="234"/>
      <c r="U311" s="234"/>
      <c r="V311" s="234"/>
      <c r="W311" s="234"/>
      <c r="X311" s="234"/>
      <c r="Y311" s="234"/>
      <c r="Z311" s="234"/>
      <c r="AA311" s="234"/>
    </row>
    <row r="312" ht="14.25" customHeight="1">
      <c r="A312" s="234"/>
      <c r="B312" s="234"/>
      <c r="C312" s="234"/>
      <c r="D312" s="240"/>
      <c r="E312" s="240" t="s">
        <v>1603</v>
      </c>
      <c r="F312" s="234"/>
      <c r="G312" s="234"/>
      <c r="H312" s="234"/>
      <c r="I312" s="234"/>
      <c r="J312" s="234"/>
      <c r="K312" s="234"/>
      <c r="L312" s="234"/>
      <c r="M312" s="234"/>
      <c r="N312" s="234"/>
      <c r="O312" s="234"/>
      <c r="P312" s="234"/>
      <c r="Q312" s="234"/>
      <c r="R312" s="234"/>
      <c r="S312" s="234"/>
      <c r="T312" s="234"/>
      <c r="U312" s="234"/>
      <c r="V312" s="234"/>
      <c r="W312" s="234"/>
      <c r="X312" s="234"/>
      <c r="Y312" s="234"/>
      <c r="Z312" s="234"/>
      <c r="AA312" s="234"/>
    </row>
    <row r="313" ht="14.25" customHeight="1">
      <c r="A313" s="234"/>
      <c r="B313" s="234"/>
      <c r="C313" s="234"/>
      <c r="D313" s="239"/>
      <c r="E313" s="239" t="s">
        <v>1608</v>
      </c>
      <c r="F313" s="234"/>
      <c r="G313" s="234"/>
      <c r="H313" s="234"/>
      <c r="I313" s="234"/>
      <c r="J313" s="234"/>
      <c r="K313" s="234"/>
      <c r="L313" s="234"/>
      <c r="M313" s="234"/>
      <c r="N313" s="234"/>
      <c r="O313" s="234"/>
      <c r="P313" s="234"/>
      <c r="Q313" s="234"/>
      <c r="R313" s="234"/>
      <c r="S313" s="234"/>
      <c r="T313" s="234"/>
      <c r="U313" s="234"/>
      <c r="V313" s="234"/>
      <c r="W313" s="234"/>
      <c r="X313" s="234"/>
      <c r="Y313" s="234"/>
      <c r="Z313" s="234"/>
      <c r="AA313" s="234"/>
    </row>
    <row r="314" ht="14.25" customHeight="1">
      <c r="A314" s="234"/>
      <c r="B314" s="234"/>
      <c r="C314" s="234"/>
      <c r="D314" s="240"/>
      <c r="E314" s="240" t="s">
        <v>1613</v>
      </c>
      <c r="F314" s="234"/>
      <c r="G314" s="234"/>
      <c r="H314" s="234"/>
      <c r="I314" s="234"/>
      <c r="J314" s="234"/>
      <c r="K314" s="234"/>
      <c r="L314" s="234"/>
      <c r="M314" s="234"/>
      <c r="N314" s="234"/>
      <c r="O314" s="234"/>
      <c r="P314" s="234"/>
      <c r="Q314" s="234"/>
      <c r="R314" s="234"/>
      <c r="S314" s="234"/>
      <c r="T314" s="234"/>
      <c r="U314" s="234"/>
      <c r="V314" s="234"/>
      <c r="W314" s="234"/>
      <c r="X314" s="234"/>
      <c r="Y314" s="234"/>
      <c r="Z314" s="234"/>
      <c r="AA314" s="234"/>
    </row>
    <row r="315" ht="14.25" customHeight="1">
      <c r="A315" s="234"/>
      <c r="B315" s="234"/>
      <c r="C315" s="234"/>
      <c r="D315" s="239"/>
      <c r="E315" s="239" t="s">
        <v>1615</v>
      </c>
      <c r="F315" s="234"/>
      <c r="G315" s="234"/>
      <c r="H315" s="234"/>
      <c r="I315" s="234"/>
      <c r="J315" s="234"/>
      <c r="K315" s="234"/>
      <c r="L315" s="234"/>
      <c r="M315" s="234"/>
      <c r="N315" s="234"/>
      <c r="O315" s="234"/>
      <c r="P315" s="234"/>
      <c r="Q315" s="234"/>
      <c r="R315" s="234"/>
      <c r="S315" s="234"/>
      <c r="T315" s="234"/>
      <c r="U315" s="234"/>
      <c r="V315" s="234"/>
      <c r="W315" s="234"/>
      <c r="X315" s="234"/>
      <c r="Y315" s="234"/>
      <c r="Z315" s="234"/>
      <c r="AA315" s="234"/>
    </row>
    <row r="316" ht="14.25" customHeight="1">
      <c r="A316" s="234"/>
      <c r="B316" s="234"/>
      <c r="C316" s="234"/>
      <c r="D316" s="240"/>
      <c r="E316" s="240" t="s">
        <v>1617</v>
      </c>
      <c r="F316" s="234"/>
      <c r="G316" s="234"/>
      <c r="H316" s="234"/>
      <c r="I316" s="234"/>
      <c r="J316" s="234"/>
      <c r="K316" s="234"/>
      <c r="L316" s="234"/>
      <c r="M316" s="234"/>
      <c r="N316" s="234"/>
      <c r="O316" s="234"/>
      <c r="P316" s="234"/>
      <c r="Q316" s="234"/>
      <c r="R316" s="234"/>
      <c r="S316" s="234"/>
      <c r="T316" s="234"/>
      <c r="U316" s="234"/>
      <c r="V316" s="234"/>
      <c r="W316" s="234"/>
      <c r="X316" s="234"/>
      <c r="Y316" s="234"/>
      <c r="Z316" s="234"/>
      <c r="AA316" s="234"/>
    </row>
    <row r="317" ht="14.25" customHeight="1">
      <c r="A317" s="234"/>
      <c r="B317" s="234"/>
      <c r="C317" s="234"/>
      <c r="D317" s="239"/>
      <c r="E317" s="239" t="s">
        <v>1621</v>
      </c>
      <c r="F317" s="234"/>
      <c r="G317" s="234"/>
      <c r="H317" s="234"/>
      <c r="I317" s="234"/>
      <c r="J317" s="234"/>
      <c r="K317" s="234"/>
      <c r="L317" s="234"/>
      <c r="M317" s="234"/>
      <c r="N317" s="234"/>
      <c r="O317" s="234"/>
      <c r="P317" s="234"/>
      <c r="Q317" s="234"/>
      <c r="R317" s="234"/>
      <c r="S317" s="234"/>
      <c r="T317" s="234"/>
      <c r="U317" s="234"/>
      <c r="V317" s="234"/>
      <c r="W317" s="234"/>
      <c r="X317" s="234"/>
      <c r="Y317" s="234"/>
      <c r="Z317" s="234"/>
      <c r="AA317" s="234"/>
    </row>
    <row r="318" ht="14.25" customHeight="1">
      <c r="A318" s="234"/>
      <c r="B318" s="234"/>
      <c r="C318" s="234"/>
      <c r="D318" s="240"/>
      <c r="E318" s="240" t="s">
        <v>1629</v>
      </c>
      <c r="F318" s="234"/>
      <c r="G318" s="234"/>
      <c r="H318" s="234"/>
      <c r="I318" s="234"/>
      <c r="J318" s="234"/>
      <c r="K318" s="234"/>
      <c r="L318" s="234"/>
      <c r="M318" s="234"/>
      <c r="N318" s="234"/>
      <c r="O318" s="234"/>
      <c r="P318" s="234"/>
      <c r="Q318" s="234"/>
      <c r="R318" s="234"/>
      <c r="S318" s="234"/>
      <c r="T318" s="234"/>
      <c r="U318" s="234"/>
      <c r="V318" s="234"/>
      <c r="W318" s="234"/>
      <c r="X318" s="234"/>
      <c r="Y318" s="234"/>
      <c r="Z318" s="234"/>
      <c r="AA318" s="234"/>
    </row>
    <row r="319" ht="14.25" customHeight="1">
      <c r="A319" s="234"/>
      <c r="B319" s="234"/>
      <c r="C319" s="234"/>
      <c r="D319" s="239"/>
      <c r="E319" s="239" t="s">
        <v>1640</v>
      </c>
      <c r="F319" s="234"/>
      <c r="G319" s="234"/>
      <c r="H319" s="234"/>
      <c r="I319" s="234"/>
      <c r="J319" s="234"/>
      <c r="K319" s="234"/>
      <c r="L319" s="234"/>
      <c r="M319" s="234"/>
      <c r="N319" s="234"/>
      <c r="O319" s="234"/>
      <c r="P319" s="234"/>
      <c r="Q319" s="234"/>
      <c r="R319" s="234"/>
      <c r="S319" s="234"/>
      <c r="T319" s="234"/>
      <c r="U319" s="234"/>
      <c r="V319" s="234"/>
      <c r="W319" s="234"/>
      <c r="X319" s="234"/>
      <c r="Y319" s="234"/>
      <c r="Z319" s="234"/>
      <c r="AA319" s="234"/>
    </row>
    <row r="320" ht="14.25" customHeight="1">
      <c r="A320" s="234"/>
      <c r="B320" s="234"/>
      <c r="C320" s="234"/>
      <c r="D320" s="240"/>
      <c r="E320" s="240" t="s">
        <v>605</v>
      </c>
      <c r="F320" s="234"/>
      <c r="G320" s="234"/>
      <c r="H320" s="234"/>
      <c r="I320" s="234"/>
      <c r="J320" s="234"/>
      <c r="K320" s="234"/>
      <c r="L320" s="234"/>
      <c r="M320" s="234"/>
      <c r="N320" s="234"/>
      <c r="O320" s="234"/>
      <c r="P320" s="234"/>
      <c r="Q320" s="234"/>
      <c r="R320" s="234"/>
      <c r="S320" s="234"/>
      <c r="T320" s="234"/>
      <c r="U320" s="234"/>
      <c r="V320" s="234"/>
      <c r="W320" s="234"/>
      <c r="X320" s="234"/>
      <c r="Y320" s="234"/>
      <c r="Z320" s="234"/>
      <c r="AA320" s="234"/>
    </row>
    <row r="321" ht="14.25" customHeight="1">
      <c r="A321" s="234"/>
      <c r="B321" s="234"/>
      <c r="C321" s="234"/>
      <c r="D321" s="239"/>
      <c r="E321" s="239" t="s">
        <v>1648</v>
      </c>
      <c r="F321" s="234"/>
      <c r="G321" s="234"/>
      <c r="H321" s="234"/>
      <c r="I321" s="234"/>
      <c r="J321" s="234"/>
      <c r="K321" s="234"/>
      <c r="L321" s="234"/>
      <c r="M321" s="234"/>
      <c r="N321" s="234"/>
      <c r="O321" s="234"/>
      <c r="P321" s="234"/>
      <c r="Q321" s="234"/>
      <c r="R321" s="234"/>
      <c r="S321" s="234"/>
      <c r="T321" s="234"/>
      <c r="U321" s="234"/>
      <c r="V321" s="234"/>
      <c r="W321" s="234"/>
      <c r="X321" s="234"/>
      <c r="Y321" s="234"/>
      <c r="Z321" s="234"/>
      <c r="AA321" s="234"/>
    </row>
    <row r="322" ht="14.25" customHeight="1">
      <c r="A322" s="234"/>
      <c r="B322" s="234"/>
      <c r="C322" s="234"/>
      <c r="D322" s="239"/>
      <c r="E322" s="239" t="s">
        <v>402</v>
      </c>
      <c r="F322" s="234"/>
      <c r="G322" s="234"/>
      <c r="H322" s="234"/>
      <c r="I322" s="234"/>
      <c r="J322" s="234"/>
      <c r="K322" s="234"/>
      <c r="L322" s="234"/>
      <c r="M322" s="234"/>
      <c r="N322" s="234"/>
      <c r="O322" s="234"/>
      <c r="P322" s="234"/>
      <c r="Q322" s="234"/>
      <c r="R322" s="234"/>
      <c r="S322" s="234"/>
      <c r="T322" s="234"/>
      <c r="U322" s="234"/>
      <c r="V322" s="234"/>
      <c r="W322" s="234"/>
      <c r="X322" s="234"/>
      <c r="Y322" s="234"/>
      <c r="Z322" s="234"/>
      <c r="AA322" s="234"/>
    </row>
    <row r="323" ht="14.25" customHeight="1">
      <c r="A323" s="234"/>
      <c r="B323" s="234"/>
      <c r="C323" s="234"/>
      <c r="D323" s="240"/>
      <c r="E323" s="240" t="s">
        <v>1653</v>
      </c>
      <c r="F323" s="234"/>
      <c r="G323" s="234"/>
      <c r="H323" s="234"/>
      <c r="I323" s="234"/>
      <c r="J323" s="234"/>
      <c r="K323" s="234"/>
      <c r="L323" s="234"/>
      <c r="M323" s="234"/>
      <c r="N323" s="234"/>
      <c r="O323" s="234"/>
      <c r="P323" s="234"/>
      <c r="Q323" s="234"/>
      <c r="R323" s="234"/>
      <c r="S323" s="234"/>
      <c r="T323" s="234"/>
      <c r="U323" s="234"/>
      <c r="V323" s="234"/>
      <c r="W323" s="234"/>
      <c r="X323" s="234"/>
      <c r="Y323" s="234"/>
      <c r="Z323" s="234"/>
      <c r="AA323" s="234"/>
    </row>
    <row r="324" ht="14.25" customHeight="1">
      <c r="A324" s="234"/>
      <c r="B324" s="234"/>
      <c r="C324" s="234"/>
      <c r="D324" s="239"/>
      <c r="E324" s="239" t="s">
        <v>1659</v>
      </c>
      <c r="F324" s="234"/>
      <c r="G324" s="234"/>
      <c r="H324" s="234"/>
      <c r="I324" s="234"/>
      <c r="J324" s="234"/>
      <c r="K324" s="234"/>
      <c r="L324" s="234"/>
      <c r="M324" s="234"/>
      <c r="N324" s="234"/>
      <c r="O324" s="234"/>
      <c r="P324" s="234"/>
      <c r="Q324" s="234"/>
      <c r="R324" s="234"/>
      <c r="S324" s="234"/>
      <c r="T324" s="234"/>
      <c r="U324" s="234"/>
      <c r="V324" s="234"/>
      <c r="W324" s="234"/>
      <c r="X324" s="234"/>
      <c r="Y324" s="234"/>
      <c r="Z324" s="234"/>
      <c r="AA324" s="234"/>
    </row>
    <row r="325" ht="14.25" customHeight="1">
      <c r="A325" s="234"/>
      <c r="B325" s="234"/>
      <c r="C325" s="234"/>
      <c r="D325" s="240"/>
      <c r="E325" s="240" t="s">
        <v>1663</v>
      </c>
      <c r="F325" s="234"/>
      <c r="G325" s="234"/>
      <c r="H325" s="234"/>
      <c r="I325" s="234"/>
      <c r="J325" s="234"/>
      <c r="K325" s="234"/>
      <c r="L325" s="234"/>
      <c r="M325" s="234"/>
      <c r="N325" s="234"/>
      <c r="O325" s="234"/>
      <c r="P325" s="234"/>
      <c r="Q325" s="234"/>
      <c r="R325" s="234"/>
      <c r="S325" s="234"/>
      <c r="T325" s="234"/>
      <c r="U325" s="234"/>
      <c r="V325" s="234"/>
      <c r="W325" s="234"/>
      <c r="X325" s="234"/>
      <c r="Y325" s="234"/>
      <c r="Z325" s="234"/>
      <c r="AA325" s="234"/>
    </row>
    <row r="326" ht="14.25" customHeight="1">
      <c r="A326" s="234"/>
      <c r="B326" s="234"/>
      <c r="C326" s="234"/>
      <c r="D326" s="239"/>
      <c r="E326" s="239" t="s">
        <v>1665</v>
      </c>
      <c r="F326" s="234"/>
      <c r="G326" s="234"/>
      <c r="H326" s="234"/>
      <c r="I326" s="234"/>
      <c r="J326" s="234"/>
      <c r="K326" s="234"/>
      <c r="L326" s="234"/>
      <c r="M326" s="234"/>
      <c r="N326" s="234"/>
      <c r="O326" s="234"/>
      <c r="P326" s="234"/>
      <c r="Q326" s="234"/>
      <c r="R326" s="234"/>
      <c r="S326" s="234"/>
      <c r="T326" s="234"/>
      <c r="U326" s="234"/>
      <c r="V326" s="234"/>
      <c r="W326" s="234"/>
      <c r="X326" s="234"/>
      <c r="Y326" s="234"/>
      <c r="Z326" s="234"/>
      <c r="AA326" s="234"/>
    </row>
    <row r="327" ht="14.25" customHeight="1">
      <c r="A327" s="234"/>
      <c r="B327" s="234"/>
      <c r="C327" s="234"/>
      <c r="D327" s="240"/>
      <c r="E327" s="240" t="s">
        <v>1667</v>
      </c>
      <c r="F327" s="234"/>
      <c r="G327" s="234"/>
      <c r="H327" s="234"/>
      <c r="I327" s="234"/>
      <c r="J327" s="234"/>
      <c r="K327" s="234"/>
      <c r="L327" s="234"/>
      <c r="M327" s="234"/>
      <c r="N327" s="234"/>
      <c r="O327" s="234"/>
      <c r="P327" s="234"/>
      <c r="Q327" s="234"/>
      <c r="R327" s="234"/>
      <c r="S327" s="234"/>
      <c r="T327" s="234"/>
      <c r="U327" s="234"/>
      <c r="V327" s="234"/>
      <c r="W327" s="234"/>
      <c r="X327" s="234"/>
      <c r="Y327" s="234"/>
      <c r="Z327" s="234"/>
      <c r="AA327" s="234"/>
    </row>
    <row r="328" ht="14.25" customHeight="1">
      <c r="A328" s="234"/>
      <c r="B328" s="234"/>
      <c r="C328" s="234"/>
      <c r="D328" s="239"/>
      <c r="E328" s="239" t="s">
        <v>1674</v>
      </c>
      <c r="F328" s="234"/>
      <c r="G328" s="234"/>
      <c r="H328" s="234"/>
      <c r="I328" s="234"/>
      <c r="J328" s="234"/>
      <c r="K328" s="234"/>
      <c r="L328" s="234"/>
      <c r="M328" s="234"/>
      <c r="N328" s="234"/>
      <c r="O328" s="234"/>
      <c r="P328" s="234"/>
      <c r="Q328" s="234"/>
      <c r="R328" s="234"/>
      <c r="S328" s="234"/>
      <c r="T328" s="234"/>
      <c r="U328" s="234"/>
      <c r="V328" s="234"/>
      <c r="W328" s="234"/>
      <c r="X328" s="234"/>
      <c r="Y328" s="234"/>
      <c r="Z328" s="234"/>
      <c r="AA328" s="234"/>
    </row>
    <row r="329" ht="14.25" customHeight="1">
      <c r="A329" s="234"/>
      <c r="B329" s="234"/>
      <c r="C329" s="234"/>
      <c r="D329" s="240"/>
      <c r="E329" s="240" t="s">
        <v>1681</v>
      </c>
      <c r="F329" s="234"/>
      <c r="G329" s="234"/>
      <c r="H329" s="234"/>
      <c r="I329" s="234"/>
      <c r="J329" s="234"/>
      <c r="K329" s="234"/>
      <c r="L329" s="234"/>
      <c r="M329" s="234"/>
      <c r="N329" s="234"/>
      <c r="O329" s="234"/>
      <c r="P329" s="234"/>
      <c r="Q329" s="234"/>
      <c r="R329" s="234"/>
      <c r="S329" s="234"/>
      <c r="T329" s="234"/>
      <c r="U329" s="234"/>
      <c r="V329" s="234"/>
      <c r="W329" s="234"/>
      <c r="X329" s="234"/>
      <c r="Y329" s="234"/>
      <c r="Z329" s="234"/>
      <c r="AA329" s="234"/>
    </row>
    <row r="330" ht="14.25" customHeight="1">
      <c r="A330" s="234"/>
      <c r="B330" s="234"/>
      <c r="C330" s="234"/>
      <c r="D330" s="239"/>
      <c r="E330" s="239" t="s">
        <v>1684</v>
      </c>
      <c r="F330" s="234"/>
      <c r="G330" s="234"/>
      <c r="H330" s="234"/>
      <c r="I330" s="234"/>
      <c r="J330" s="234"/>
      <c r="K330" s="234"/>
      <c r="L330" s="234"/>
      <c r="M330" s="234"/>
      <c r="N330" s="234"/>
      <c r="O330" s="234"/>
      <c r="P330" s="234"/>
      <c r="Q330" s="234"/>
      <c r="R330" s="234"/>
      <c r="S330" s="234"/>
      <c r="T330" s="234"/>
      <c r="U330" s="234"/>
      <c r="V330" s="234"/>
      <c r="W330" s="234"/>
      <c r="X330" s="234"/>
      <c r="Y330" s="234"/>
      <c r="Z330" s="234"/>
      <c r="AA330" s="234"/>
    </row>
    <row r="331" ht="14.25" customHeight="1">
      <c r="A331" s="234"/>
      <c r="B331" s="234"/>
      <c r="C331" s="234"/>
      <c r="D331" s="240"/>
      <c r="E331" s="240" t="s">
        <v>1687</v>
      </c>
      <c r="F331" s="234"/>
      <c r="G331" s="234"/>
      <c r="H331" s="234"/>
      <c r="I331" s="234"/>
      <c r="J331" s="234"/>
      <c r="K331" s="234"/>
      <c r="L331" s="234"/>
      <c r="M331" s="234"/>
      <c r="N331" s="234"/>
      <c r="O331" s="234"/>
      <c r="P331" s="234"/>
      <c r="Q331" s="234"/>
      <c r="R331" s="234"/>
      <c r="S331" s="234"/>
      <c r="T331" s="234"/>
      <c r="U331" s="234"/>
      <c r="V331" s="234"/>
      <c r="W331" s="234"/>
      <c r="X331" s="234"/>
      <c r="Y331" s="234"/>
      <c r="Z331" s="234"/>
      <c r="AA331" s="234"/>
    </row>
    <row r="332" ht="14.25" customHeight="1">
      <c r="A332" s="234"/>
      <c r="B332" s="234"/>
      <c r="C332" s="234"/>
      <c r="D332" s="240"/>
      <c r="E332" s="240" t="s">
        <v>1133</v>
      </c>
      <c r="F332" s="234"/>
      <c r="G332" s="234"/>
      <c r="H332" s="234"/>
      <c r="I332" s="234"/>
      <c r="J332" s="234"/>
      <c r="K332" s="234"/>
      <c r="L332" s="234"/>
      <c r="M332" s="234"/>
      <c r="N332" s="234"/>
      <c r="O332" s="234"/>
      <c r="P332" s="234"/>
      <c r="Q332" s="234"/>
      <c r="R332" s="234"/>
      <c r="S332" s="234"/>
      <c r="T332" s="234"/>
      <c r="U332" s="234"/>
      <c r="V332" s="234"/>
      <c r="W332" s="234"/>
      <c r="X332" s="234"/>
      <c r="Y332" s="234"/>
      <c r="Z332" s="234"/>
      <c r="AA332" s="234"/>
    </row>
    <row r="333" ht="14.25" customHeight="1">
      <c r="A333" s="234"/>
      <c r="B333" s="234"/>
      <c r="C333" s="234"/>
      <c r="D333" s="239"/>
      <c r="E333" s="239" t="s">
        <v>1691</v>
      </c>
      <c r="F333" s="234"/>
      <c r="G333" s="234"/>
      <c r="H333" s="234"/>
      <c r="I333" s="234"/>
      <c r="J333" s="234"/>
      <c r="K333" s="234"/>
      <c r="L333" s="234"/>
      <c r="M333" s="234"/>
      <c r="N333" s="234"/>
      <c r="O333" s="234"/>
      <c r="P333" s="234"/>
      <c r="Q333" s="234"/>
      <c r="R333" s="234"/>
      <c r="S333" s="234"/>
      <c r="T333" s="234"/>
      <c r="U333" s="234"/>
      <c r="V333" s="234"/>
      <c r="W333" s="234"/>
      <c r="X333" s="234"/>
      <c r="Y333" s="234"/>
      <c r="Z333" s="234"/>
      <c r="AA333" s="234"/>
    </row>
    <row r="334" ht="14.25" customHeight="1">
      <c r="A334" s="234"/>
      <c r="B334" s="234"/>
      <c r="C334" s="234"/>
      <c r="D334" s="240"/>
      <c r="E334" s="240" t="s">
        <v>1500</v>
      </c>
      <c r="F334" s="234"/>
      <c r="G334" s="234"/>
      <c r="H334" s="234"/>
      <c r="I334" s="234"/>
      <c r="J334" s="234"/>
      <c r="K334" s="234"/>
      <c r="L334" s="234"/>
      <c r="M334" s="234"/>
      <c r="N334" s="234"/>
      <c r="O334" s="234"/>
      <c r="P334" s="234"/>
      <c r="Q334" s="234"/>
      <c r="R334" s="234"/>
      <c r="S334" s="234"/>
      <c r="T334" s="234"/>
      <c r="U334" s="234"/>
      <c r="V334" s="234"/>
      <c r="W334" s="234"/>
      <c r="X334" s="234"/>
      <c r="Y334" s="234"/>
      <c r="Z334" s="234"/>
      <c r="AA334" s="234"/>
    </row>
    <row r="335" ht="14.25" customHeight="1">
      <c r="A335" s="234"/>
      <c r="B335" s="234"/>
      <c r="C335" s="234"/>
      <c r="D335" s="240"/>
      <c r="E335" s="240" t="s">
        <v>1500</v>
      </c>
      <c r="F335" s="234"/>
      <c r="G335" s="234"/>
      <c r="H335" s="234"/>
      <c r="I335" s="234"/>
      <c r="J335" s="234"/>
      <c r="K335" s="234"/>
      <c r="L335" s="234"/>
      <c r="M335" s="234"/>
      <c r="N335" s="234"/>
      <c r="O335" s="234"/>
      <c r="P335" s="234"/>
      <c r="Q335" s="234"/>
      <c r="R335" s="234"/>
      <c r="S335" s="234"/>
      <c r="T335" s="234"/>
      <c r="U335" s="234"/>
      <c r="V335" s="234"/>
      <c r="W335" s="234"/>
      <c r="X335" s="234"/>
      <c r="Y335" s="234"/>
      <c r="Z335" s="234"/>
      <c r="AA335" s="234"/>
    </row>
    <row r="336" ht="14.25" customHeight="1">
      <c r="A336" s="234"/>
      <c r="B336" s="234"/>
      <c r="C336" s="234"/>
      <c r="D336" s="239"/>
      <c r="E336" s="239" t="s">
        <v>1705</v>
      </c>
      <c r="F336" s="234"/>
      <c r="G336" s="234"/>
      <c r="H336" s="234"/>
      <c r="I336" s="234"/>
      <c r="J336" s="234"/>
      <c r="K336" s="234"/>
      <c r="L336" s="234"/>
      <c r="M336" s="234"/>
      <c r="N336" s="234"/>
      <c r="O336" s="234"/>
      <c r="P336" s="234"/>
      <c r="Q336" s="234"/>
      <c r="R336" s="234"/>
      <c r="S336" s="234"/>
      <c r="T336" s="234"/>
      <c r="U336" s="234"/>
      <c r="V336" s="234"/>
      <c r="W336" s="234"/>
      <c r="X336" s="234"/>
      <c r="Y336" s="234"/>
      <c r="Z336" s="234"/>
      <c r="AA336" s="234"/>
    </row>
    <row r="337" ht="14.25" customHeight="1">
      <c r="A337" s="234"/>
      <c r="B337" s="234"/>
      <c r="C337" s="234"/>
      <c r="D337" s="240"/>
      <c r="E337" s="240" t="s">
        <v>1711</v>
      </c>
      <c r="F337" s="234"/>
      <c r="G337" s="234"/>
      <c r="H337" s="234"/>
      <c r="I337" s="234"/>
      <c r="J337" s="234"/>
      <c r="K337" s="234"/>
      <c r="L337" s="234"/>
      <c r="M337" s="234"/>
      <c r="N337" s="234"/>
      <c r="O337" s="234"/>
      <c r="P337" s="234"/>
      <c r="Q337" s="234"/>
      <c r="R337" s="234"/>
      <c r="S337" s="234"/>
      <c r="T337" s="234"/>
      <c r="U337" s="234"/>
      <c r="V337" s="234"/>
      <c r="W337" s="234"/>
      <c r="X337" s="234"/>
      <c r="Y337" s="234"/>
      <c r="Z337" s="234"/>
      <c r="AA337" s="234"/>
    </row>
    <row r="338" ht="14.25" customHeight="1">
      <c r="A338" s="234"/>
      <c r="B338" s="234"/>
      <c r="C338" s="234"/>
      <c r="D338" s="239"/>
      <c r="E338" s="239" t="s">
        <v>1718</v>
      </c>
      <c r="F338" s="234"/>
      <c r="G338" s="234"/>
      <c r="H338" s="234"/>
      <c r="I338" s="234"/>
      <c r="J338" s="234"/>
      <c r="K338" s="234"/>
      <c r="L338" s="234"/>
      <c r="M338" s="234"/>
      <c r="N338" s="234"/>
      <c r="O338" s="234"/>
      <c r="P338" s="234"/>
      <c r="Q338" s="234"/>
      <c r="R338" s="234"/>
      <c r="S338" s="234"/>
      <c r="T338" s="234"/>
      <c r="U338" s="234"/>
      <c r="V338" s="234"/>
      <c r="W338" s="234"/>
      <c r="X338" s="234"/>
      <c r="Y338" s="234"/>
      <c r="Z338" s="234"/>
      <c r="AA338" s="234"/>
    </row>
    <row r="339" ht="14.25" customHeight="1">
      <c r="A339" s="234"/>
      <c r="B339" s="234"/>
      <c r="C339" s="234"/>
      <c r="D339" s="239"/>
      <c r="E339" s="239" t="s">
        <v>1347</v>
      </c>
      <c r="F339" s="234"/>
      <c r="G339" s="234"/>
      <c r="H339" s="234"/>
      <c r="I339" s="234"/>
      <c r="J339" s="234"/>
      <c r="K339" s="234"/>
      <c r="L339" s="234"/>
      <c r="M339" s="234"/>
      <c r="N339" s="234"/>
      <c r="O339" s="234"/>
      <c r="P339" s="234"/>
      <c r="Q339" s="234"/>
      <c r="R339" s="234"/>
      <c r="S339" s="234"/>
      <c r="T339" s="234"/>
      <c r="U339" s="234"/>
      <c r="V339" s="234"/>
      <c r="W339" s="234"/>
      <c r="X339" s="234"/>
      <c r="Y339" s="234"/>
      <c r="Z339" s="234"/>
      <c r="AA339" s="234"/>
    </row>
    <row r="340" ht="14.25" customHeight="1">
      <c r="A340" s="234"/>
      <c r="B340" s="234"/>
      <c r="C340" s="234"/>
      <c r="D340" s="240"/>
      <c r="E340" s="240" t="s">
        <v>1731</v>
      </c>
      <c r="F340" s="234"/>
      <c r="G340" s="234"/>
      <c r="H340" s="234"/>
      <c r="I340" s="234"/>
      <c r="J340" s="234"/>
      <c r="K340" s="234"/>
      <c r="L340" s="234"/>
      <c r="M340" s="234"/>
      <c r="N340" s="234"/>
      <c r="O340" s="234"/>
      <c r="P340" s="234"/>
      <c r="Q340" s="234"/>
      <c r="R340" s="234"/>
      <c r="S340" s="234"/>
      <c r="T340" s="234"/>
      <c r="U340" s="234"/>
      <c r="V340" s="234"/>
      <c r="W340" s="234"/>
      <c r="X340" s="234"/>
      <c r="Y340" s="234"/>
      <c r="Z340" s="234"/>
      <c r="AA340" s="234"/>
    </row>
    <row r="341" ht="14.25" customHeight="1">
      <c r="A341" s="234"/>
      <c r="B341" s="234"/>
      <c r="C341" s="234"/>
      <c r="D341" s="239"/>
      <c r="E341" s="239" t="s">
        <v>1737</v>
      </c>
      <c r="F341" s="234"/>
      <c r="G341" s="234"/>
      <c r="H341" s="234"/>
      <c r="I341" s="234"/>
      <c r="J341" s="234"/>
      <c r="K341" s="234"/>
      <c r="L341" s="234"/>
      <c r="M341" s="234"/>
      <c r="N341" s="234"/>
      <c r="O341" s="234"/>
      <c r="P341" s="234"/>
      <c r="Q341" s="234"/>
      <c r="R341" s="234"/>
      <c r="S341" s="234"/>
      <c r="T341" s="234"/>
      <c r="U341" s="234"/>
      <c r="V341" s="234"/>
      <c r="W341" s="234"/>
      <c r="X341" s="234"/>
      <c r="Y341" s="234"/>
      <c r="Z341" s="234"/>
      <c r="AA341" s="234"/>
    </row>
    <row r="342" ht="14.25" customHeight="1">
      <c r="A342" s="234"/>
      <c r="B342" s="234"/>
      <c r="C342" s="234"/>
      <c r="D342" s="240"/>
      <c r="E342" s="240" t="s">
        <v>1740</v>
      </c>
      <c r="F342" s="234"/>
      <c r="G342" s="234"/>
      <c r="H342" s="234"/>
      <c r="I342" s="234"/>
      <c r="J342" s="234"/>
      <c r="K342" s="234"/>
      <c r="L342" s="234"/>
      <c r="M342" s="234"/>
      <c r="N342" s="234"/>
      <c r="O342" s="234"/>
      <c r="P342" s="234"/>
      <c r="Q342" s="234"/>
      <c r="R342" s="234"/>
      <c r="S342" s="234"/>
      <c r="T342" s="234"/>
      <c r="U342" s="234"/>
      <c r="V342" s="234"/>
      <c r="W342" s="234"/>
      <c r="X342" s="234"/>
      <c r="Y342" s="234"/>
      <c r="Z342" s="234"/>
      <c r="AA342" s="234"/>
    </row>
    <row r="343" ht="14.25" customHeight="1">
      <c r="A343" s="234"/>
      <c r="B343" s="234"/>
      <c r="C343" s="234"/>
      <c r="D343" s="239"/>
      <c r="E343" s="239" t="s">
        <v>1744</v>
      </c>
      <c r="F343" s="234"/>
      <c r="G343" s="234"/>
      <c r="H343" s="234"/>
      <c r="I343" s="234"/>
      <c r="J343" s="234"/>
      <c r="K343" s="234"/>
      <c r="L343" s="234"/>
      <c r="M343" s="234"/>
      <c r="N343" s="234"/>
      <c r="O343" s="234"/>
      <c r="P343" s="234"/>
      <c r="Q343" s="234"/>
      <c r="R343" s="234"/>
      <c r="S343" s="234"/>
      <c r="T343" s="234"/>
      <c r="U343" s="234"/>
      <c r="V343" s="234"/>
      <c r="W343" s="234"/>
      <c r="X343" s="234"/>
      <c r="Y343" s="234"/>
      <c r="Z343" s="234"/>
      <c r="AA343" s="234"/>
    </row>
    <row r="344" ht="14.25" customHeight="1">
      <c r="A344" s="234"/>
      <c r="B344" s="234"/>
      <c r="C344" s="234"/>
      <c r="D344" s="240"/>
      <c r="E344" s="240" t="s">
        <v>972</v>
      </c>
      <c r="F344" s="234"/>
      <c r="G344" s="234"/>
      <c r="H344" s="234"/>
      <c r="I344" s="234"/>
      <c r="J344" s="234"/>
      <c r="K344" s="234"/>
      <c r="L344" s="234"/>
      <c r="M344" s="234"/>
      <c r="N344" s="234"/>
      <c r="O344" s="234"/>
      <c r="P344" s="234"/>
      <c r="Q344" s="234"/>
      <c r="R344" s="234"/>
      <c r="S344" s="234"/>
      <c r="T344" s="234"/>
      <c r="U344" s="234"/>
      <c r="V344" s="234"/>
      <c r="W344" s="234"/>
      <c r="X344" s="234"/>
      <c r="Y344" s="234"/>
      <c r="Z344" s="234"/>
      <c r="AA344" s="234"/>
    </row>
    <row r="345" ht="14.25" customHeight="1">
      <c r="A345" s="234"/>
      <c r="B345" s="234"/>
      <c r="C345" s="234"/>
      <c r="D345" s="239"/>
      <c r="E345" s="239" t="s">
        <v>1574</v>
      </c>
      <c r="F345" s="234"/>
      <c r="G345" s="234"/>
      <c r="H345" s="234"/>
      <c r="I345" s="234"/>
      <c r="J345" s="234"/>
      <c r="K345" s="234"/>
      <c r="L345" s="234"/>
      <c r="M345" s="234"/>
      <c r="N345" s="234"/>
      <c r="O345" s="234"/>
      <c r="P345" s="234"/>
      <c r="Q345" s="234"/>
      <c r="R345" s="234"/>
      <c r="S345" s="234"/>
      <c r="T345" s="234"/>
      <c r="U345" s="234"/>
      <c r="V345" s="234"/>
      <c r="W345" s="234"/>
      <c r="X345" s="234"/>
      <c r="Y345" s="234"/>
      <c r="Z345" s="234"/>
      <c r="AA345" s="234"/>
    </row>
    <row r="346" ht="14.25" customHeight="1">
      <c r="A346" s="234"/>
      <c r="B346" s="234"/>
      <c r="C346" s="234"/>
      <c r="D346" s="240"/>
      <c r="E346" s="240" t="s">
        <v>1751</v>
      </c>
      <c r="F346" s="234"/>
      <c r="G346" s="234"/>
      <c r="H346" s="234"/>
      <c r="I346" s="234"/>
      <c r="J346" s="234"/>
      <c r="K346" s="234"/>
      <c r="L346" s="234"/>
      <c r="M346" s="234"/>
      <c r="N346" s="234"/>
      <c r="O346" s="234"/>
      <c r="P346" s="234"/>
      <c r="Q346" s="234"/>
      <c r="R346" s="234"/>
      <c r="S346" s="234"/>
      <c r="T346" s="234"/>
      <c r="U346" s="234"/>
      <c r="V346" s="234"/>
      <c r="W346" s="234"/>
      <c r="X346" s="234"/>
      <c r="Y346" s="234"/>
      <c r="Z346" s="234"/>
      <c r="AA346" s="234"/>
    </row>
    <row r="347" ht="14.25" customHeight="1">
      <c r="A347" s="234"/>
      <c r="B347" s="234"/>
      <c r="C347" s="234"/>
      <c r="D347" s="239"/>
      <c r="E347" s="239" t="s">
        <v>1754</v>
      </c>
      <c r="F347" s="234"/>
      <c r="G347" s="234"/>
      <c r="H347" s="234"/>
      <c r="I347" s="234"/>
      <c r="J347" s="234"/>
      <c r="K347" s="234"/>
      <c r="L347" s="234"/>
      <c r="M347" s="234"/>
      <c r="N347" s="234"/>
      <c r="O347" s="234"/>
      <c r="P347" s="234"/>
      <c r="Q347" s="234"/>
      <c r="R347" s="234"/>
      <c r="S347" s="234"/>
      <c r="T347" s="234"/>
      <c r="U347" s="234"/>
      <c r="V347" s="234"/>
      <c r="W347" s="234"/>
      <c r="X347" s="234"/>
      <c r="Y347" s="234"/>
      <c r="Z347" s="234"/>
      <c r="AA347" s="234"/>
    </row>
    <row r="348" ht="14.25" customHeight="1">
      <c r="A348" s="234"/>
      <c r="B348" s="234"/>
      <c r="C348" s="234"/>
      <c r="D348" s="240"/>
      <c r="E348" s="240" t="s">
        <v>1045</v>
      </c>
      <c r="F348" s="234"/>
      <c r="G348" s="234"/>
      <c r="H348" s="234"/>
      <c r="I348" s="234"/>
      <c r="J348" s="234"/>
      <c r="K348" s="234"/>
      <c r="L348" s="234"/>
      <c r="M348" s="234"/>
      <c r="N348" s="234"/>
      <c r="O348" s="234"/>
      <c r="P348" s="234"/>
      <c r="Q348" s="234"/>
      <c r="R348" s="234"/>
      <c r="S348" s="234"/>
      <c r="T348" s="234"/>
      <c r="U348" s="234"/>
      <c r="V348" s="234"/>
      <c r="W348" s="234"/>
      <c r="X348" s="234"/>
      <c r="Y348" s="234"/>
      <c r="Z348" s="234"/>
      <c r="AA348" s="234"/>
    </row>
    <row r="349" ht="14.25" customHeight="1">
      <c r="A349" s="234"/>
      <c r="B349" s="234"/>
      <c r="C349" s="234"/>
      <c r="D349" s="239"/>
      <c r="E349" s="239" t="s">
        <v>1757</v>
      </c>
      <c r="F349" s="234"/>
      <c r="G349" s="234"/>
      <c r="H349" s="234"/>
      <c r="I349" s="234"/>
      <c r="J349" s="234"/>
      <c r="K349" s="234"/>
      <c r="L349" s="234"/>
      <c r="M349" s="234"/>
      <c r="N349" s="234"/>
      <c r="O349" s="234"/>
      <c r="P349" s="234"/>
      <c r="Q349" s="234"/>
      <c r="R349" s="234"/>
      <c r="S349" s="234"/>
      <c r="T349" s="234"/>
      <c r="U349" s="234"/>
      <c r="V349" s="234"/>
      <c r="W349" s="234"/>
      <c r="X349" s="234"/>
      <c r="Y349" s="234"/>
      <c r="Z349" s="234"/>
      <c r="AA349" s="234"/>
    </row>
    <row r="350" ht="14.25" customHeight="1">
      <c r="A350" s="234"/>
      <c r="B350" s="234"/>
      <c r="C350" s="234"/>
      <c r="D350" s="240"/>
      <c r="E350" s="240" t="s">
        <v>1760</v>
      </c>
      <c r="F350" s="234"/>
      <c r="G350" s="234"/>
      <c r="H350" s="234"/>
      <c r="I350" s="234"/>
      <c r="J350" s="234"/>
      <c r="K350" s="234"/>
      <c r="L350" s="234"/>
      <c r="M350" s="234"/>
      <c r="N350" s="234"/>
      <c r="O350" s="234"/>
      <c r="P350" s="234"/>
      <c r="Q350" s="234"/>
      <c r="R350" s="234"/>
      <c r="S350" s="234"/>
      <c r="T350" s="234"/>
      <c r="U350" s="234"/>
      <c r="V350" s="234"/>
      <c r="W350" s="234"/>
      <c r="X350" s="234"/>
      <c r="Y350" s="234"/>
      <c r="Z350" s="234"/>
      <c r="AA350" s="234"/>
    </row>
    <row r="351" ht="14.25" customHeight="1">
      <c r="A351" s="234"/>
      <c r="B351" s="234"/>
      <c r="C351" s="234"/>
      <c r="D351" s="239"/>
      <c r="E351" s="239" t="s">
        <v>1763</v>
      </c>
      <c r="F351" s="234"/>
      <c r="G351" s="234"/>
      <c r="H351" s="234"/>
      <c r="I351" s="234"/>
      <c r="J351" s="234"/>
      <c r="K351" s="234"/>
      <c r="L351" s="234"/>
      <c r="M351" s="234"/>
      <c r="N351" s="234"/>
      <c r="O351" s="234"/>
      <c r="P351" s="234"/>
      <c r="Q351" s="234"/>
      <c r="R351" s="234"/>
      <c r="S351" s="234"/>
      <c r="T351" s="234"/>
      <c r="U351" s="234"/>
      <c r="V351" s="234"/>
      <c r="W351" s="234"/>
      <c r="X351" s="234"/>
      <c r="Y351" s="234"/>
      <c r="Z351" s="234"/>
      <c r="AA351" s="234"/>
    </row>
    <row r="352" ht="14.25" customHeight="1">
      <c r="A352" s="234"/>
      <c r="B352" s="234"/>
      <c r="C352" s="234"/>
      <c r="D352" s="240"/>
      <c r="E352" s="240" t="s">
        <v>1843</v>
      </c>
      <c r="F352" s="234"/>
      <c r="G352" s="234"/>
      <c r="H352" s="234"/>
      <c r="I352" s="234"/>
      <c r="J352" s="234"/>
      <c r="K352" s="234"/>
      <c r="L352" s="234"/>
      <c r="M352" s="234"/>
      <c r="N352" s="234"/>
      <c r="O352" s="234"/>
      <c r="P352" s="234"/>
      <c r="Q352" s="234"/>
      <c r="R352" s="234"/>
      <c r="S352" s="234"/>
      <c r="T352" s="234"/>
      <c r="U352" s="234"/>
      <c r="V352" s="234"/>
      <c r="W352" s="234"/>
      <c r="X352" s="234"/>
      <c r="Y352" s="234"/>
      <c r="Z352" s="234"/>
      <c r="AA352" s="234"/>
    </row>
    <row r="353" ht="14.25" customHeight="1">
      <c r="A353" s="234"/>
      <c r="B353" s="234"/>
      <c r="C353" s="234"/>
      <c r="D353" s="239"/>
      <c r="E353" s="239" t="s">
        <v>1767</v>
      </c>
      <c r="F353" s="234"/>
      <c r="G353" s="234"/>
      <c r="H353" s="234"/>
      <c r="I353" s="234"/>
      <c r="J353" s="234"/>
      <c r="K353" s="234"/>
      <c r="L353" s="234"/>
      <c r="M353" s="234"/>
      <c r="N353" s="234"/>
      <c r="O353" s="234"/>
      <c r="P353" s="234"/>
      <c r="Q353" s="234"/>
      <c r="R353" s="234"/>
      <c r="S353" s="234"/>
      <c r="T353" s="234"/>
      <c r="U353" s="234"/>
      <c r="V353" s="234"/>
      <c r="W353" s="234"/>
      <c r="X353" s="234"/>
      <c r="Y353" s="234"/>
      <c r="Z353" s="234"/>
      <c r="AA353" s="234"/>
    </row>
    <row r="354" ht="14.25" customHeight="1">
      <c r="A354" s="234"/>
      <c r="B354" s="234"/>
      <c r="C354" s="234"/>
      <c r="D354" s="240"/>
      <c r="E354" s="240" t="s">
        <v>1771</v>
      </c>
      <c r="F354" s="234"/>
      <c r="G354" s="234"/>
      <c r="H354" s="234"/>
      <c r="I354" s="234"/>
      <c r="J354" s="234"/>
      <c r="K354" s="234"/>
      <c r="L354" s="234"/>
      <c r="M354" s="234"/>
      <c r="N354" s="234"/>
      <c r="O354" s="234"/>
      <c r="P354" s="234"/>
      <c r="Q354" s="234"/>
      <c r="R354" s="234"/>
      <c r="S354" s="234"/>
      <c r="T354" s="234"/>
      <c r="U354" s="234"/>
      <c r="V354" s="234"/>
      <c r="W354" s="234"/>
      <c r="X354" s="234"/>
      <c r="Y354" s="234"/>
      <c r="Z354" s="234"/>
      <c r="AA354" s="234"/>
    </row>
    <row r="355" ht="14.25" customHeight="1">
      <c r="A355" s="234"/>
      <c r="B355" s="234"/>
      <c r="C355" s="234"/>
      <c r="D355" s="239"/>
      <c r="E355" s="239" t="s">
        <v>1776</v>
      </c>
      <c r="F355" s="234"/>
      <c r="G355" s="234"/>
      <c r="H355" s="234"/>
      <c r="I355" s="234"/>
      <c r="J355" s="234"/>
      <c r="K355" s="234"/>
      <c r="L355" s="234"/>
      <c r="M355" s="234"/>
      <c r="N355" s="234"/>
      <c r="O355" s="234"/>
      <c r="P355" s="234"/>
      <c r="Q355" s="234"/>
      <c r="R355" s="234"/>
      <c r="S355" s="234"/>
      <c r="T355" s="234"/>
      <c r="U355" s="234"/>
      <c r="V355" s="234"/>
      <c r="W355" s="234"/>
      <c r="X355" s="234"/>
      <c r="Y355" s="234"/>
      <c r="Z355" s="234"/>
      <c r="AA355" s="234"/>
    </row>
    <row r="356" ht="14.25" customHeight="1">
      <c r="A356" s="234"/>
      <c r="B356" s="234"/>
      <c r="C356" s="234"/>
      <c r="D356" s="240"/>
      <c r="E356" s="240" t="s">
        <v>1780</v>
      </c>
      <c r="F356" s="234"/>
      <c r="G356" s="234"/>
      <c r="H356" s="234"/>
      <c r="I356" s="234"/>
      <c r="J356" s="234"/>
      <c r="K356" s="234"/>
      <c r="L356" s="234"/>
      <c r="M356" s="234"/>
      <c r="N356" s="234"/>
      <c r="O356" s="234"/>
      <c r="P356" s="234"/>
      <c r="Q356" s="234"/>
      <c r="R356" s="234"/>
      <c r="S356" s="234"/>
      <c r="T356" s="234"/>
      <c r="U356" s="234"/>
      <c r="V356" s="234"/>
      <c r="W356" s="234"/>
      <c r="X356" s="234"/>
      <c r="Y356" s="234"/>
      <c r="Z356" s="234"/>
      <c r="AA356" s="234"/>
    </row>
    <row r="357" ht="14.25" customHeight="1">
      <c r="A357" s="234"/>
      <c r="B357" s="234"/>
      <c r="C357" s="234"/>
      <c r="D357" s="239"/>
      <c r="E357" s="239" t="s">
        <v>1864</v>
      </c>
      <c r="F357" s="234"/>
      <c r="G357" s="234"/>
      <c r="H357" s="234"/>
      <c r="I357" s="234"/>
      <c r="J357" s="234"/>
      <c r="K357" s="234"/>
      <c r="L357" s="234"/>
      <c r="M357" s="234"/>
      <c r="N357" s="234"/>
      <c r="O357" s="234"/>
      <c r="P357" s="234"/>
      <c r="Q357" s="234"/>
      <c r="R357" s="234"/>
      <c r="S357" s="234"/>
      <c r="T357" s="234"/>
      <c r="U357" s="234"/>
      <c r="V357" s="234"/>
      <c r="W357" s="234"/>
      <c r="X357" s="234"/>
      <c r="Y357" s="234"/>
      <c r="Z357" s="234"/>
      <c r="AA357" s="234"/>
    </row>
    <row r="358" ht="14.25" customHeight="1">
      <c r="A358" s="234"/>
      <c r="B358" s="234"/>
      <c r="C358" s="234"/>
      <c r="D358" s="240"/>
      <c r="E358" s="240" t="s">
        <v>1783</v>
      </c>
      <c r="F358" s="234"/>
      <c r="G358" s="234"/>
      <c r="H358" s="234"/>
      <c r="I358" s="234"/>
      <c r="J358" s="234"/>
      <c r="K358" s="234"/>
      <c r="L358" s="234"/>
      <c r="M358" s="234"/>
      <c r="N358" s="234"/>
      <c r="O358" s="234"/>
      <c r="P358" s="234"/>
      <c r="Q358" s="234"/>
      <c r="R358" s="234"/>
      <c r="S358" s="234"/>
      <c r="T358" s="234"/>
      <c r="U358" s="234"/>
      <c r="V358" s="234"/>
      <c r="W358" s="234"/>
      <c r="X358" s="234"/>
      <c r="Y358" s="234"/>
      <c r="Z358" s="234"/>
      <c r="AA358" s="234"/>
    </row>
    <row r="359" ht="14.25" customHeight="1">
      <c r="A359" s="234"/>
      <c r="B359" s="234"/>
      <c r="C359" s="234"/>
      <c r="D359" s="239"/>
      <c r="E359" s="239" t="s">
        <v>1786</v>
      </c>
      <c r="F359" s="234"/>
      <c r="G359" s="234"/>
      <c r="H359" s="234"/>
      <c r="I359" s="234"/>
      <c r="J359" s="234"/>
      <c r="K359" s="234"/>
      <c r="L359" s="234"/>
      <c r="M359" s="234"/>
      <c r="N359" s="234"/>
      <c r="O359" s="234"/>
      <c r="P359" s="234"/>
      <c r="Q359" s="234"/>
      <c r="R359" s="234"/>
      <c r="S359" s="234"/>
      <c r="T359" s="234"/>
      <c r="U359" s="234"/>
      <c r="V359" s="234"/>
      <c r="W359" s="234"/>
      <c r="X359" s="234"/>
      <c r="Y359" s="234"/>
      <c r="Z359" s="234"/>
      <c r="AA359" s="234"/>
    </row>
    <row r="360" ht="14.25" customHeight="1">
      <c r="A360" s="234"/>
      <c r="B360" s="234"/>
      <c r="C360" s="234"/>
      <c r="D360" s="240"/>
      <c r="E360" s="240" t="s">
        <v>1790</v>
      </c>
      <c r="F360" s="234"/>
      <c r="G360" s="234"/>
      <c r="H360" s="234"/>
      <c r="I360" s="234"/>
      <c r="J360" s="234"/>
      <c r="K360" s="234"/>
      <c r="L360" s="234"/>
      <c r="M360" s="234"/>
      <c r="N360" s="234"/>
      <c r="O360" s="234"/>
      <c r="P360" s="234"/>
      <c r="Q360" s="234"/>
      <c r="R360" s="234"/>
      <c r="S360" s="234"/>
      <c r="T360" s="234"/>
      <c r="U360" s="234"/>
      <c r="V360" s="234"/>
      <c r="W360" s="234"/>
      <c r="X360" s="234"/>
      <c r="Y360" s="234"/>
      <c r="Z360" s="234"/>
      <c r="AA360" s="234"/>
    </row>
    <row r="361" ht="14.25" customHeight="1">
      <c r="A361" s="234"/>
      <c r="B361" s="234"/>
      <c r="C361" s="234"/>
      <c r="D361" s="239"/>
      <c r="E361" s="239" t="s">
        <v>1492</v>
      </c>
      <c r="F361" s="234"/>
      <c r="G361" s="234"/>
      <c r="H361" s="234"/>
      <c r="I361" s="234"/>
      <c r="J361" s="234"/>
      <c r="K361" s="234"/>
      <c r="L361" s="234"/>
      <c r="M361" s="234"/>
      <c r="N361" s="234"/>
      <c r="O361" s="234"/>
      <c r="P361" s="234"/>
      <c r="Q361" s="234"/>
      <c r="R361" s="234"/>
      <c r="S361" s="234"/>
      <c r="T361" s="234"/>
      <c r="U361" s="234"/>
      <c r="V361" s="234"/>
      <c r="W361" s="234"/>
      <c r="X361" s="234"/>
      <c r="Y361" s="234"/>
      <c r="Z361" s="234"/>
      <c r="AA361" s="234"/>
    </row>
    <row r="362" ht="14.25" customHeight="1">
      <c r="A362" s="234"/>
      <c r="B362" s="234"/>
      <c r="C362" s="234"/>
      <c r="D362" s="240"/>
      <c r="E362" s="240" t="s">
        <v>1794</v>
      </c>
      <c r="F362" s="234"/>
      <c r="G362" s="234"/>
      <c r="H362" s="234"/>
      <c r="I362" s="234"/>
      <c r="J362" s="234"/>
      <c r="K362" s="234"/>
      <c r="L362" s="234"/>
      <c r="M362" s="234"/>
      <c r="N362" s="234"/>
      <c r="O362" s="234"/>
      <c r="P362" s="234"/>
      <c r="Q362" s="234"/>
      <c r="R362" s="234"/>
      <c r="S362" s="234"/>
      <c r="T362" s="234"/>
      <c r="U362" s="234"/>
      <c r="V362" s="234"/>
      <c r="W362" s="234"/>
      <c r="X362" s="234"/>
      <c r="Y362" s="234"/>
      <c r="Z362" s="234"/>
      <c r="AA362" s="234"/>
    </row>
    <row r="363" ht="14.25" customHeight="1">
      <c r="A363" s="234"/>
      <c r="B363" s="234"/>
      <c r="C363" s="234"/>
      <c r="D363" s="239"/>
      <c r="E363" s="239" t="s">
        <v>1802</v>
      </c>
      <c r="F363" s="234"/>
      <c r="G363" s="234"/>
      <c r="H363" s="234"/>
      <c r="I363" s="234"/>
      <c r="J363" s="234"/>
      <c r="K363" s="234"/>
      <c r="L363" s="234"/>
      <c r="M363" s="234"/>
      <c r="N363" s="234"/>
      <c r="O363" s="234"/>
      <c r="P363" s="234"/>
      <c r="Q363" s="234"/>
      <c r="R363" s="234"/>
      <c r="S363" s="234"/>
      <c r="T363" s="234"/>
      <c r="U363" s="234"/>
      <c r="V363" s="234"/>
      <c r="W363" s="234"/>
      <c r="X363" s="234"/>
      <c r="Y363" s="234"/>
      <c r="Z363" s="234"/>
      <c r="AA363" s="234"/>
    </row>
    <row r="364" ht="14.25" customHeight="1">
      <c r="A364" s="234"/>
      <c r="B364" s="234"/>
      <c r="C364" s="234"/>
      <c r="D364" s="240"/>
      <c r="E364" s="240" t="s">
        <v>1808</v>
      </c>
      <c r="F364" s="234"/>
      <c r="G364" s="234"/>
      <c r="H364" s="234"/>
      <c r="I364" s="234"/>
      <c r="J364" s="234"/>
      <c r="K364" s="234"/>
      <c r="L364" s="234"/>
      <c r="M364" s="234"/>
      <c r="N364" s="234"/>
      <c r="O364" s="234"/>
      <c r="P364" s="234"/>
      <c r="Q364" s="234"/>
      <c r="R364" s="234"/>
      <c r="S364" s="234"/>
      <c r="T364" s="234"/>
      <c r="U364" s="234"/>
      <c r="V364" s="234"/>
      <c r="W364" s="234"/>
      <c r="X364" s="234"/>
      <c r="Y364" s="234"/>
      <c r="Z364" s="234"/>
      <c r="AA364" s="234"/>
    </row>
    <row r="365" ht="14.25" customHeight="1">
      <c r="A365" s="234"/>
      <c r="B365" s="234"/>
      <c r="C365" s="234"/>
      <c r="D365" s="239"/>
      <c r="E365" s="239" t="s">
        <v>1812</v>
      </c>
      <c r="F365" s="234"/>
      <c r="G365" s="234"/>
      <c r="H365" s="234"/>
      <c r="I365" s="234"/>
      <c r="J365" s="234"/>
      <c r="K365" s="234"/>
      <c r="L365" s="234"/>
      <c r="M365" s="234"/>
      <c r="N365" s="234"/>
      <c r="O365" s="234"/>
      <c r="P365" s="234"/>
      <c r="Q365" s="234"/>
      <c r="R365" s="234"/>
      <c r="S365" s="234"/>
      <c r="T365" s="234"/>
      <c r="U365" s="234"/>
      <c r="V365" s="234"/>
      <c r="W365" s="234"/>
      <c r="X365" s="234"/>
      <c r="Y365" s="234"/>
      <c r="Z365" s="234"/>
      <c r="AA365" s="234"/>
    </row>
    <row r="366" ht="14.25" customHeight="1">
      <c r="A366" s="234"/>
      <c r="B366" s="234"/>
      <c r="C366" s="234"/>
      <c r="D366" s="240"/>
      <c r="E366" s="240" t="s">
        <v>1815</v>
      </c>
      <c r="F366" s="234"/>
      <c r="G366" s="234"/>
      <c r="H366" s="234"/>
      <c r="I366" s="234"/>
      <c r="J366" s="234"/>
      <c r="K366" s="234"/>
      <c r="L366" s="234"/>
      <c r="M366" s="234"/>
      <c r="N366" s="234"/>
      <c r="O366" s="234"/>
      <c r="P366" s="234"/>
      <c r="Q366" s="234"/>
      <c r="R366" s="234"/>
      <c r="S366" s="234"/>
      <c r="T366" s="234"/>
      <c r="U366" s="234"/>
      <c r="V366" s="234"/>
      <c r="W366" s="234"/>
      <c r="X366" s="234"/>
      <c r="Y366" s="234"/>
      <c r="Z366" s="234"/>
      <c r="AA366" s="234"/>
    </row>
    <row r="367" ht="14.25" customHeight="1">
      <c r="A367" s="234"/>
      <c r="B367" s="234"/>
      <c r="C367" s="234"/>
      <c r="D367" s="239"/>
      <c r="E367" s="239" t="s">
        <v>1818</v>
      </c>
      <c r="F367" s="234"/>
      <c r="G367" s="234"/>
      <c r="H367" s="234"/>
      <c r="I367" s="234"/>
      <c r="J367" s="234"/>
      <c r="K367" s="234"/>
      <c r="L367" s="234"/>
      <c r="M367" s="234"/>
      <c r="N367" s="234"/>
      <c r="O367" s="234"/>
      <c r="P367" s="234"/>
      <c r="Q367" s="234"/>
      <c r="R367" s="234"/>
      <c r="S367" s="234"/>
      <c r="T367" s="234"/>
      <c r="U367" s="234"/>
      <c r="V367" s="234"/>
      <c r="W367" s="234"/>
      <c r="X367" s="234"/>
      <c r="Y367" s="234"/>
      <c r="Z367" s="234"/>
      <c r="AA367" s="234"/>
    </row>
    <row r="368" ht="14.25" customHeight="1">
      <c r="A368" s="234"/>
      <c r="B368" s="234"/>
      <c r="C368" s="234"/>
      <c r="D368" s="240"/>
      <c r="E368" s="240" t="s">
        <v>643</v>
      </c>
      <c r="F368" s="234"/>
      <c r="G368" s="234"/>
      <c r="H368" s="234"/>
      <c r="I368" s="234"/>
      <c r="J368" s="234"/>
      <c r="K368" s="234"/>
      <c r="L368" s="234"/>
      <c r="M368" s="234"/>
      <c r="N368" s="234"/>
      <c r="O368" s="234"/>
      <c r="P368" s="234"/>
      <c r="Q368" s="234"/>
      <c r="R368" s="234"/>
      <c r="S368" s="234"/>
      <c r="T368" s="234"/>
      <c r="U368" s="234"/>
      <c r="V368" s="234"/>
      <c r="W368" s="234"/>
      <c r="X368" s="234"/>
      <c r="Y368" s="234"/>
      <c r="Z368" s="234"/>
      <c r="AA368" s="234"/>
    </row>
    <row r="369" ht="14.25" customHeight="1">
      <c r="A369" s="234"/>
      <c r="B369" s="234"/>
      <c r="C369" s="234"/>
      <c r="D369" s="239"/>
      <c r="E369" s="239" t="s">
        <v>1822</v>
      </c>
      <c r="F369" s="234"/>
      <c r="G369" s="234"/>
      <c r="H369" s="234"/>
      <c r="I369" s="234"/>
      <c r="J369" s="234"/>
      <c r="K369" s="234"/>
      <c r="L369" s="234"/>
      <c r="M369" s="234"/>
      <c r="N369" s="234"/>
      <c r="O369" s="234"/>
      <c r="P369" s="234"/>
      <c r="Q369" s="234"/>
      <c r="R369" s="234"/>
      <c r="S369" s="234"/>
      <c r="T369" s="234"/>
      <c r="U369" s="234"/>
      <c r="V369" s="234"/>
      <c r="W369" s="234"/>
      <c r="X369" s="234"/>
      <c r="Y369" s="234"/>
      <c r="Z369" s="234"/>
      <c r="AA369" s="234"/>
    </row>
    <row r="370" ht="14.25" customHeight="1">
      <c r="A370" s="234"/>
      <c r="B370" s="234"/>
      <c r="C370" s="234"/>
      <c r="D370" s="240"/>
      <c r="E370" s="240" t="s">
        <v>1825</v>
      </c>
      <c r="F370" s="234"/>
      <c r="G370" s="234"/>
      <c r="H370" s="234"/>
      <c r="I370" s="234"/>
      <c r="J370" s="234"/>
      <c r="K370" s="234"/>
      <c r="L370" s="234"/>
      <c r="M370" s="234"/>
      <c r="N370" s="234"/>
      <c r="O370" s="234"/>
      <c r="P370" s="234"/>
      <c r="Q370" s="234"/>
      <c r="R370" s="234"/>
      <c r="S370" s="234"/>
      <c r="T370" s="234"/>
      <c r="U370" s="234"/>
      <c r="V370" s="234"/>
      <c r="W370" s="234"/>
      <c r="X370" s="234"/>
      <c r="Y370" s="234"/>
      <c r="Z370" s="234"/>
      <c r="AA370" s="234"/>
    </row>
    <row r="371" ht="14.25" customHeight="1">
      <c r="A371" s="234"/>
      <c r="B371" s="234"/>
      <c r="C371" s="234"/>
      <c r="D371" s="239"/>
      <c r="E371" s="239" t="s">
        <v>1830</v>
      </c>
      <c r="F371" s="234"/>
      <c r="G371" s="234"/>
      <c r="H371" s="234"/>
      <c r="I371" s="234"/>
      <c r="J371" s="234"/>
      <c r="K371" s="234"/>
      <c r="L371" s="234"/>
      <c r="M371" s="234"/>
      <c r="N371" s="234"/>
      <c r="O371" s="234"/>
      <c r="P371" s="234"/>
      <c r="Q371" s="234"/>
      <c r="R371" s="234"/>
      <c r="S371" s="234"/>
      <c r="T371" s="234"/>
      <c r="U371" s="234"/>
      <c r="V371" s="234"/>
      <c r="W371" s="234"/>
      <c r="X371" s="234"/>
      <c r="Y371" s="234"/>
      <c r="Z371" s="234"/>
      <c r="AA371" s="234"/>
    </row>
    <row r="372" ht="14.25" customHeight="1">
      <c r="A372" s="234"/>
      <c r="B372" s="234"/>
      <c r="C372" s="234"/>
      <c r="D372" s="240"/>
      <c r="E372" s="240" t="s">
        <v>1901</v>
      </c>
      <c r="F372" s="234"/>
      <c r="G372" s="234"/>
      <c r="H372" s="234"/>
      <c r="I372" s="234"/>
      <c r="J372" s="234"/>
      <c r="K372" s="234"/>
      <c r="L372" s="234"/>
      <c r="M372" s="234"/>
      <c r="N372" s="234"/>
      <c r="O372" s="234"/>
      <c r="P372" s="234"/>
      <c r="Q372" s="234"/>
      <c r="R372" s="234"/>
      <c r="S372" s="234"/>
      <c r="T372" s="234"/>
      <c r="U372" s="234"/>
      <c r="V372" s="234"/>
      <c r="W372" s="234"/>
      <c r="X372" s="234"/>
      <c r="Y372" s="234"/>
      <c r="Z372" s="234"/>
      <c r="AA372" s="234"/>
    </row>
    <row r="373" ht="14.25" customHeight="1">
      <c r="A373" s="234"/>
      <c r="B373" s="234"/>
      <c r="C373" s="234"/>
      <c r="D373" s="239"/>
      <c r="E373" s="239" t="s">
        <v>1834</v>
      </c>
      <c r="F373" s="234"/>
      <c r="G373" s="234"/>
      <c r="H373" s="234"/>
      <c r="I373" s="234"/>
      <c r="J373" s="234"/>
      <c r="K373" s="234"/>
      <c r="L373" s="234"/>
      <c r="M373" s="234"/>
      <c r="N373" s="234"/>
      <c r="O373" s="234"/>
      <c r="P373" s="234"/>
      <c r="Q373" s="234"/>
      <c r="R373" s="234"/>
      <c r="S373" s="234"/>
      <c r="T373" s="234"/>
      <c r="U373" s="234"/>
      <c r="V373" s="234"/>
      <c r="W373" s="234"/>
      <c r="X373" s="234"/>
      <c r="Y373" s="234"/>
      <c r="Z373" s="234"/>
      <c r="AA373" s="234"/>
    </row>
    <row r="374" ht="14.25" customHeight="1">
      <c r="A374" s="234"/>
      <c r="B374" s="234"/>
      <c r="C374" s="234"/>
      <c r="D374" s="240"/>
      <c r="E374" s="240" t="s">
        <v>1908</v>
      </c>
      <c r="F374" s="234"/>
      <c r="G374" s="234"/>
      <c r="H374" s="234"/>
      <c r="I374" s="234"/>
      <c r="J374" s="234"/>
      <c r="K374" s="234"/>
      <c r="L374" s="234"/>
      <c r="M374" s="234"/>
      <c r="N374" s="234"/>
      <c r="O374" s="234"/>
      <c r="P374" s="234"/>
      <c r="Q374" s="234"/>
      <c r="R374" s="234"/>
      <c r="S374" s="234"/>
      <c r="T374" s="234"/>
      <c r="U374" s="234"/>
      <c r="V374" s="234"/>
      <c r="W374" s="234"/>
      <c r="X374" s="234"/>
      <c r="Y374" s="234"/>
      <c r="Z374" s="234"/>
      <c r="AA374" s="234"/>
    </row>
    <row r="375" ht="14.25" customHeight="1">
      <c r="A375" s="234"/>
      <c r="B375" s="234"/>
      <c r="C375" s="234"/>
      <c r="D375" s="239"/>
      <c r="E375" s="239" t="s">
        <v>1840</v>
      </c>
      <c r="F375" s="234"/>
      <c r="G375" s="234"/>
      <c r="H375" s="234"/>
      <c r="I375" s="234"/>
      <c r="J375" s="234"/>
      <c r="K375" s="234"/>
      <c r="L375" s="234"/>
      <c r="M375" s="234"/>
      <c r="N375" s="234"/>
      <c r="O375" s="234"/>
      <c r="P375" s="234"/>
      <c r="Q375" s="234"/>
      <c r="R375" s="234"/>
      <c r="S375" s="234"/>
      <c r="T375" s="234"/>
      <c r="U375" s="234"/>
      <c r="V375" s="234"/>
      <c r="W375" s="234"/>
      <c r="X375" s="234"/>
      <c r="Y375" s="234"/>
      <c r="Z375" s="234"/>
      <c r="AA375" s="234"/>
    </row>
    <row r="376" ht="14.25" customHeight="1">
      <c r="A376" s="234"/>
      <c r="B376" s="234"/>
      <c r="C376" s="234"/>
      <c r="D376" s="240"/>
      <c r="E376" s="240" t="s">
        <v>1846</v>
      </c>
      <c r="F376" s="234"/>
      <c r="G376" s="234"/>
      <c r="H376" s="234"/>
      <c r="I376" s="234"/>
      <c r="J376" s="234"/>
      <c r="K376" s="234"/>
      <c r="L376" s="234"/>
      <c r="M376" s="234"/>
      <c r="N376" s="234"/>
      <c r="O376" s="234"/>
      <c r="P376" s="234"/>
      <c r="Q376" s="234"/>
      <c r="R376" s="234"/>
      <c r="S376" s="234"/>
      <c r="T376" s="234"/>
      <c r="U376" s="234"/>
      <c r="V376" s="234"/>
      <c r="W376" s="234"/>
      <c r="X376" s="234"/>
      <c r="Y376" s="234"/>
      <c r="Z376" s="234"/>
      <c r="AA376" s="234"/>
    </row>
    <row r="377" ht="14.25" customHeight="1">
      <c r="A377" s="234"/>
      <c r="B377" s="234"/>
      <c r="C377" s="234"/>
      <c r="D377" s="239"/>
      <c r="E377" s="239" t="s">
        <v>1849</v>
      </c>
      <c r="F377" s="234"/>
      <c r="G377" s="234"/>
      <c r="H377" s="234"/>
      <c r="I377" s="234"/>
      <c r="J377" s="234"/>
      <c r="K377" s="234"/>
      <c r="L377" s="234"/>
      <c r="M377" s="234"/>
      <c r="N377" s="234"/>
      <c r="O377" s="234"/>
      <c r="P377" s="234"/>
      <c r="Q377" s="234"/>
      <c r="R377" s="234"/>
      <c r="S377" s="234"/>
      <c r="T377" s="234"/>
      <c r="U377" s="234"/>
      <c r="V377" s="234"/>
      <c r="W377" s="234"/>
      <c r="X377" s="234"/>
      <c r="Y377" s="234"/>
      <c r="Z377" s="234"/>
      <c r="AA377" s="234"/>
    </row>
    <row r="378" ht="14.25" customHeight="1">
      <c r="A378" s="234"/>
      <c r="B378" s="234"/>
      <c r="C378" s="234"/>
      <c r="D378" s="240"/>
      <c r="E378" s="240" t="s">
        <v>1547</v>
      </c>
      <c r="F378" s="234"/>
      <c r="G378" s="234"/>
      <c r="H378" s="234"/>
      <c r="I378" s="234"/>
      <c r="J378" s="234"/>
      <c r="K378" s="234"/>
      <c r="L378" s="234"/>
      <c r="M378" s="234"/>
      <c r="N378" s="234"/>
      <c r="O378" s="234"/>
      <c r="P378" s="234"/>
      <c r="Q378" s="234"/>
      <c r="R378" s="234"/>
      <c r="S378" s="234"/>
      <c r="T378" s="234"/>
      <c r="U378" s="234"/>
      <c r="V378" s="234"/>
      <c r="W378" s="234"/>
      <c r="X378" s="234"/>
      <c r="Y378" s="234"/>
      <c r="Z378" s="234"/>
      <c r="AA378" s="234"/>
    </row>
    <row r="379" ht="14.25" customHeight="1">
      <c r="A379" s="234"/>
      <c r="B379" s="234"/>
      <c r="C379" s="234"/>
      <c r="D379" s="239"/>
      <c r="E379" s="239" t="s">
        <v>1452</v>
      </c>
      <c r="F379" s="234"/>
      <c r="G379" s="234"/>
      <c r="H379" s="234"/>
      <c r="I379" s="234"/>
      <c r="J379" s="234"/>
      <c r="K379" s="234"/>
      <c r="L379" s="234"/>
      <c r="M379" s="234"/>
      <c r="N379" s="234"/>
      <c r="O379" s="234"/>
      <c r="P379" s="234"/>
      <c r="Q379" s="234"/>
      <c r="R379" s="234"/>
      <c r="S379" s="234"/>
      <c r="T379" s="234"/>
      <c r="U379" s="234"/>
      <c r="V379" s="234"/>
      <c r="W379" s="234"/>
      <c r="X379" s="234"/>
      <c r="Y379" s="234"/>
      <c r="Z379" s="234"/>
      <c r="AA379" s="234"/>
    </row>
    <row r="380" ht="14.25" customHeight="1">
      <c r="A380" s="234"/>
      <c r="B380" s="234"/>
      <c r="C380" s="234"/>
      <c r="D380" s="240"/>
      <c r="E380" s="240" t="s">
        <v>1854</v>
      </c>
      <c r="F380" s="234"/>
      <c r="G380" s="234"/>
      <c r="H380" s="234"/>
      <c r="I380" s="234"/>
      <c r="J380" s="234"/>
      <c r="K380" s="234"/>
      <c r="L380" s="234"/>
      <c r="M380" s="234"/>
      <c r="N380" s="234"/>
      <c r="O380" s="234"/>
      <c r="P380" s="234"/>
      <c r="Q380" s="234"/>
      <c r="R380" s="234"/>
      <c r="S380" s="234"/>
      <c r="T380" s="234"/>
      <c r="U380" s="234"/>
      <c r="V380" s="234"/>
      <c r="W380" s="234"/>
      <c r="X380" s="234"/>
      <c r="Y380" s="234"/>
      <c r="Z380" s="234"/>
      <c r="AA380" s="234"/>
    </row>
    <row r="381" ht="14.25" customHeight="1">
      <c r="A381" s="234"/>
      <c r="B381" s="234"/>
      <c r="C381" s="234"/>
      <c r="D381" s="239"/>
      <c r="E381" s="239" t="s">
        <v>1861</v>
      </c>
      <c r="F381" s="234"/>
      <c r="G381" s="234"/>
      <c r="H381" s="234"/>
      <c r="I381" s="234"/>
      <c r="J381" s="234"/>
      <c r="K381" s="234"/>
      <c r="L381" s="234"/>
      <c r="M381" s="234"/>
      <c r="N381" s="234"/>
      <c r="O381" s="234"/>
      <c r="P381" s="234"/>
      <c r="Q381" s="234"/>
      <c r="R381" s="234"/>
      <c r="S381" s="234"/>
      <c r="T381" s="234"/>
      <c r="U381" s="234"/>
      <c r="V381" s="234"/>
      <c r="W381" s="234"/>
      <c r="X381" s="234"/>
      <c r="Y381" s="234"/>
      <c r="Z381" s="234"/>
      <c r="AA381" s="234"/>
    </row>
    <row r="382" ht="14.25" customHeight="1">
      <c r="A382" s="234"/>
      <c r="B382" s="234"/>
      <c r="C382" s="234"/>
      <c r="D382" s="240"/>
      <c r="E382" s="240" t="s">
        <v>1867</v>
      </c>
      <c r="F382" s="234"/>
      <c r="G382" s="234"/>
      <c r="H382" s="234"/>
      <c r="I382" s="234"/>
      <c r="J382" s="234"/>
      <c r="K382" s="234"/>
      <c r="L382" s="234"/>
      <c r="M382" s="234"/>
      <c r="N382" s="234"/>
      <c r="O382" s="234"/>
      <c r="P382" s="234"/>
      <c r="Q382" s="234"/>
      <c r="R382" s="234"/>
      <c r="S382" s="234"/>
      <c r="T382" s="234"/>
      <c r="U382" s="234"/>
      <c r="V382" s="234"/>
      <c r="W382" s="234"/>
      <c r="X382" s="234"/>
      <c r="Y382" s="234"/>
      <c r="Z382" s="234"/>
      <c r="AA382" s="234"/>
    </row>
    <row r="383" ht="14.25" customHeight="1">
      <c r="A383" s="234"/>
      <c r="B383" s="234"/>
      <c r="C383" s="234"/>
      <c r="D383" s="239"/>
      <c r="E383" s="239" t="s">
        <v>1873</v>
      </c>
      <c r="F383" s="234"/>
      <c r="G383" s="234"/>
      <c r="H383" s="234"/>
      <c r="I383" s="234"/>
      <c r="J383" s="234"/>
      <c r="K383" s="234"/>
      <c r="L383" s="234"/>
      <c r="M383" s="234"/>
      <c r="N383" s="234"/>
      <c r="O383" s="234"/>
      <c r="P383" s="234"/>
      <c r="Q383" s="234"/>
      <c r="R383" s="234"/>
      <c r="S383" s="234"/>
      <c r="T383" s="234"/>
      <c r="U383" s="234"/>
      <c r="V383" s="234"/>
      <c r="W383" s="234"/>
      <c r="X383" s="234"/>
      <c r="Y383" s="234"/>
      <c r="Z383" s="234"/>
      <c r="AA383" s="234"/>
    </row>
    <row r="384" ht="14.25" customHeight="1">
      <c r="A384" s="234"/>
      <c r="B384" s="234"/>
      <c r="C384" s="234"/>
      <c r="D384" s="240"/>
      <c r="E384" s="240" t="s">
        <v>1876</v>
      </c>
      <c r="F384" s="234"/>
      <c r="G384" s="234"/>
      <c r="H384" s="234"/>
      <c r="I384" s="234"/>
      <c r="J384" s="234"/>
      <c r="K384" s="234"/>
      <c r="L384" s="234"/>
      <c r="M384" s="234"/>
      <c r="N384" s="234"/>
      <c r="O384" s="234"/>
      <c r="P384" s="234"/>
      <c r="Q384" s="234"/>
      <c r="R384" s="234"/>
      <c r="S384" s="234"/>
      <c r="T384" s="234"/>
      <c r="U384" s="234"/>
      <c r="V384" s="234"/>
      <c r="W384" s="234"/>
      <c r="X384" s="234"/>
      <c r="Y384" s="234"/>
      <c r="Z384" s="234"/>
      <c r="AA384" s="234"/>
    </row>
    <row r="385" ht="14.25" customHeight="1">
      <c r="A385" s="234"/>
      <c r="B385" s="234"/>
      <c r="C385" s="234"/>
      <c r="D385" s="239"/>
      <c r="E385" s="239" t="s">
        <v>1879</v>
      </c>
      <c r="F385" s="234"/>
      <c r="G385" s="234"/>
      <c r="H385" s="234"/>
      <c r="I385" s="234"/>
      <c r="J385" s="234"/>
      <c r="K385" s="234"/>
      <c r="L385" s="234"/>
      <c r="M385" s="234"/>
      <c r="N385" s="234"/>
      <c r="O385" s="234"/>
      <c r="P385" s="234"/>
      <c r="Q385" s="234"/>
      <c r="R385" s="234"/>
      <c r="S385" s="234"/>
      <c r="T385" s="234"/>
      <c r="U385" s="234"/>
      <c r="V385" s="234"/>
      <c r="W385" s="234"/>
      <c r="X385" s="234"/>
      <c r="Y385" s="234"/>
      <c r="Z385" s="234"/>
      <c r="AA385" s="234"/>
    </row>
    <row r="386" ht="14.25" customHeight="1">
      <c r="A386" s="234"/>
      <c r="B386" s="234"/>
      <c r="C386" s="234"/>
      <c r="D386" s="240"/>
      <c r="E386" s="240" t="s">
        <v>1883</v>
      </c>
      <c r="F386" s="234"/>
      <c r="G386" s="234"/>
      <c r="H386" s="234"/>
      <c r="I386" s="234"/>
      <c r="J386" s="234"/>
      <c r="K386" s="234"/>
      <c r="L386" s="234"/>
      <c r="M386" s="234"/>
      <c r="N386" s="234"/>
      <c r="O386" s="234"/>
      <c r="P386" s="234"/>
      <c r="Q386" s="234"/>
      <c r="R386" s="234"/>
      <c r="S386" s="234"/>
      <c r="T386" s="234"/>
      <c r="U386" s="234"/>
      <c r="V386" s="234"/>
      <c r="W386" s="234"/>
      <c r="X386" s="234"/>
      <c r="Y386" s="234"/>
      <c r="Z386" s="234"/>
      <c r="AA386" s="234"/>
    </row>
    <row r="387" ht="14.25" customHeight="1">
      <c r="A387" s="234"/>
      <c r="B387" s="234"/>
      <c r="C387" s="234"/>
      <c r="D387" s="239"/>
      <c r="E387" s="239" t="s">
        <v>1887</v>
      </c>
      <c r="F387" s="234"/>
      <c r="G387" s="234"/>
      <c r="H387" s="234"/>
      <c r="I387" s="234"/>
      <c r="J387" s="234"/>
      <c r="K387" s="234"/>
      <c r="L387" s="234"/>
      <c r="M387" s="234"/>
      <c r="N387" s="234"/>
      <c r="O387" s="234"/>
      <c r="P387" s="234"/>
      <c r="Q387" s="234"/>
      <c r="R387" s="234"/>
      <c r="S387" s="234"/>
      <c r="T387" s="234"/>
      <c r="U387" s="234"/>
      <c r="V387" s="234"/>
      <c r="W387" s="234"/>
      <c r="X387" s="234"/>
      <c r="Y387" s="234"/>
      <c r="Z387" s="234"/>
      <c r="AA387" s="234"/>
    </row>
    <row r="388" ht="14.25" customHeight="1">
      <c r="A388" s="234"/>
      <c r="B388" s="234"/>
      <c r="C388" s="234"/>
      <c r="D388" s="240"/>
      <c r="E388" s="240"/>
      <c r="F388" s="234"/>
      <c r="G388" s="234"/>
      <c r="H388" s="234"/>
      <c r="I388" s="234"/>
      <c r="J388" s="234"/>
      <c r="K388" s="234"/>
      <c r="L388" s="234"/>
      <c r="M388" s="234"/>
      <c r="N388" s="234"/>
      <c r="O388" s="234"/>
      <c r="P388" s="234"/>
      <c r="Q388" s="234"/>
      <c r="R388" s="234"/>
      <c r="S388" s="234"/>
      <c r="T388" s="234"/>
      <c r="U388" s="234"/>
      <c r="V388" s="234"/>
      <c r="W388" s="234"/>
      <c r="X388" s="234"/>
      <c r="Y388" s="234"/>
      <c r="Z388" s="234"/>
      <c r="AA388" s="234"/>
    </row>
    <row r="389" ht="14.25" customHeight="1">
      <c r="A389" s="234"/>
      <c r="B389" s="234"/>
      <c r="C389" s="234"/>
      <c r="D389" s="239"/>
      <c r="E389" s="239"/>
      <c r="F389" s="234"/>
      <c r="G389" s="234"/>
      <c r="H389" s="234"/>
      <c r="I389" s="234"/>
      <c r="J389" s="234"/>
      <c r="K389" s="234"/>
      <c r="L389" s="234"/>
      <c r="M389" s="234"/>
      <c r="N389" s="234"/>
      <c r="O389" s="234"/>
      <c r="P389" s="234"/>
      <c r="Q389" s="234"/>
      <c r="R389" s="234"/>
      <c r="S389" s="234"/>
      <c r="T389" s="234"/>
      <c r="U389" s="234"/>
      <c r="V389" s="234"/>
      <c r="W389" s="234"/>
      <c r="X389" s="234"/>
      <c r="Y389" s="234"/>
      <c r="Z389" s="234"/>
      <c r="AA389" s="234"/>
    </row>
    <row r="390" ht="14.25" customHeight="1">
      <c r="A390" s="234"/>
      <c r="B390" s="234"/>
      <c r="C390" s="234"/>
      <c r="D390" s="240"/>
      <c r="E390" s="240"/>
      <c r="F390" s="234"/>
      <c r="G390" s="234"/>
      <c r="H390" s="234"/>
      <c r="I390" s="234"/>
      <c r="J390" s="234"/>
      <c r="K390" s="234"/>
      <c r="L390" s="234"/>
      <c r="M390" s="234"/>
      <c r="N390" s="234"/>
      <c r="O390" s="234"/>
      <c r="P390" s="234"/>
      <c r="Q390" s="234"/>
      <c r="R390" s="234"/>
      <c r="S390" s="234"/>
      <c r="T390" s="234"/>
      <c r="U390" s="234"/>
      <c r="V390" s="234"/>
      <c r="W390" s="234"/>
      <c r="X390" s="234"/>
      <c r="Y390" s="234"/>
      <c r="Z390" s="234"/>
      <c r="AA390" s="234"/>
    </row>
    <row r="391" ht="14.25" customHeight="1">
      <c r="A391" s="234"/>
      <c r="B391" s="234"/>
      <c r="C391" s="234"/>
      <c r="D391" s="239"/>
      <c r="E391" s="239"/>
      <c r="F391" s="234"/>
      <c r="G391" s="234"/>
      <c r="H391" s="234"/>
      <c r="I391" s="234"/>
      <c r="J391" s="234"/>
      <c r="K391" s="234"/>
      <c r="L391" s="234"/>
      <c r="M391" s="234"/>
      <c r="N391" s="234"/>
      <c r="O391" s="234"/>
      <c r="P391" s="234"/>
      <c r="Q391" s="234"/>
      <c r="R391" s="234"/>
      <c r="S391" s="234"/>
      <c r="T391" s="234"/>
      <c r="U391" s="234"/>
      <c r="V391" s="234"/>
      <c r="W391" s="234"/>
      <c r="X391" s="234"/>
      <c r="Y391" s="234"/>
      <c r="Z391" s="234"/>
      <c r="AA391" s="234"/>
    </row>
    <row r="392" ht="14.25" customHeight="1">
      <c r="A392" s="234"/>
      <c r="B392" s="234"/>
      <c r="C392" s="234"/>
      <c r="D392" s="240"/>
      <c r="E392" s="240"/>
      <c r="F392" s="234"/>
      <c r="G392" s="234"/>
      <c r="H392" s="234"/>
      <c r="I392" s="234"/>
      <c r="J392" s="234"/>
      <c r="K392" s="234"/>
      <c r="L392" s="234"/>
      <c r="M392" s="234"/>
      <c r="N392" s="234"/>
      <c r="O392" s="234"/>
      <c r="P392" s="234"/>
      <c r="Q392" s="234"/>
      <c r="R392" s="234"/>
      <c r="S392" s="234"/>
      <c r="T392" s="234"/>
      <c r="U392" s="234"/>
      <c r="V392" s="234"/>
      <c r="W392" s="234"/>
      <c r="X392" s="234"/>
      <c r="Y392" s="234"/>
      <c r="Z392" s="234"/>
      <c r="AA392" s="234"/>
    </row>
    <row r="393" ht="14.25" customHeight="1">
      <c r="A393" s="234"/>
      <c r="B393" s="234"/>
      <c r="C393" s="234"/>
      <c r="D393" s="239"/>
      <c r="E393" s="239"/>
      <c r="F393" s="234"/>
      <c r="G393" s="234"/>
      <c r="H393" s="234"/>
      <c r="I393" s="234"/>
      <c r="J393" s="234"/>
      <c r="K393" s="234"/>
      <c r="L393" s="234"/>
      <c r="M393" s="234"/>
      <c r="N393" s="234"/>
      <c r="O393" s="234"/>
      <c r="P393" s="234"/>
      <c r="Q393" s="234"/>
      <c r="R393" s="234"/>
      <c r="S393" s="234"/>
      <c r="T393" s="234"/>
      <c r="U393" s="234"/>
      <c r="V393" s="234"/>
      <c r="W393" s="234"/>
      <c r="X393" s="234"/>
      <c r="Y393" s="234"/>
      <c r="Z393" s="234"/>
      <c r="AA393" s="234"/>
    </row>
    <row r="394" ht="14.25" customHeight="1">
      <c r="A394" s="234"/>
      <c r="B394" s="234"/>
      <c r="C394" s="234"/>
      <c r="D394" s="240"/>
      <c r="E394" s="240"/>
      <c r="F394" s="234"/>
      <c r="G394" s="234"/>
      <c r="H394" s="234"/>
      <c r="I394" s="234"/>
      <c r="J394" s="234"/>
      <c r="K394" s="234"/>
      <c r="L394" s="234"/>
      <c r="M394" s="234"/>
      <c r="N394" s="234"/>
      <c r="O394" s="234"/>
      <c r="P394" s="234"/>
      <c r="Q394" s="234"/>
      <c r="R394" s="234"/>
      <c r="S394" s="234"/>
      <c r="T394" s="234"/>
      <c r="U394" s="234"/>
      <c r="V394" s="234"/>
      <c r="W394" s="234"/>
      <c r="X394" s="234"/>
      <c r="Y394" s="234"/>
      <c r="Z394" s="234"/>
      <c r="AA394" s="234"/>
    </row>
    <row r="395" ht="14.25" customHeight="1">
      <c r="A395" s="234"/>
      <c r="B395" s="234"/>
      <c r="C395" s="234"/>
      <c r="D395" s="239"/>
      <c r="E395" s="239"/>
      <c r="F395" s="234"/>
      <c r="G395" s="234"/>
      <c r="H395" s="234"/>
      <c r="I395" s="234"/>
      <c r="J395" s="234"/>
      <c r="K395" s="234"/>
      <c r="L395" s="234"/>
      <c r="M395" s="234"/>
      <c r="N395" s="234"/>
      <c r="O395" s="234"/>
      <c r="P395" s="234"/>
      <c r="Q395" s="234"/>
      <c r="R395" s="234"/>
      <c r="S395" s="234"/>
      <c r="T395" s="234"/>
      <c r="U395" s="234"/>
      <c r="V395" s="234"/>
      <c r="W395" s="234"/>
      <c r="X395" s="234"/>
      <c r="Y395" s="234"/>
      <c r="Z395" s="234"/>
      <c r="AA395" s="234"/>
    </row>
    <row r="396" ht="14.25" customHeight="1">
      <c r="A396" s="234"/>
      <c r="B396" s="234"/>
      <c r="C396" s="234"/>
      <c r="D396" s="240"/>
      <c r="E396" s="240"/>
      <c r="F396" s="234"/>
      <c r="G396" s="234"/>
      <c r="H396" s="234"/>
      <c r="I396" s="234"/>
      <c r="J396" s="234"/>
      <c r="K396" s="234"/>
      <c r="L396" s="234"/>
      <c r="M396" s="234"/>
      <c r="N396" s="234"/>
      <c r="O396" s="234"/>
      <c r="P396" s="234"/>
      <c r="Q396" s="234"/>
      <c r="R396" s="234"/>
      <c r="S396" s="234"/>
      <c r="T396" s="234"/>
      <c r="U396" s="234"/>
      <c r="V396" s="234"/>
      <c r="W396" s="234"/>
      <c r="X396" s="234"/>
      <c r="Y396" s="234"/>
      <c r="Z396" s="234"/>
      <c r="AA396" s="234"/>
    </row>
    <row r="397" ht="14.25" customHeight="1">
      <c r="A397" s="234"/>
      <c r="B397" s="234"/>
      <c r="C397" s="234"/>
      <c r="D397" s="239"/>
      <c r="E397" s="239"/>
      <c r="F397" s="234"/>
      <c r="G397" s="234"/>
      <c r="H397" s="234"/>
      <c r="I397" s="234"/>
      <c r="J397" s="234"/>
      <c r="K397" s="234"/>
      <c r="L397" s="234"/>
      <c r="M397" s="234"/>
      <c r="N397" s="234"/>
      <c r="O397" s="234"/>
      <c r="P397" s="234"/>
      <c r="Q397" s="234"/>
      <c r="R397" s="234"/>
      <c r="S397" s="234"/>
      <c r="T397" s="234"/>
      <c r="U397" s="234"/>
      <c r="V397" s="234"/>
      <c r="W397" s="234"/>
      <c r="X397" s="234"/>
      <c r="Y397" s="234"/>
      <c r="Z397" s="234"/>
      <c r="AA397" s="234"/>
    </row>
    <row r="398" ht="14.25" customHeight="1">
      <c r="A398" s="234"/>
      <c r="B398" s="234"/>
      <c r="C398" s="234"/>
      <c r="D398" s="240"/>
      <c r="E398" s="240"/>
      <c r="F398" s="234"/>
      <c r="G398" s="234"/>
      <c r="H398" s="234"/>
      <c r="I398" s="234"/>
      <c r="J398" s="234"/>
      <c r="K398" s="234"/>
      <c r="L398" s="234"/>
      <c r="M398" s="234"/>
      <c r="N398" s="234"/>
      <c r="O398" s="234"/>
      <c r="P398" s="234"/>
      <c r="Q398" s="234"/>
      <c r="R398" s="234"/>
      <c r="S398" s="234"/>
      <c r="T398" s="234"/>
      <c r="U398" s="234"/>
      <c r="V398" s="234"/>
      <c r="W398" s="234"/>
      <c r="X398" s="234"/>
      <c r="Y398" s="234"/>
      <c r="Z398" s="234"/>
      <c r="AA398" s="234"/>
    </row>
    <row r="399" ht="14.25" customHeight="1">
      <c r="A399" s="234"/>
      <c r="B399" s="234"/>
      <c r="C399" s="234"/>
      <c r="D399" s="239"/>
      <c r="E399" s="239"/>
      <c r="F399" s="234"/>
      <c r="G399" s="234"/>
      <c r="H399" s="234"/>
      <c r="I399" s="234"/>
      <c r="J399" s="234"/>
      <c r="K399" s="234"/>
      <c r="L399" s="234"/>
      <c r="M399" s="234"/>
      <c r="N399" s="234"/>
      <c r="O399" s="234"/>
      <c r="P399" s="234"/>
      <c r="Q399" s="234"/>
      <c r="R399" s="234"/>
      <c r="S399" s="234"/>
      <c r="T399" s="234"/>
      <c r="U399" s="234"/>
      <c r="V399" s="234"/>
      <c r="W399" s="234"/>
      <c r="X399" s="234"/>
      <c r="Y399" s="234"/>
      <c r="Z399" s="234"/>
      <c r="AA399" s="234"/>
    </row>
    <row r="400" ht="14.25" customHeight="1">
      <c r="A400" s="234"/>
      <c r="B400" s="234"/>
      <c r="C400" s="234"/>
      <c r="D400" s="240"/>
      <c r="E400" s="240"/>
      <c r="F400" s="234"/>
      <c r="G400" s="234"/>
      <c r="H400" s="234"/>
      <c r="I400" s="234"/>
      <c r="J400" s="234"/>
      <c r="K400" s="234"/>
      <c r="L400" s="234"/>
      <c r="M400" s="234"/>
      <c r="N400" s="234"/>
      <c r="O400" s="234"/>
      <c r="P400" s="234"/>
      <c r="Q400" s="234"/>
      <c r="R400" s="234"/>
      <c r="S400" s="234"/>
      <c r="T400" s="234"/>
      <c r="U400" s="234"/>
      <c r="V400" s="234"/>
      <c r="W400" s="234"/>
      <c r="X400" s="234"/>
      <c r="Y400" s="234"/>
      <c r="Z400" s="234"/>
      <c r="AA400" s="234"/>
    </row>
    <row r="401" ht="14.25" customHeight="1">
      <c r="A401" s="234"/>
      <c r="B401" s="234"/>
      <c r="C401" s="234"/>
      <c r="D401" s="240"/>
      <c r="E401" s="240"/>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row>
    <row r="402" ht="14.25" customHeight="1">
      <c r="A402" s="234"/>
      <c r="B402" s="234"/>
      <c r="C402" s="234"/>
      <c r="D402" s="239"/>
      <c r="E402" s="239"/>
      <c r="F402" s="234"/>
      <c r="G402" s="234"/>
      <c r="H402" s="234"/>
      <c r="I402" s="234"/>
      <c r="J402" s="234"/>
      <c r="K402" s="234"/>
      <c r="L402" s="234"/>
      <c r="M402" s="234"/>
      <c r="N402" s="234"/>
      <c r="O402" s="234"/>
      <c r="P402" s="234"/>
      <c r="Q402" s="234"/>
      <c r="R402" s="234"/>
      <c r="S402" s="234"/>
      <c r="T402" s="234"/>
      <c r="U402" s="234"/>
      <c r="V402" s="234"/>
      <c r="W402" s="234"/>
      <c r="X402" s="234"/>
      <c r="Y402" s="234"/>
      <c r="Z402" s="234"/>
      <c r="AA402" s="234"/>
    </row>
    <row r="403" ht="14.25" customHeight="1">
      <c r="A403" s="234"/>
      <c r="B403" s="234"/>
      <c r="C403" s="234"/>
      <c r="D403" s="240"/>
      <c r="E403" s="240"/>
      <c r="F403" s="234"/>
      <c r="G403" s="234"/>
      <c r="H403" s="234"/>
      <c r="I403" s="234"/>
      <c r="J403" s="234"/>
      <c r="K403" s="234"/>
      <c r="L403" s="234"/>
      <c r="M403" s="234"/>
      <c r="N403" s="234"/>
      <c r="O403" s="234"/>
      <c r="P403" s="234"/>
      <c r="Q403" s="234"/>
      <c r="R403" s="234"/>
      <c r="S403" s="234"/>
      <c r="T403" s="234"/>
      <c r="U403" s="234"/>
      <c r="V403" s="234"/>
      <c r="W403" s="234"/>
      <c r="X403" s="234"/>
      <c r="Y403" s="234"/>
      <c r="Z403" s="234"/>
      <c r="AA403" s="234"/>
    </row>
    <row r="404" ht="14.25" customHeight="1">
      <c r="A404" s="234"/>
      <c r="B404" s="234"/>
      <c r="C404" s="234"/>
      <c r="D404" s="239"/>
      <c r="E404" s="239"/>
      <c r="F404" s="234"/>
      <c r="G404" s="234"/>
      <c r="H404" s="234"/>
      <c r="I404" s="234"/>
      <c r="J404" s="234"/>
      <c r="K404" s="234"/>
      <c r="L404" s="234"/>
      <c r="M404" s="234"/>
      <c r="N404" s="234"/>
      <c r="O404" s="234"/>
      <c r="P404" s="234"/>
      <c r="Q404" s="234"/>
      <c r="R404" s="234"/>
      <c r="S404" s="234"/>
      <c r="T404" s="234"/>
      <c r="U404" s="234"/>
      <c r="V404" s="234"/>
      <c r="W404" s="234"/>
      <c r="X404" s="234"/>
      <c r="Y404" s="234"/>
      <c r="Z404" s="234"/>
      <c r="AA404" s="234"/>
    </row>
    <row r="405" ht="14.25" customHeight="1">
      <c r="A405" s="234"/>
      <c r="B405" s="234"/>
      <c r="C405" s="234"/>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c r="AA405" s="234"/>
    </row>
    <row r="406" ht="14.25" customHeight="1">
      <c r="A406" s="234"/>
      <c r="B406" s="234"/>
      <c r="C406" s="234"/>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c r="AA406" s="234"/>
    </row>
    <row r="407" ht="14.25" customHeight="1">
      <c r="A407" s="234"/>
      <c r="B407" s="234"/>
      <c r="C407" s="234"/>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c r="AA407" s="234"/>
    </row>
    <row r="408" ht="14.25" customHeight="1">
      <c r="A408" s="234"/>
      <c r="B408" s="234"/>
      <c r="C408" s="234"/>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c r="AA408" s="234"/>
    </row>
    <row r="409" ht="14.25" customHeight="1">
      <c r="A409" s="234"/>
      <c r="B409" s="234"/>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row>
    <row r="410" ht="14.25" customHeight="1">
      <c r="A410" s="234"/>
      <c r="B410" s="234"/>
      <c r="C410" s="234"/>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c r="AA410" s="234"/>
    </row>
    <row r="411" ht="14.25" customHeight="1">
      <c r="A411" s="234"/>
      <c r="B411" s="234"/>
      <c r="C411" s="234"/>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c r="AA411" s="234"/>
    </row>
    <row r="412" ht="14.25" customHeight="1">
      <c r="A412" s="234"/>
      <c r="B412" s="234"/>
      <c r="C412" s="234"/>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c r="AA412" s="234"/>
    </row>
    <row r="413" ht="14.25" customHeight="1">
      <c r="A413" s="234"/>
      <c r="B413" s="234"/>
      <c r="C413" s="234"/>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c r="AA413" s="234"/>
    </row>
    <row r="414" ht="14.25" customHeight="1">
      <c r="A414" s="234"/>
      <c r="B414" s="234"/>
      <c r="C414" s="234"/>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c r="AA414" s="234"/>
    </row>
    <row r="415" ht="14.25" customHeight="1">
      <c r="A415" s="234"/>
      <c r="B415" s="234"/>
      <c r="C415" s="234"/>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c r="AA415" s="234"/>
    </row>
    <row r="416" ht="14.25" customHeight="1">
      <c r="A416" s="234"/>
      <c r="B416" s="234"/>
      <c r="C416" s="234"/>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c r="AA416" s="234"/>
    </row>
    <row r="417" ht="14.25" customHeight="1">
      <c r="A417" s="234"/>
      <c r="B417" s="234"/>
      <c r="C417" s="234"/>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c r="AA417" s="234"/>
    </row>
    <row r="418" ht="14.25" customHeight="1">
      <c r="A418" s="234"/>
      <c r="B418" s="234"/>
      <c r="C418" s="234"/>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c r="AA418" s="234"/>
    </row>
    <row r="419" ht="14.25" customHeight="1">
      <c r="A419" s="234"/>
      <c r="B419" s="234"/>
      <c r="C419" s="234"/>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c r="AA419" s="234"/>
    </row>
    <row r="420" ht="14.25" customHeight="1">
      <c r="A420" s="234"/>
      <c r="B420" s="234"/>
      <c r="C420" s="234"/>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c r="AA420" s="234"/>
    </row>
    <row r="421" ht="14.25" customHeight="1">
      <c r="A421" s="234"/>
      <c r="B421" s="234"/>
      <c r="C421" s="234"/>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c r="AA421" s="234"/>
    </row>
    <row r="422" ht="14.25" customHeight="1">
      <c r="A422" s="234"/>
      <c r="B422" s="234"/>
      <c r="C422" s="234"/>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c r="AA422" s="234"/>
    </row>
    <row r="423" ht="14.25" customHeight="1">
      <c r="A423" s="234"/>
      <c r="B423" s="234"/>
      <c r="C423" s="234"/>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c r="AA423" s="234"/>
    </row>
    <row r="424" ht="14.25" customHeight="1">
      <c r="A424" s="234"/>
      <c r="B424" s="234"/>
      <c r="C424" s="234"/>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c r="AA424" s="234"/>
    </row>
    <row r="425" ht="14.25" customHeight="1">
      <c r="A425" s="234"/>
      <c r="B425" s="234"/>
      <c r="C425" s="234"/>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c r="AA425" s="234"/>
    </row>
    <row r="426" ht="14.25" customHeight="1">
      <c r="A426" s="234"/>
      <c r="B426" s="234"/>
      <c r="C426" s="234"/>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c r="AA426" s="234"/>
    </row>
    <row r="427" ht="14.25" customHeight="1">
      <c r="A427" s="234"/>
      <c r="B427" s="234"/>
      <c r="C427" s="234"/>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c r="AA427" s="234"/>
    </row>
    <row r="428" ht="14.25" customHeight="1">
      <c r="A428" s="234"/>
      <c r="B428" s="234"/>
      <c r="C428" s="234"/>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c r="AA428" s="234"/>
    </row>
    <row r="429" ht="14.25" customHeight="1">
      <c r="A429" s="234"/>
      <c r="B429" s="234"/>
      <c r="C429" s="234"/>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c r="AA429" s="234"/>
    </row>
    <row r="430" ht="14.25" customHeight="1">
      <c r="A430" s="234"/>
      <c r="B430" s="234"/>
      <c r="C430" s="234"/>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c r="AA430" s="234"/>
    </row>
    <row r="431" ht="14.25" customHeight="1">
      <c r="A431" s="234"/>
      <c r="B431" s="234"/>
      <c r="C431" s="234"/>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c r="AA431" s="234"/>
    </row>
    <row r="432" ht="14.25" customHeight="1">
      <c r="A432" s="234"/>
      <c r="B432" s="234"/>
      <c r="C432" s="234"/>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c r="AA432" s="234"/>
    </row>
    <row r="433" ht="14.25" customHeight="1">
      <c r="A433" s="234"/>
      <c r="B433" s="234"/>
      <c r="C433" s="234"/>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c r="AA433" s="234"/>
    </row>
    <row r="434" ht="14.25" customHeight="1">
      <c r="A434" s="234"/>
      <c r="B434" s="234"/>
      <c r="C434" s="234"/>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c r="AA434" s="234"/>
    </row>
    <row r="435" ht="14.25" customHeight="1">
      <c r="A435" s="234"/>
      <c r="B435" s="234"/>
      <c r="C435" s="234"/>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c r="AA435" s="234"/>
    </row>
    <row r="436" ht="14.25" customHeight="1">
      <c r="A436" s="234"/>
      <c r="B436" s="234"/>
      <c r="C436" s="234"/>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c r="AA436" s="234"/>
    </row>
    <row r="437" ht="14.25" customHeight="1">
      <c r="A437" s="234"/>
      <c r="B437" s="234"/>
      <c r="C437" s="234"/>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c r="AA437" s="234"/>
    </row>
    <row r="438" ht="14.25" customHeight="1">
      <c r="A438" s="234"/>
      <c r="B438" s="234"/>
      <c r="C438" s="234"/>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c r="AA438" s="234"/>
    </row>
    <row r="439" ht="14.25" customHeight="1">
      <c r="A439" s="234"/>
      <c r="B439" s="234"/>
      <c r="C439" s="234"/>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c r="AA439" s="234"/>
    </row>
    <row r="440" ht="14.25" customHeight="1">
      <c r="A440" s="234"/>
      <c r="B440" s="234"/>
      <c r="C440" s="234"/>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c r="AA440" s="234"/>
    </row>
    <row r="441" ht="14.25" customHeight="1">
      <c r="A441" s="234"/>
      <c r="B441" s="234"/>
      <c r="C441" s="234"/>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c r="AA441" s="234"/>
    </row>
    <row r="442" ht="14.25" customHeight="1">
      <c r="A442" s="234"/>
      <c r="B442" s="234"/>
      <c r="C442" s="234"/>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c r="AA442" s="234"/>
    </row>
    <row r="443" ht="14.25" customHeight="1">
      <c r="A443" s="234"/>
      <c r="B443" s="234"/>
      <c r="C443" s="234"/>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c r="AA443" s="234"/>
    </row>
    <row r="444" ht="14.25" customHeight="1">
      <c r="A444" s="234"/>
      <c r="B444" s="234"/>
      <c r="C444" s="234"/>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c r="AA444" s="234"/>
    </row>
    <row r="445" ht="14.25" customHeight="1">
      <c r="A445" s="234"/>
      <c r="B445" s="234"/>
      <c r="C445" s="234"/>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c r="AA445" s="234"/>
    </row>
    <row r="446" ht="14.25" customHeight="1">
      <c r="A446" s="234"/>
      <c r="B446" s="234"/>
      <c r="C446" s="234"/>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c r="AA446" s="234"/>
    </row>
    <row r="447" ht="14.25" customHeight="1">
      <c r="A447" s="234"/>
      <c r="B447" s="234"/>
      <c r="C447" s="234"/>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c r="AA447" s="234"/>
    </row>
    <row r="448" ht="14.25" customHeight="1">
      <c r="A448" s="234"/>
      <c r="B448" s="234"/>
      <c r="C448" s="234"/>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c r="AA448" s="234"/>
    </row>
    <row r="449" ht="14.25" customHeight="1">
      <c r="A449" s="234"/>
      <c r="B449" s="234"/>
      <c r="C449" s="234"/>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c r="AA449" s="234"/>
    </row>
    <row r="450" ht="14.25" customHeight="1">
      <c r="A450" s="234"/>
      <c r="B450" s="234"/>
      <c r="C450" s="234"/>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c r="AA450" s="234"/>
    </row>
    <row r="451" ht="14.25" customHeight="1">
      <c r="A451" s="234"/>
      <c r="B451" s="234"/>
      <c r="C451" s="234"/>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c r="AA451" s="234"/>
    </row>
    <row r="452" ht="14.25" customHeight="1">
      <c r="A452" s="234"/>
      <c r="B452" s="234"/>
      <c r="C452" s="234"/>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c r="AA452" s="234"/>
    </row>
    <row r="453" ht="14.25" customHeight="1">
      <c r="A453" s="234"/>
      <c r="B453" s="234"/>
      <c r="C453" s="234"/>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c r="AA453" s="234"/>
    </row>
    <row r="454" ht="14.25" customHeight="1">
      <c r="A454" s="234"/>
      <c r="B454" s="234"/>
      <c r="C454" s="234"/>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c r="AA454" s="234"/>
    </row>
    <row r="455" ht="14.25" customHeight="1">
      <c r="A455" s="234"/>
      <c r="B455" s="234"/>
      <c r="C455" s="234"/>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c r="AA455" s="234"/>
    </row>
    <row r="456" ht="14.25" customHeight="1">
      <c r="A456" s="234"/>
      <c r="B456" s="234"/>
      <c r="C456" s="234"/>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c r="AA456" s="234"/>
    </row>
    <row r="457" ht="14.25" customHeight="1">
      <c r="A457" s="234"/>
      <c r="B457" s="234"/>
      <c r="C457" s="234"/>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c r="AA457" s="234"/>
    </row>
    <row r="458" ht="14.25" customHeight="1">
      <c r="A458" s="234"/>
      <c r="B458" s="234"/>
      <c r="C458" s="234"/>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c r="AA458" s="234"/>
    </row>
    <row r="459" ht="14.25" customHeight="1">
      <c r="A459" s="234"/>
      <c r="B459" s="234"/>
      <c r="C459" s="234"/>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c r="AA459" s="234"/>
    </row>
    <row r="460" ht="14.25" customHeight="1">
      <c r="A460" s="234"/>
      <c r="B460" s="234"/>
      <c r="C460" s="234"/>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c r="AA460" s="234"/>
    </row>
    <row r="461" ht="14.25" customHeight="1">
      <c r="A461" s="234"/>
      <c r="B461" s="234"/>
      <c r="C461" s="234"/>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c r="AA461" s="234"/>
    </row>
    <row r="462" ht="14.25" customHeight="1">
      <c r="A462" s="234"/>
      <c r="B462" s="234"/>
      <c r="C462" s="234"/>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c r="AA462" s="234"/>
    </row>
    <row r="463" ht="14.25" customHeight="1">
      <c r="A463" s="234"/>
      <c r="B463" s="234"/>
      <c r="C463" s="234"/>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c r="AA463" s="234"/>
    </row>
    <row r="464" ht="14.25" customHeight="1">
      <c r="A464" s="234"/>
      <c r="B464" s="234"/>
      <c r="C464" s="234"/>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c r="AA464" s="234"/>
    </row>
    <row r="465" ht="14.25" customHeight="1">
      <c r="A465" s="234"/>
      <c r="B465" s="234"/>
      <c r="C465" s="234"/>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c r="AA465" s="234"/>
    </row>
    <row r="466" ht="14.25" customHeight="1">
      <c r="A466" s="234"/>
      <c r="B466" s="234"/>
      <c r="C466" s="234"/>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c r="AA466" s="234"/>
    </row>
    <row r="467" ht="14.25" customHeight="1">
      <c r="A467" s="234"/>
      <c r="B467" s="234"/>
      <c r="C467" s="234"/>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c r="AA467" s="234"/>
    </row>
    <row r="468" ht="14.25" customHeight="1">
      <c r="A468" s="234"/>
      <c r="B468" s="234"/>
      <c r="C468" s="234"/>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c r="AA468" s="234"/>
    </row>
    <row r="469" ht="14.25" customHeight="1">
      <c r="A469" s="234"/>
      <c r="B469" s="234"/>
      <c r="C469" s="234"/>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c r="AA469" s="234"/>
    </row>
    <row r="470" ht="14.25" customHeight="1">
      <c r="A470" s="234"/>
      <c r="B470" s="234"/>
      <c r="C470" s="234"/>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c r="AA470" s="234"/>
    </row>
    <row r="471" ht="14.25" customHeight="1">
      <c r="A471" s="234"/>
      <c r="B471" s="234"/>
      <c r="C471" s="234"/>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c r="AA471" s="234"/>
    </row>
    <row r="472" ht="14.25" customHeight="1">
      <c r="A472" s="234"/>
      <c r="B472" s="234"/>
      <c r="C472" s="234"/>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c r="AA472" s="234"/>
    </row>
    <row r="473" ht="14.25" customHeight="1">
      <c r="A473" s="234"/>
      <c r="B473" s="234"/>
      <c r="C473" s="234"/>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c r="AA473" s="234"/>
    </row>
    <row r="474" ht="14.25" customHeight="1">
      <c r="A474" s="234"/>
      <c r="B474" s="234"/>
      <c r="C474" s="234"/>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c r="AA474" s="234"/>
    </row>
    <row r="475" ht="14.25" customHeight="1">
      <c r="A475" s="234"/>
      <c r="B475" s="234"/>
      <c r="C475" s="234"/>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c r="AA475" s="234"/>
    </row>
    <row r="476" ht="14.25" customHeight="1">
      <c r="A476" s="234"/>
      <c r="B476" s="234"/>
      <c r="C476" s="234"/>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c r="AA476" s="234"/>
    </row>
    <row r="477" ht="14.25" customHeight="1">
      <c r="A477" s="234"/>
      <c r="B477" s="234"/>
      <c r="C477" s="234"/>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c r="AA477" s="234"/>
    </row>
    <row r="478" ht="14.25" customHeight="1">
      <c r="A478" s="234"/>
      <c r="B478" s="234"/>
      <c r="C478" s="234"/>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c r="AA478" s="234"/>
    </row>
    <row r="479" ht="14.25" customHeight="1">
      <c r="A479" s="234"/>
      <c r="B479" s="234"/>
      <c r="C479" s="234"/>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c r="AA479" s="234"/>
    </row>
    <row r="480" ht="14.25" customHeight="1">
      <c r="A480" s="234"/>
      <c r="B480" s="234"/>
      <c r="C480" s="234"/>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c r="AA480" s="234"/>
    </row>
    <row r="481" ht="14.25" customHeight="1">
      <c r="A481" s="234"/>
      <c r="B481" s="234"/>
      <c r="C481" s="234"/>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c r="AA481" s="234"/>
    </row>
    <row r="482" ht="14.25" customHeight="1">
      <c r="A482" s="234"/>
      <c r="B482" s="234"/>
      <c r="C482" s="234"/>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c r="AA482" s="234"/>
    </row>
    <row r="483" ht="14.25" customHeight="1">
      <c r="A483" s="234"/>
      <c r="B483" s="234"/>
      <c r="C483" s="234"/>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c r="AA483" s="234"/>
    </row>
    <row r="484" ht="14.25" customHeight="1">
      <c r="A484" s="234"/>
      <c r="B484" s="234"/>
      <c r="C484" s="234"/>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c r="AA484" s="234"/>
    </row>
    <row r="485" ht="14.25" customHeight="1">
      <c r="A485" s="234"/>
      <c r="B485" s="234"/>
      <c r="C485" s="234"/>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c r="AA485" s="234"/>
    </row>
    <row r="486" ht="14.25" customHeight="1">
      <c r="A486" s="234"/>
      <c r="B486" s="234"/>
      <c r="C486" s="234"/>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c r="AA486" s="234"/>
    </row>
    <row r="487" ht="14.25" customHeight="1">
      <c r="A487" s="234"/>
      <c r="B487" s="234"/>
      <c r="C487" s="234"/>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c r="AA487" s="234"/>
    </row>
    <row r="488" ht="14.25" customHeight="1">
      <c r="A488" s="234"/>
      <c r="B488" s="234"/>
      <c r="C488" s="234"/>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c r="AA488" s="234"/>
    </row>
    <row r="489" ht="14.25" customHeight="1">
      <c r="A489" s="234"/>
      <c r="B489" s="234"/>
      <c r="C489" s="234"/>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c r="AA489" s="234"/>
    </row>
    <row r="490" ht="14.25" customHeight="1">
      <c r="A490" s="234"/>
      <c r="B490" s="234"/>
      <c r="C490" s="234"/>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c r="AA490" s="234"/>
    </row>
    <row r="491" ht="14.25" customHeight="1">
      <c r="A491" s="234"/>
      <c r="B491" s="234"/>
      <c r="C491" s="234"/>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c r="AA491" s="234"/>
    </row>
    <row r="492" ht="14.25" customHeight="1">
      <c r="A492" s="234"/>
      <c r="B492" s="234"/>
      <c r="C492" s="234"/>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c r="AA492" s="234"/>
    </row>
    <row r="493" ht="14.25" customHeight="1">
      <c r="A493" s="234"/>
      <c r="B493" s="234"/>
      <c r="C493" s="234"/>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c r="AA493" s="234"/>
    </row>
    <row r="494" ht="14.25" customHeight="1">
      <c r="A494" s="234"/>
      <c r="B494" s="234"/>
      <c r="C494" s="234"/>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c r="AA494" s="234"/>
    </row>
    <row r="495" ht="14.25" customHeight="1">
      <c r="A495" s="234"/>
      <c r="B495" s="234"/>
      <c r="C495" s="234"/>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c r="AA495" s="234"/>
    </row>
    <row r="496" ht="14.25" customHeight="1">
      <c r="A496" s="234"/>
      <c r="B496" s="234"/>
      <c r="C496" s="234"/>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c r="AA496" s="234"/>
    </row>
    <row r="497" ht="14.25" customHeight="1">
      <c r="A497" s="234"/>
      <c r="B497" s="234"/>
      <c r="C497" s="234"/>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c r="AA497" s="234"/>
    </row>
    <row r="498" ht="14.25" customHeight="1">
      <c r="A498" s="234"/>
      <c r="B498" s="234"/>
      <c r="C498" s="234"/>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c r="AA498" s="234"/>
    </row>
    <row r="499" ht="14.25" customHeight="1">
      <c r="A499" s="234"/>
      <c r="B499" s="234"/>
      <c r="C499" s="234"/>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c r="AA499" s="234"/>
    </row>
    <row r="500" ht="14.25" customHeight="1">
      <c r="A500" s="234"/>
      <c r="B500" s="234"/>
      <c r="C500" s="234"/>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c r="AA500" s="234"/>
    </row>
    <row r="501" ht="14.25" customHeight="1">
      <c r="A501" s="234"/>
      <c r="B501" s="234"/>
      <c r="C501" s="234"/>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c r="AA501" s="234"/>
    </row>
    <row r="502" ht="14.25" customHeight="1">
      <c r="A502" s="234"/>
      <c r="B502" s="234"/>
      <c r="C502" s="234"/>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c r="AA502" s="234"/>
    </row>
    <row r="503" ht="14.25" customHeight="1">
      <c r="A503" s="234"/>
      <c r="B503" s="234"/>
      <c r="C503" s="234"/>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c r="AA503" s="234"/>
    </row>
    <row r="504" ht="14.25" customHeight="1">
      <c r="A504" s="234"/>
      <c r="B504" s="234"/>
      <c r="C504" s="234"/>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c r="AA504" s="234"/>
    </row>
    <row r="505" ht="14.25" customHeight="1">
      <c r="A505" s="234"/>
      <c r="B505" s="234"/>
      <c r="C505" s="234"/>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c r="AA505" s="234"/>
    </row>
    <row r="506" ht="14.25" customHeight="1">
      <c r="A506" s="234"/>
      <c r="B506" s="234"/>
      <c r="C506" s="234"/>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c r="AA506" s="234"/>
    </row>
    <row r="507" ht="14.25" customHeight="1">
      <c r="A507" s="234"/>
      <c r="B507" s="234"/>
      <c r="C507" s="234"/>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c r="AA507" s="234"/>
    </row>
    <row r="508" ht="14.25" customHeight="1">
      <c r="A508" s="234"/>
      <c r="B508" s="234"/>
      <c r="C508" s="234"/>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c r="AA508" s="234"/>
    </row>
    <row r="509" ht="14.25" customHeight="1">
      <c r="A509" s="234"/>
      <c r="B509" s="234"/>
      <c r="C509" s="234"/>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c r="AA509" s="234"/>
    </row>
    <row r="510" ht="14.25" customHeight="1">
      <c r="A510" s="234"/>
      <c r="B510" s="234"/>
      <c r="C510" s="234"/>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c r="AA510" s="234"/>
    </row>
    <row r="511" ht="14.25" customHeight="1">
      <c r="A511" s="234"/>
      <c r="B511" s="234"/>
      <c r="C511" s="234"/>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c r="AA511" s="234"/>
    </row>
    <row r="512" ht="14.25" customHeight="1">
      <c r="A512" s="234"/>
      <c r="B512" s="234"/>
      <c r="C512" s="234"/>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c r="AA512" s="234"/>
    </row>
    <row r="513" ht="14.25" customHeight="1">
      <c r="A513" s="234"/>
      <c r="B513" s="234"/>
      <c r="C513" s="234"/>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c r="AA513" s="234"/>
    </row>
    <row r="514" ht="14.25" customHeight="1">
      <c r="A514" s="234"/>
      <c r="B514" s="234"/>
      <c r="C514" s="234"/>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c r="AA514" s="234"/>
    </row>
    <row r="515" ht="14.25" customHeight="1">
      <c r="A515" s="234"/>
      <c r="B515" s="234"/>
      <c r="C515" s="234"/>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c r="AA515" s="234"/>
    </row>
    <row r="516" ht="14.25" customHeight="1">
      <c r="A516" s="234"/>
      <c r="B516" s="234"/>
      <c r="C516" s="234"/>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c r="AA516" s="234"/>
    </row>
    <row r="517" ht="14.25" customHeight="1">
      <c r="A517" s="234"/>
      <c r="B517" s="234"/>
      <c r="C517" s="234"/>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c r="AA517" s="234"/>
    </row>
    <row r="518" ht="14.25" customHeight="1">
      <c r="A518" s="234"/>
      <c r="B518" s="234"/>
      <c r="C518" s="234"/>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c r="AA518" s="234"/>
    </row>
    <row r="519" ht="14.25" customHeight="1">
      <c r="A519" s="234"/>
      <c r="B519" s="234"/>
      <c r="C519" s="234"/>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c r="AA519" s="234"/>
    </row>
    <row r="520" ht="14.25" customHeight="1">
      <c r="A520" s="234"/>
      <c r="B520" s="234"/>
      <c r="C520" s="234"/>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c r="AA520" s="234"/>
    </row>
    <row r="521" ht="14.25" customHeight="1">
      <c r="A521" s="234"/>
      <c r="B521" s="234"/>
      <c r="C521" s="234"/>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c r="AA521" s="234"/>
    </row>
    <row r="522" ht="14.25" customHeight="1">
      <c r="A522" s="234"/>
      <c r="B522" s="234"/>
      <c r="C522" s="234"/>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c r="AA522" s="234"/>
    </row>
    <row r="523" ht="14.25" customHeight="1">
      <c r="A523" s="234"/>
      <c r="B523" s="234"/>
      <c r="C523" s="234"/>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c r="AA523" s="234"/>
    </row>
    <row r="524" ht="14.25" customHeight="1">
      <c r="A524" s="234"/>
      <c r="B524" s="234"/>
      <c r="C524" s="234"/>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c r="AA524" s="234"/>
    </row>
    <row r="525" ht="14.25" customHeight="1">
      <c r="A525" s="234"/>
      <c r="B525" s="234"/>
      <c r="C525" s="234"/>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c r="AA525" s="234"/>
    </row>
    <row r="526" ht="14.25" customHeight="1">
      <c r="A526" s="234"/>
      <c r="B526" s="234"/>
      <c r="C526" s="234"/>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c r="AA526" s="234"/>
    </row>
    <row r="527" ht="14.25" customHeight="1">
      <c r="A527" s="234"/>
      <c r="B527" s="234"/>
      <c r="C527" s="234"/>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c r="AA527" s="234"/>
    </row>
    <row r="528" ht="14.25" customHeight="1">
      <c r="A528" s="234"/>
      <c r="B528" s="234"/>
      <c r="C528" s="234"/>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c r="AA528" s="234"/>
    </row>
    <row r="529" ht="14.25" customHeight="1">
      <c r="A529" s="234"/>
      <c r="B529" s="234"/>
      <c r="C529" s="234"/>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c r="AA529" s="234"/>
    </row>
    <row r="530" ht="14.25" customHeight="1">
      <c r="A530" s="234"/>
      <c r="B530" s="234"/>
      <c r="C530" s="234"/>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c r="AA530" s="234"/>
    </row>
    <row r="531" ht="14.25" customHeight="1">
      <c r="A531" s="234"/>
      <c r="B531" s="234"/>
      <c r="C531" s="234"/>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c r="AA531" s="234"/>
    </row>
    <row r="532" ht="14.25" customHeight="1">
      <c r="A532" s="234"/>
      <c r="B532" s="234"/>
      <c r="C532" s="234"/>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c r="AA532" s="234"/>
    </row>
    <row r="533" ht="14.25" customHeight="1">
      <c r="A533" s="234"/>
      <c r="B533" s="234"/>
      <c r="C533" s="234"/>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c r="AA533" s="234"/>
    </row>
    <row r="534" ht="14.25" customHeight="1">
      <c r="A534" s="234"/>
      <c r="B534" s="234"/>
      <c r="C534" s="234"/>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c r="AA534" s="234"/>
    </row>
    <row r="535" ht="14.25" customHeight="1">
      <c r="A535" s="234"/>
      <c r="B535" s="234"/>
      <c r="C535" s="234"/>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c r="AA535" s="234"/>
    </row>
    <row r="536" ht="14.25" customHeight="1">
      <c r="A536" s="234"/>
      <c r="B536" s="234"/>
      <c r="C536" s="234"/>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c r="AA536" s="234"/>
    </row>
    <row r="537" ht="14.25" customHeight="1">
      <c r="A537" s="234"/>
      <c r="B537" s="234"/>
      <c r="C537" s="234"/>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c r="AA537" s="234"/>
    </row>
    <row r="538" ht="14.25" customHeight="1">
      <c r="A538" s="234"/>
      <c r="B538" s="234"/>
      <c r="C538" s="234"/>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c r="AA538" s="234"/>
    </row>
    <row r="539" ht="14.25" customHeight="1">
      <c r="A539" s="234"/>
      <c r="B539" s="234"/>
      <c r="C539" s="234"/>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c r="AA539" s="234"/>
    </row>
    <row r="540" ht="14.25" customHeight="1">
      <c r="A540" s="234"/>
      <c r="B540" s="234"/>
      <c r="C540" s="234"/>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c r="AA540" s="234"/>
    </row>
    <row r="541" ht="14.25" customHeight="1">
      <c r="A541" s="234"/>
      <c r="B541" s="234"/>
      <c r="C541" s="234"/>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c r="AA541" s="234"/>
    </row>
    <row r="542" ht="14.25" customHeight="1">
      <c r="A542" s="234"/>
      <c r="B542" s="234"/>
      <c r="C542" s="234"/>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c r="AA542" s="234"/>
    </row>
    <row r="543" ht="14.25" customHeight="1">
      <c r="A543" s="234"/>
      <c r="B543" s="234"/>
      <c r="C543" s="234"/>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c r="AA543" s="234"/>
    </row>
    <row r="544" ht="14.25" customHeight="1">
      <c r="A544" s="234"/>
      <c r="B544" s="234"/>
      <c r="C544" s="234"/>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c r="AA544" s="234"/>
    </row>
    <row r="545" ht="14.25" customHeight="1">
      <c r="A545" s="234"/>
      <c r="B545" s="234"/>
      <c r="C545" s="234"/>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c r="AA545" s="234"/>
    </row>
    <row r="546" ht="14.25" customHeight="1">
      <c r="A546" s="234"/>
      <c r="B546" s="234"/>
      <c r="C546" s="234"/>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c r="AA546" s="234"/>
    </row>
    <row r="547" ht="14.25" customHeight="1">
      <c r="A547" s="234"/>
      <c r="B547" s="234"/>
      <c r="C547" s="234"/>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c r="AA547" s="234"/>
    </row>
    <row r="548" ht="14.25" customHeight="1">
      <c r="A548" s="234"/>
      <c r="B548" s="234"/>
      <c r="C548" s="234"/>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c r="AA548" s="234"/>
    </row>
    <row r="549" ht="14.25" customHeight="1">
      <c r="A549" s="234"/>
      <c r="B549" s="234"/>
      <c r="C549" s="234"/>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c r="AA549" s="234"/>
    </row>
    <row r="550" ht="14.25" customHeight="1">
      <c r="A550" s="234"/>
      <c r="B550" s="234"/>
      <c r="C550" s="234"/>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c r="AA550" s="234"/>
    </row>
    <row r="551" ht="14.25" customHeight="1">
      <c r="A551" s="234"/>
      <c r="B551" s="234"/>
      <c r="C551" s="234"/>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c r="AA551" s="234"/>
    </row>
    <row r="552" ht="14.25" customHeight="1">
      <c r="A552" s="234"/>
      <c r="B552" s="234"/>
      <c r="C552" s="234"/>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c r="AA552" s="234"/>
    </row>
    <row r="553" ht="14.25" customHeight="1">
      <c r="A553" s="234"/>
      <c r="B553" s="234"/>
      <c r="C553" s="234"/>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c r="AA553" s="234"/>
    </row>
    <row r="554" ht="14.25" customHeight="1">
      <c r="A554" s="234"/>
      <c r="B554" s="234"/>
      <c r="C554" s="234"/>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c r="AA554" s="234"/>
    </row>
    <row r="555" ht="14.25" customHeight="1">
      <c r="A555" s="234"/>
      <c r="B555" s="234"/>
      <c r="C555" s="234"/>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c r="AA555" s="234"/>
    </row>
    <row r="556" ht="14.25" customHeight="1">
      <c r="A556" s="234"/>
      <c r="B556" s="234"/>
      <c r="C556" s="234"/>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c r="AA556" s="234"/>
    </row>
    <row r="557" ht="14.25" customHeight="1">
      <c r="A557" s="234"/>
      <c r="B557" s="234"/>
      <c r="C557" s="234"/>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c r="AA557" s="234"/>
    </row>
    <row r="558" ht="14.25" customHeight="1">
      <c r="A558" s="234"/>
      <c r="B558" s="234"/>
      <c r="C558" s="234"/>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c r="AA558" s="234"/>
    </row>
    <row r="559" ht="14.25" customHeight="1">
      <c r="A559" s="234"/>
      <c r="B559" s="234"/>
      <c r="C559" s="234"/>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c r="AA559" s="234"/>
    </row>
    <row r="560" ht="14.25" customHeight="1">
      <c r="A560" s="234"/>
      <c r="B560" s="234"/>
      <c r="C560" s="234"/>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c r="AA560" s="234"/>
    </row>
    <row r="561" ht="14.25" customHeight="1">
      <c r="A561" s="234"/>
      <c r="B561" s="234"/>
      <c r="C561" s="234"/>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c r="AA561" s="234"/>
    </row>
    <row r="562" ht="14.25" customHeight="1">
      <c r="A562" s="234"/>
      <c r="B562" s="234"/>
      <c r="C562" s="234"/>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c r="AA562" s="234"/>
    </row>
    <row r="563" ht="14.25" customHeight="1">
      <c r="A563" s="234"/>
      <c r="B563" s="234"/>
      <c r="C563" s="234"/>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c r="AA563" s="234"/>
    </row>
    <row r="564" ht="14.25" customHeight="1">
      <c r="A564" s="234"/>
      <c r="B564" s="234"/>
      <c r="C564" s="234"/>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c r="AA564" s="234"/>
    </row>
    <row r="565" ht="14.25" customHeight="1">
      <c r="A565" s="234"/>
      <c r="B565" s="234"/>
      <c r="C565" s="234"/>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c r="AA565" s="234"/>
    </row>
    <row r="566" ht="14.25" customHeight="1">
      <c r="A566" s="234"/>
      <c r="B566" s="234"/>
      <c r="C566" s="234"/>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c r="AA566" s="234"/>
    </row>
    <row r="567" ht="14.25" customHeight="1">
      <c r="A567" s="234"/>
      <c r="B567" s="234"/>
      <c r="C567" s="234"/>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c r="AA567" s="234"/>
    </row>
    <row r="568" ht="14.25" customHeight="1">
      <c r="A568" s="234"/>
      <c r="B568" s="234"/>
      <c r="C568" s="234"/>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c r="AA568" s="234"/>
    </row>
    <row r="569" ht="14.25" customHeight="1">
      <c r="A569" s="234"/>
      <c r="B569" s="234"/>
      <c r="C569" s="234"/>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c r="AA569" s="234"/>
    </row>
    <row r="570" ht="14.25" customHeight="1">
      <c r="A570" s="234"/>
      <c r="B570" s="234"/>
      <c r="C570" s="234"/>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c r="AA570" s="234"/>
    </row>
    <row r="571" ht="14.25" customHeight="1">
      <c r="A571" s="234"/>
      <c r="B571" s="234"/>
      <c r="C571" s="234"/>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c r="AA571" s="234"/>
    </row>
    <row r="572" ht="14.25" customHeight="1">
      <c r="A572" s="234"/>
      <c r="B572" s="234"/>
      <c r="C572" s="234"/>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c r="AA572" s="234"/>
    </row>
    <row r="573" ht="14.25" customHeight="1">
      <c r="A573" s="234"/>
      <c r="B573" s="234"/>
      <c r="C573" s="234"/>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c r="AA573" s="234"/>
    </row>
    <row r="574" ht="14.25" customHeight="1">
      <c r="A574" s="234"/>
      <c r="B574" s="234"/>
      <c r="C574" s="234"/>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c r="AA574" s="234"/>
    </row>
    <row r="575" ht="14.25" customHeight="1">
      <c r="A575" s="234"/>
      <c r="B575" s="234"/>
      <c r="C575" s="234"/>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c r="AA575" s="234"/>
    </row>
    <row r="576" ht="14.25" customHeight="1">
      <c r="A576" s="234"/>
      <c r="B576" s="234"/>
      <c r="C576" s="234"/>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c r="AA576" s="234"/>
    </row>
    <row r="577" ht="14.25" customHeight="1">
      <c r="A577" s="234"/>
      <c r="B577" s="234"/>
      <c r="C577" s="234"/>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c r="AA577" s="234"/>
    </row>
    <row r="578" ht="14.25" customHeight="1">
      <c r="A578" s="234"/>
      <c r="B578" s="234"/>
      <c r="C578" s="234"/>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c r="AA578" s="234"/>
    </row>
    <row r="579" ht="14.25" customHeight="1">
      <c r="A579" s="234"/>
      <c r="B579" s="234"/>
      <c r="C579" s="234"/>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c r="AA579" s="234"/>
    </row>
    <row r="580" ht="14.25" customHeight="1">
      <c r="A580" s="234"/>
      <c r="B580" s="234"/>
      <c r="C580" s="234"/>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c r="AA580" s="234"/>
    </row>
    <row r="581" ht="14.25" customHeight="1">
      <c r="A581" s="234"/>
      <c r="B581" s="234"/>
      <c r="C581" s="234"/>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c r="AA581" s="234"/>
    </row>
    <row r="582" ht="14.25" customHeight="1">
      <c r="A582" s="234"/>
      <c r="B582" s="234"/>
      <c r="C582" s="234"/>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c r="AA582" s="234"/>
    </row>
    <row r="583" ht="14.25" customHeight="1">
      <c r="A583" s="234"/>
      <c r="B583" s="234"/>
      <c r="C583" s="234"/>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c r="AA583" s="234"/>
    </row>
    <row r="584" ht="14.25" customHeight="1">
      <c r="A584" s="234"/>
      <c r="B584" s="234"/>
      <c r="C584" s="234"/>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c r="AA584" s="234"/>
    </row>
    <row r="585" ht="14.25" customHeight="1">
      <c r="A585" s="234"/>
      <c r="B585" s="234"/>
      <c r="C585" s="234"/>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c r="AA585" s="234"/>
    </row>
    <row r="586" ht="14.25" customHeight="1">
      <c r="A586" s="234"/>
      <c r="B586" s="234"/>
      <c r="C586" s="234"/>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c r="AA586" s="234"/>
    </row>
    <row r="587" ht="14.25" customHeight="1">
      <c r="A587" s="234"/>
      <c r="B587" s="234"/>
      <c r="C587" s="234"/>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c r="AA587" s="234"/>
    </row>
    <row r="588" ht="14.25" customHeight="1">
      <c r="A588" s="234"/>
      <c r="B588" s="234"/>
      <c r="C588" s="234"/>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c r="AA588" s="234"/>
    </row>
    <row r="589" ht="14.25" customHeight="1">
      <c r="A589" s="234"/>
      <c r="B589" s="234"/>
      <c r="C589" s="234"/>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c r="AA589" s="234"/>
    </row>
    <row r="590" ht="14.25" customHeight="1">
      <c r="A590" s="234"/>
      <c r="B590" s="234"/>
      <c r="C590" s="234"/>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c r="AA590" s="234"/>
    </row>
    <row r="591" ht="14.25" customHeight="1">
      <c r="A591" s="234"/>
      <c r="B591" s="234"/>
      <c r="C591" s="234"/>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c r="AA591" s="234"/>
    </row>
    <row r="592" ht="14.25" customHeight="1">
      <c r="A592" s="234"/>
      <c r="B592" s="234"/>
      <c r="C592" s="234"/>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c r="AA592" s="234"/>
    </row>
    <row r="593" ht="14.25" customHeight="1">
      <c r="A593" s="234"/>
      <c r="B593" s="234"/>
      <c r="C593" s="234"/>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c r="AA593" s="234"/>
    </row>
    <row r="594" ht="14.25" customHeight="1">
      <c r="A594" s="234"/>
      <c r="B594" s="234"/>
      <c r="C594" s="234"/>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c r="AA594" s="234"/>
    </row>
    <row r="595" ht="14.25" customHeight="1">
      <c r="A595" s="234"/>
      <c r="B595" s="234"/>
      <c r="C595" s="234"/>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c r="AA595" s="234"/>
    </row>
    <row r="596" ht="14.25" customHeight="1">
      <c r="A596" s="234"/>
      <c r="B596" s="234"/>
      <c r="C596" s="234"/>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c r="AA596" s="234"/>
    </row>
    <row r="597" ht="14.25" customHeight="1">
      <c r="A597" s="234"/>
      <c r="B597" s="234"/>
      <c r="C597" s="234"/>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c r="AA597" s="234"/>
    </row>
    <row r="598" ht="14.25" customHeight="1">
      <c r="A598" s="234"/>
      <c r="B598" s="234"/>
      <c r="C598" s="234"/>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c r="AA598" s="234"/>
    </row>
    <row r="599" ht="14.25" customHeight="1">
      <c r="A599" s="234"/>
      <c r="B599" s="234"/>
      <c r="C599" s="234"/>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c r="AA599" s="234"/>
    </row>
    <row r="600" ht="14.25" customHeight="1">
      <c r="A600" s="234"/>
      <c r="B600" s="234"/>
      <c r="C600" s="234"/>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c r="AA600" s="234"/>
    </row>
    <row r="601" ht="14.25" customHeight="1">
      <c r="A601" s="234"/>
      <c r="B601" s="234"/>
      <c r="C601" s="234"/>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c r="AA601" s="234"/>
    </row>
    <row r="602" ht="14.25" customHeight="1">
      <c r="A602" s="234"/>
      <c r="B602" s="234"/>
      <c r="C602" s="234"/>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c r="AA602" s="234"/>
    </row>
    <row r="603" ht="14.25" customHeight="1">
      <c r="A603" s="234"/>
      <c r="B603" s="234"/>
      <c r="C603" s="234"/>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c r="AA603" s="234"/>
    </row>
    <row r="604" ht="14.25" customHeight="1">
      <c r="A604" s="234"/>
      <c r="B604" s="234"/>
      <c r="C604" s="234"/>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c r="AA604" s="234"/>
    </row>
    <row r="605" ht="14.25" customHeight="1">
      <c r="A605" s="234"/>
      <c r="B605" s="234"/>
      <c r="C605" s="234"/>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c r="AA605" s="234"/>
    </row>
    <row r="606" ht="14.25" customHeight="1">
      <c r="A606" s="234"/>
      <c r="B606" s="234"/>
      <c r="C606" s="234"/>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c r="AA606" s="234"/>
    </row>
    <row r="607" ht="14.25" customHeight="1">
      <c r="A607" s="234"/>
      <c r="B607" s="234"/>
      <c r="C607" s="234"/>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c r="AA607" s="234"/>
    </row>
    <row r="608" ht="14.25" customHeight="1">
      <c r="A608" s="234"/>
      <c r="B608" s="234"/>
      <c r="C608" s="234"/>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c r="AA608" s="234"/>
    </row>
    <row r="609" ht="14.25" customHeight="1">
      <c r="A609" s="234"/>
      <c r="B609" s="234"/>
      <c r="C609" s="234"/>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c r="AA609" s="234"/>
    </row>
    <row r="610" ht="14.25" customHeight="1">
      <c r="A610" s="234"/>
      <c r="B610" s="234"/>
      <c r="C610" s="234"/>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c r="AA610" s="234"/>
    </row>
    <row r="611" ht="14.25" customHeight="1">
      <c r="A611" s="234"/>
      <c r="B611" s="234"/>
      <c r="C611" s="234"/>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c r="AA611" s="234"/>
    </row>
    <row r="612" ht="14.25" customHeight="1">
      <c r="A612" s="234"/>
      <c r="B612" s="234"/>
      <c r="C612" s="234"/>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c r="AA612" s="234"/>
    </row>
    <row r="613" ht="14.25" customHeight="1">
      <c r="A613" s="234"/>
      <c r="B613" s="234"/>
      <c r="C613" s="234"/>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c r="AA613" s="234"/>
    </row>
    <row r="614" ht="14.25" customHeight="1">
      <c r="A614" s="234"/>
      <c r="B614" s="234"/>
      <c r="C614" s="234"/>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c r="AA614" s="234"/>
    </row>
    <row r="615" ht="14.25" customHeight="1">
      <c r="A615" s="234"/>
      <c r="B615" s="234"/>
      <c r="C615" s="234"/>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c r="AA615" s="234"/>
    </row>
    <row r="616" ht="14.25" customHeight="1">
      <c r="A616" s="234"/>
      <c r="B616" s="234"/>
      <c r="C616" s="234"/>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c r="AA616" s="234"/>
    </row>
    <row r="617" ht="14.25" customHeight="1">
      <c r="A617" s="234"/>
      <c r="B617" s="234"/>
      <c r="C617" s="234"/>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c r="AA617" s="234"/>
    </row>
    <row r="618" ht="14.25" customHeight="1">
      <c r="A618" s="234"/>
      <c r="B618" s="234"/>
      <c r="C618" s="234"/>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c r="AA618" s="234"/>
    </row>
    <row r="619" ht="14.25" customHeight="1">
      <c r="A619" s="234"/>
      <c r="B619" s="234"/>
      <c r="C619" s="234"/>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c r="AA619" s="234"/>
    </row>
    <row r="620" ht="14.25" customHeight="1">
      <c r="A620" s="234"/>
      <c r="B620" s="234"/>
      <c r="C620" s="234"/>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c r="AA620" s="234"/>
    </row>
    <row r="621" ht="14.25" customHeight="1">
      <c r="A621" s="234"/>
      <c r="B621" s="234"/>
      <c r="C621" s="234"/>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c r="AA621" s="234"/>
    </row>
    <row r="622" ht="14.25" customHeight="1">
      <c r="A622" s="234"/>
      <c r="B622" s="234"/>
      <c r="C622" s="234"/>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c r="AA622" s="234"/>
    </row>
    <row r="623" ht="14.25" customHeight="1">
      <c r="A623" s="234"/>
      <c r="B623" s="234"/>
      <c r="C623" s="234"/>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c r="AA623" s="234"/>
    </row>
    <row r="624" ht="14.25" customHeight="1">
      <c r="A624" s="234"/>
      <c r="B624" s="234"/>
      <c r="C624" s="234"/>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c r="AA624" s="234"/>
    </row>
    <row r="625" ht="14.25" customHeight="1">
      <c r="A625" s="234"/>
      <c r="B625" s="234"/>
      <c r="C625" s="234"/>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c r="AA625" s="234"/>
    </row>
    <row r="626" ht="14.25" customHeight="1">
      <c r="A626" s="234"/>
      <c r="B626" s="234"/>
      <c r="C626" s="234"/>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c r="AA626" s="234"/>
    </row>
    <row r="627" ht="14.25" customHeight="1">
      <c r="A627" s="234"/>
      <c r="B627" s="234"/>
      <c r="C627" s="234"/>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c r="AA627" s="234"/>
    </row>
    <row r="628" ht="14.25" customHeight="1">
      <c r="A628" s="234"/>
      <c r="B628" s="234"/>
      <c r="C628" s="234"/>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c r="AA628" s="234"/>
    </row>
    <row r="629" ht="14.25" customHeight="1">
      <c r="A629" s="234"/>
      <c r="B629" s="234"/>
      <c r="C629" s="234"/>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c r="AA629" s="234"/>
    </row>
    <row r="630" ht="14.25" customHeight="1">
      <c r="A630" s="234"/>
      <c r="B630" s="234"/>
      <c r="C630" s="234"/>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c r="AA630" s="234"/>
    </row>
    <row r="631" ht="14.25" customHeight="1">
      <c r="A631" s="234"/>
      <c r="B631" s="234"/>
      <c r="C631" s="234"/>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c r="AA631" s="234"/>
    </row>
    <row r="632" ht="14.25" customHeight="1">
      <c r="A632" s="234"/>
      <c r="B632" s="234"/>
      <c r="C632" s="234"/>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c r="AA632" s="234"/>
    </row>
    <row r="633" ht="14.25" customHeight="1">
      <c r="A633" s="234"/>
      <c r="B633" s="234"/>
      <c r="C633" s="234"/>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c r="AA633" s="234"/>
    </row>
    <row r="634" ht="14.25" customHeight="1">
      <c r="A634" s="234"/>
      <c r="B634" s="234"/>
      <c r="C634" s="234"/>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c r="AA634" s="234"/>
    </row>
    <row r="635" ht="14.25" customHeight="1">
      <c r="A635" s="234"/>
      <c r="B635" s="234"/>
      <c r="C635" s="234"/>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c r="AA635" s="234"/>
    </row>
    <row r="636" ht="14.25" customHeight="1">
      <c r="A636" s="234"/>
      <c r="B636" s="234"/>
      <c r="C636" s="234"/>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c r="AA636" s="234"/>
    </row>
    <row r="637" ht="14.25" customHeight="1">
      <c r="A637" s="234"/>
      <c r="B637" s="234"/>
      <c r="C637" s="234"/>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c r="AA637" s="234"/>
    </row>
    <row r="638" ht="14.25" customHeight="1">
      <c r="A638" s="234"/>
      <c r="B638" s="234"/>
      <c r="C638" s="234"/>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c r="AA638" s="234"/>
    </row>
    <row r="639" ht="14.25" customHeight="1">
      <c r="A639" s="234"/>
      <c r="B639" s="234"/>
      <c r="C639" s="234"/>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c r="AA639" s="234"/>
    </row>
    <row r="640" ht="14.25" customHeight="1">
      <c r="A640" s="234"/>
      <c r="B640" s="234"/>
      <c r="C640" s="234"/>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c r="AA640" s="234"/>
    </row>
    <row r="641" ht="14.25" customHeight="1">
      <c r="A641" s="234"/>
      <c r="B641" s="234"/>
      <c r="C641" s="234"/>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c r="AA641" s="234"/>
    </row>
    <row r="642" ht="14.25" customHeight="1">
      <c r="A642" s="234"/>
      <c r="B642" s="234"/>
      <c r="C642" s="234"/>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c r="AA642" s="234"/>
    </row>
    <row r="643" ht="14.25" customHeight="1">
      <c r="A643" s="234"/>
      <c r="B643" s="234"/>
      <c r="C643" s="234"/>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c r="AA643" s="234"/>
    </row>
    <row r="644" ht="14.25" customHeight="1">
      <c r="A644" s="234"/>
      <c r="B644" s="234"/>
      <c r="C644" s="234"/>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c r="AA644" s="234"/>
    </row>
    <row r="645" ht="14.25" customHeight="1">
      <c r="A645" s="234"/>
      <c r="B645" s="234"/>
      <c r="C645" s="234"/>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c r="AA645" s="234"/>
    </row>
    <row r="646" ht="14.25" customHeight="1">
      <c r="A646" s="234"/>
      <c r="B646" s="234"/>
      <c r="C646" s="234"/>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c r="AA646" s="234"/>
    </row>
    <row r="647" ht="14.25" customHeight="1">
      <c r="A647" s="234"/>
      <c r="B647" s="234"/>
      <c r="C647" s="234"/>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c r="AA647" s="234"/>
    </row>
    <row r="648" ht="14.25" customHeight="1">
      <c r="A648" s="234"/>
      <c r="B648" s="234"/>
      <c r="C648" s="234"/>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c r="AA648" s="234"/>
    </row>
    <row r="649" ht="14.25" customHeight="1">
      <c r="A649" s="234"/>
      <c r="B649" s="234"/>
      <c r="C649" s="234"/>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c r="AA649" s="234"/>
    </row>
    <row r="650" ht="14.25" customHeight="1">
      <c r="A650" s="234"/>
      <c r="B650" s="234"/>
      <c r="C650" s="234"/>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c r="AA650" s="234"/>
    </row>
    <row r="651" ht="14.25" customHeight="1">
      <c r="A651" s="234"/>
      <c r="B651" s="234"/>
      <c r="C651" s="234"/>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c r="AA651" s="234"/>
    </row>
    <row r="652" ht="14.25" customHeight="1">
      <c r="A652" s="234"/>
      <c r="B652" s="234"/>
      <c r="C652" s="234"/>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c r="AA652" s="234"/>
    </row>
    <row r="653" ht="14.25" customHeight="1">
      <c r="A653" s="234"/>
      <c r="B653" s="234"/>
      <c r="C653" s="234"/>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c r="AA653" s="234"/>
    </row>
    <row r="654" ht="14.25" customHeight="1">
      <c r="A654" s="234"/>
      <c r="B654" s="234"/>
      <c r="C654" s="234"/>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c r="AA654" s="234"/>
    </row>
    <row r="655" ht="14.25" customHeight="1">
      <c r="A655" s="234"/>
      <c r="B655" s="234"/>
      <c r="C655" s="234"/>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c r="AA655" s="234"/>
    </row>
    <row r="656" ht="14.25" customHeight="1">
      <c r="A656" s="234"/>
      <c r="B656" s="234"/>
      <c r="C656" s="234"/>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c r="AA656" s="234"/>
    </row>
    <row r="657" ht="14.25" customHeight="1">
      <c r="A657" s="234"/>
      <c r="B657" s="234"/>
      <c r="C657" s="234"/>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c r="AA657" s="234"/>
    </row>
    <row r="658" ht="14.25" customHeight="1">
      <c r="A658" s="234"/>
      <c r="B658" s="234"/>
      <c r="C658" s="234"/>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c r="AA658" s="234"/>
    </row>
    <row r="659" ht="14.25" customHeight="1">
      <c r="A659" s="234"/>
      <c r="B659" s="234"/>
      <c r="C659" s="234"/>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c r="AA659" s="234"/>
    </row>
    <row r="660" ht="14.25" customHeight="1">
      <c r="A660" s="234"/>
      <c r="B660" s="234"/>
      <c r="C660" s="234"/>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c r="AA660" s="234"/>
    </row>
    <row r="661" ht="14.25" customHeight="1">
      <c r="A661" s="234"/>
      <c r="B661" s="234"/>
      <c r="C661" s="234"/>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c r="AA661" s="234"/>
    </row>
    <row r="662" ht="14.25" customHeight="1">
      <c r="A662" s="234"/>
      <c r="B662" s="234"/>
      <c r="C662" s="234"/>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c r="AA662" s="234"/>
    </row>
    <row r="663" ht="14.25" customHeight="1">
      <c r="A663" s="234"/>
      <c r="B663" s="234"/>
      <c r="C663" s="234"/>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c r="AA663" s="234"/>
    </row>
    <row r="664" ht="14.25" customHeight="1">
      <c r="A664" s="234"/>
      <c r="B664" s="234"/>
      <c r="C664" s="234"/>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c r="AA664" s="234"/>
    </row>
    <row r="665" ht="14.25" customHeight="1">
      <c r="A665" s="234"/>
      <c r="B665" s="234"/>
      <c r="C665" s="234"/>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c r="AA665" s="234"/>
    </row>
    <row r="666" ht="14.25" customHeight="1">
      <c r="A666" s="234"/>
      <c r="B666" s="234"/>
      <c r="C666" s="234"/>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c r="AA666" s="234"/>
    </row>
    <row r="667" ht="14.25" customHeight="1">
      <c r="A667" s="234"/>
      <c r="B667" s="234"/>
      <c r="C667" s="234"/>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c r="AA667" s="234"/>
    </row>
    <row r="668" ht="14.25" customHeight="1">
      <c r="A668" s="234"/>
      <c r="B668" s="234"/>
      <c r="C668" s="234"/>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c r="AA668" s="234"/>
    </row>
    <row r="669" ht="14.25" customHeight="1">
      <c r="A669" s="234"/>
      <c r="B669" s="234"/>
      <c r="C669" s="234"/>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c r="AA669" s="234"/>
    </row>
    <row r="670" ht="14.25" customHeight="1">
      <c r="A670" s="234"/>
      <c r="B670" s="234"/>
      <c r="C670" s="234"/>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c r="AA670" s="234"/>
    </row>
    <row r="671" ht="14.25" customHeight="1">
      <c r="A671" s="234"/>
      <c r="B671" s="234"/>
      <c r="C671" s="234"/>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c r="AA671" s="234"/>
    </row>
    <row r="672" ht="14.25" customHeight="1">
      <c r="A672" s="234"/>
      <c r="B672" s="234"/>
      <c r="C672" s="234"/>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c r="AA672" s="234"/>
    </row>
    <row r="673" ht="14.25" customHeight="1">
      <c r="A673" s="234"/>
      <c r="B673" s="234"/>
      <c r="C673" s="234"/>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c r="AA673" s="234"/>
    </row>
    <row r="674" ht="14.25" customHeight="1">
      <c r="A674" s="234"/>
      <c r="B674" s="234"/>
      <c r="C674" s="234"/>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c r="AA674" s="234"/>
    </row>
    <row r="675" ht="14.25" customHeight="1">
      <c r="A675" s="234"/>
      <c r="B675" s="234"/>
      <c r="C675" s="234"/>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c r="AA675" s="234"/>
    </row>
    <row r="676" ht="14.25" customHeight="1">
      <c r="A676" s="234"/>
      <c r="B676" s="234"/>
      <c r="C676" s="234"/>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c r="AA676" s="234"/>
    </row>
    <row r="677" ht="14.25" customHeight="1">
      <c r="A677" s="234"/>
      <c r="B677" s="234"/>
      <c r="C677" s="234"/>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c r="AA677" s="234"/>
    </row>
    <row r="678" ht="14.25" customHeight="1">
      <c r="A678" s="234"/>
      <c r="B678" s="234"/>
      <c r="C678" s="234"/>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c r="AA678" s="234"/>
    </row>
    <row r="679" ht="14.25" customHeight="1">
      <c r="A679" s="234"/>
      <c r="B679" s="234"/>
      <c r="C679" s="234"/>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c r="AA679" s="234"/>
    </row>
    <row r="680" ht="14.25" customHeight="1">
      <c r="A680" s="234"/>
      <c r="B680" s="234"/>
      <c r="C680" s="234"/>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c r="AA680" s="234"/>
    </row>
    <row r="681" ht="14.25" customHeight="1">
      <c r="A681" s="234"/>
      <c r="B681" s="234"/>
      <c r="C681" s="234"/>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c r="AA681" s="234"/>
    </row>
    <row r="682" ht="14.25" customHeight="1">
      <c r="A682" s="234"/>
      <c r="B682" s="234"/>
      <c r="C682" s="234"/>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c r="AA682" s="234"/>
    </row>
    <row r="683" ht="14.25" customHeight="1">
      <c r="A683" s="234"/>
      <c r="B683" s="234"/>
      <c r="C683" s="234"/>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c r="AA683" s="234"/>
    </row>
    <row r="684" ht="14.25" customHeight="1">
      <c r="A684" s="234"/>
      <c r="B684" s="234"/>
      <c r="C684" s="234"/>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c r="AA684" s="234"/>
    </row>
    <row r="685" ht="14.25" customHeight="1">
      <c r="A685" s="234"/>
      <c r="B685" s="234"/>
      <c r="C685" s="234"/>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c r="AA685" s="234"/>
    </row>
    <row r="686" ht="14.25" customHeight="1">
      <c r="A686" s="234"/>
      <c r="B686" s="234"/>
      <c r="C686" s="234"/>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c r="AA686" s="234"/>
    </row>
    <row r="687" ht="14.25" customHeight="1">
      <c r="A687" s="234"/>
      <c r="B687" s="234"/>
      <c r="C687" s="234"/>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c r="AA687" s="234"/>
    </row>
    <row r="688" ht="14.25" customHeight="1">
      <c r="A688" s="234"/>
      <c r="B688" s="234"/>
      <c r="C688" s="234"/>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c r="AA688" s="234"/>
    </row>
    <row r="689" ht="14.25" customHeight="1">
      <c r="A689" s="234"/>
      <c r="B689" s="234"/>
      <c r="C689" s="234"/>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c r="AA689" s="234"/>
    </row>
    <row r="690" ht="14.25" customHeight="1">
      <c r="A690" s="234"/>
      <c r="B690" s="234"/>
      <c r="C690" s="234"/>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c r="AA690" s="234"/>
    </row>
    <row r="691" ht="14.25" customHeight="1">
      <c r="A691" s="234"/>
      <c r="B691" s="234"/>
      <c r="C691" s="234"/>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c r="AA691" s="234"/>
    </row>
    <row r="692" ht="14.25" customHeight="1">
      <c r="A692" s="234"/>
      <c r="B692" s="234"/>
      <c r="C692" s="234"/>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c r="AA692" s="234"/>
    </row>
    <row r="693" ht="14.25" customHeight="1">
      <c r="A693" s="234"/>
      <c r="B693" s="234"/>
      <c r="C693" s="234"/>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c r="AA693" s="234"/>
    </row>
    <row r="694" ht="14.25" customHeight="1">
      <c r="A694" s="234"/>
      <c r="B694" s="234"/>
      <c r="C694" s="234"/>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c r="AA694" s="234"/>
    </row>
    <row r="695" ht="14.25" customHeight="1">
      <c r="A695" s="234"/>
      <c r="B695" s="234"/>
      <c r="C695" s="234"/>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c r="AA695" s="234"/>
    </row>
    <row r="696" ht="14.25" customHeight="1">
      <c r="A696" s="234"/>
      <c r="B696" s="234"/>
      <c r="C696" s="234"/>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c r="AA696" s="234"/>
    </row>
    <row r="697" ht="14.25" customHeight="1">
      <c r="A697" s="234"/>
      <c r="B697" s="234"/>
      <c r="C697" s="234"/>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c r="AA697" s="234"/>
    </row>
    <row r="698" ht="14.25" customHeight="1">
      <c r="A698" s="234"/>
      <c r="B698" s="234"/>
      <c r="C698" s="234"/>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c r="AA698" s="234"/>
    </row>
    <row r="699" ht="14.25" customHeight="1">
      <c r="A699" s="234"/>
      <c r="B699" s="234"/>
      <c r="C699" s="234"/>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c r="AA699" s="234"/>
    </row>
    <row r="700" ht="14.25" customHeight="1">
      <c r="A700" s="234"/>
      <c r="B700" s="234"/>
      <c r="C700" s="234"/>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c r="AA700" s="234"/>
    </row>
    <row r="701" ht="14.25" customHeight="1">
      <c r="A701" s="234"/>
      <c r="B701" s="234"/>
      <c r="C701" s="234"/>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c r="AA701" s="234"/>
    </row>
    <row r="702" ht="14.25" customHeight="1">
      <c r="A702" s="234"/>
      <c r="B702" s="234"/>
      <c r="C702" s="234"/>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c r="AA702" s="234"/>
    </row>
    <row r="703" ht="14.25" customHeight="1">
      <c r="A703" s="234"/>
      <c r="B703" s="234"/>
      <c r="C703" s="234"/>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c r="AA703" s="234"/>
    </row>
    <row r="704" ht="14.25" customHeight="1">
      <c r="A704" s="234"/>
      <c r="B704" s="234"/>
      <c r="C704" s="234"/>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c r="AA704" s="234"/>
    </row>
    <row r="705" ht="14.25" customHeight="1">
      <c r="A705" s="234"/>
      <c r="B705" s="234"/>
      <c r="C705" s="234"/>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c r="AA705" s="234"/>
    </row>
    <row r="706" ht="14.25" customHeight="1">
      <c r="A706" s="234"/>
      <c r="B706" s="234"/>
      <c r="C706" s="234"/>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c r="AA706" s="234"/>
    </row>
    <row r="707" ht="14.25" customHeight="1">
      <c r="A707" s="234"/>
      <c r="B707" s="234"/>
      <c r="C707" s="234"/>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c r="AA707" s="234"/>
    </row>
    <row r="708" ht="14.25" customHeight="1">
      <c r="A708" s="234"/>
      <c r="B708" s="234"/>
      <c r="C708" s="234"/>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c r="AA708" s="234"/>
    </row>
    <row r="709" ht="14.25" customHeight="1">
      <c r="A709" s="234"/>
      <c r="B709" s="234"/>
      <c r="C709" s="234"/>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c r="AA709" s="234"/>
    </row>
    <row r="710" ht="14.25" customHeight="1">
      <c r="A710" s="234"/>
      <c r="B710" s="234"/>
      <c r="C710" s="234"/>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c r="AA710" s="234"/>
    </row>
    <row r="711" ht="14.25" customHeight="1">
      <c r="A711" s="234"/>
      <c r="B711" s="234"/>
      <c r="C711" s="234"/>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c r="AA711" s="234"/>
    </row>
    <row r="712" ht="14.25" customHeight="1">
      <c r="A712" s="234"/>
      <c r="B712" s="234"/>
      <c r="C712" s="234"/>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c r="AA712" s="234"/>
    </row>
    <row r="713" ht="14.25" customHeight="1">
      <c r="A713" s="234"/>
      <c r="B713" s="234"/>
      <c r="C713" s="234"/>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c r="AA713" s="234"/>
    </row>
    <row r="714" ht="14.25" customHeight="1">
      <c r="A714" s="234"/>
      <c r="B714" s="234"/>
      <c r="C714" s="234"/>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c r="AA714" s="234"/>
    </row>
    <row r="715" ht="14.25" customHeight="1">
      <c r="A715" s="234"/>
      <c r="B715" s="234"/>
      <c r="C715" s="234"/>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c r="AA715" s="234"/>
    </row>
    <row r="716" ht="14.25" customHeight="1">
      <c r="A716" s="234"/>
      <c r="B716" s="234"/>
      <c r="C716" s="234"/>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c r="AA716" s="234"/>
    </row>
    <row r="717" ht="14.25" customHeight="1">
      <c r="A717" s="234"/>
      <c r="B717" s="234"/>
      <c r="C717" s="234"/>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c r="AA717" s="234"/>
    </row>
    <row r="718" ht="14.25" customHeight="1">
      <c r="A718" s="234"/>
      <c r="B718" s="234"/>
      <c r="C718" s="234"/>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c r="AA718" s="234"/>
    </row>
    <row r="719" ht="14.25" customHeight="1">
      <c r="A719" s="234"/>
      <c r="B719" s="234"/>
      <c r="C719" s="234"/>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c r="AA719" s="234"/>
    </row>
    <row r="720" ht="14.25" customHeight="1">
      <c r="A720" s="234"/>
      <c r="B720" s="234"/>
      <c r="C720" s="234"/>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c r="AA720" s="234"/>
    </row>
    <row r="721" ht="14.25" customHeight="1">
      <c r="A721" s="234"/>
      <c r="B721" s="234"/>
      <c r="C721" s="234"/>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c r="AA721" s="234"/>
    </row>
    <row r="722" ht="14.25" customHeight="1">
      <c r="A722" s="234"/>
      <c r="B722" s="234"/>
      <c r="C722" s="234"/>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c r="AA722" s="234"/>
    </row>
    <row r="723" ht="14.25" customHeight="1">
      <c r="A723" s="234"/>
      <c r="B723" s="234"/>
      <c r="C723" s="234"/>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c r="AA723" s="234"/>
    </row>
    <row r="724" ht="14.25" customHeight="1">
      <c r="A724" s="234"/>
      <c r="B724" s="234"/>
      <c r="C724" s="234"/>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c r="AA724" s="234"/>
    </row>
    <row r="725" ht="14.25" customHeight="1">
      <c r="A725" s="234"/>
      <c r="B725" s="234"/>
      <c r="C725" s="234"/>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c r="AA725" s="234"/>
    </row>
    <row r="726" ht="14.25" customHeight="1">
      <c r="A726" s="234"/>
      <c r="B726" s="234"/>
      <c r="C726" s="234"/>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c r="AA726" s="234"/>
    </row>
    <row r="727" ht="14.25" customHeight="1">
      <c r="A727" s="234"/>
      <c r="B727" s="234"/>
      <c r="C727" s="234"/>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c r="AA727" s="234"/>
    </row>
    <row r="728" ht="14.25" customHeight="1">
      <c r="A728" s="234"/>
      <c r="B728" s="234"/>
      <c r="C728" s="234"/>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c r="AA728" s="234"/>
    </row>
    <row r="729" ht="14.25" customHeight="1">
      <c r="A729" s="234"/>
      <c r="B729" s="234"/>
      <c r="C729" s="234"/>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c r="AA729" s="234"/>
    </row>
    <row r="730" ht="14.25" customHeight="1">
      <c r="A730" s="234"/>
      <c r="B730" s="234"/>
      <c r="C730" s="234"/>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c r="AA730" s="234"/>
    </row>
    <row r="731" ht="14.25" customHeight="1">
      <c r="A731" s="234"/>
      <c r="B731" s="234"/>
      <c r="C731" s="234"/>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c r="AA731" s="234"/>
    </row>
    <row r="732" ht="14.25" customHeight="1">
      <c r="A732" s="234"/>
      <c r="B732" s="234"/>
      <c r="C732" s="234"/>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c r="AA732" s="234"/>
    </row>
    <row r="733" ht="14.25" customHeight="1">
      <c r="A733" s="234"/>
      <c r="B733" s="234"/>
      <c r="C733" s="234"/>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c r="AA733" s="234"/>
    </row>
    <row r="734" ht="14.25" customHeight="1">
      <c r="A734" s="234"/>
      <c r="B734" s="234"/>
      <c r="C734" s="234"/>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c r="AA734" s="234"/>
    </row>
    <row r="735" ht="14.25" customHeight="1">
      <c r="A735" s="234"/>
      <c r="B735" s="234"/>
      <c r="C735" s="234"/>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c r="AA735" s="234"/>
    </row>
    <row r="736" ht="14.25" customHeight="1">
      <c r="A736" s="234"/>
      <c r="B736" s="234"/>
      <c r="C736" s="234"/>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c r="AA736" s="234"/>
    </row>
    <row r="737" ht="14.25" customHeight="1">
      <c r="A737" s="234"/>
      <c r="B737" s="234"/>
      <c r="C737" s="234"/>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c r="AA737" s="234"/>
    </row>
    <row r="738" ht="14.25" customHeight="1">
      <c r="A738" s="234"/>
      <c r="B738" s="234"/>
      <c r="C738" s="234"/>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c r="AA738" s="234"/>
    </row>
    <row r="739" ht="14.25" customHeight="1">
      <c r="A739" s="234"/>
      <c r="B739" s="234"/>
      <c r="C739" s="234"/>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c r="AA739" s="234"/>
    </row>
    <row r="740" ht="14.25" customHeight="1">
      <c r="A740" s="234"/>
      <c r="B740" s="234"/>
      <c r="C740" s="234"/>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c r="AA740" s="234"/>
    </row>
    <row r="741" ht="14.25" customHeight="1">
      <c r="A741" s="234"/>
      <c r="B741" s="234"/>
      <c r="C741" s="234"/>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c r="AA741" s="234"/>
    </row>
    <row r="742" ht="14.25" customHeight="1">
      <c r="A742" s="234"/>
      <c r="B742" s="234"/>
      <c r="C742" s="234"/>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c r="AA742" s="234"/>
    </row>
    <row r="743" ht="14.25" customHeight="1">
      <c r="A743" s="234"/>
      <c r="B743" s="234"/>
      <c r="C743" s="234"/>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c r="AA743" s="234"/>
    </row>
    <row r="744" ht="14.25" customHeight="1">
      <c r="A744" s="234"/>
      <c r="B744" s="234"/>
      <c r="C744" s="234"/>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c r="AA744" s="234"/>
    </row>
    <row r="745" ht="14.25" customHeight="1">
      <c r="A745" s="234"/>
      <c r="B745" s="234"/>
      <c r="C745" s="234"/>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c r="AA745" s="234"/>
    </row>
    <row r="746" ht="14.25" customHeight="1">
      <c r="A746" s="234"/>
      <c r="B746" s="234"/>
      <c r="C746" s="234"/>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c r="AA746" s="234"/>
    </row>
    <row r="747" ht="14.25" customHeight="1">
      <c r="A747" s="234"/>
      <c r="B747" s="234"/>
      <c r="C747" s="234"/>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c r="AA747" s="234"/>
    </row>
    <row r="748" ht="14.25" customHeight="1">
      <c r="A748" s="234"/>
      <c r="B748" s="234"/>
      <c r="C748" s="234"/>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c r="AA748" s="234"/>
    </row>
    <row r="749" ht="14.25" customHeight="1">
      <c r="A749" s="234"/>
      <c r="B749" s="234"/>
      <c r="C749" s="234"/>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c r="AA749" s="234"/>
    </row>
    <row r="750" ht="14.25" customHeight="1">
      <c r="A750" s="234"/>
      <c r="B750" s="234"/>
      <c r="C750" s="234"/>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c r="AA750" s="234"/>
    </row>
    <row r="751" ht="14.25" customHeight="1">
      <c r="A751" s="234"/>
      <c r="B751" s="234"/>
      <c r="C751" s="234"/>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c r="AA751" s="234"/>
    </row>
    <row r="752" ht="14.25" customHeight="1">
      <c r="A752" s="234"/>
      <c r="B752" s="234"/>
      <c r="C752" s="234"/>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c r="AA752" s="234"/>
    </row>
    <row r="753" ht="14.25" customHeight="1">
      <c r="A753" s="234"/>
      <c r="B753" s="234"/>
      <c r="C753" s="234"/>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c r="AA753" s="234"/>
    </row>
    <row r="754" ht="14.25" customHeight="1">
      <c r="A754" s="234"/>
      <c r="B754" s="234"/>
      <c r="C754" s="234"/>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c r="AA754" s="234"/>
    </row>
    <row r="755" ht="14.25" customHeight="1">
      <c r="A755" s="234"/>
      <c r="B755" s="234"/>
      <c r="C755" s="234"/>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c r="AA755" s="234"/>
    </row>
    <row r="756" ht="14.25" customHeight="1">
      <c r="A756" s="234"/>
      <c r="B756" s="234"/>
      <c r="C756" s="234"/>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c r="AA756" s="234"/>
    </row>
    <row r="757" ht="14.25" customHeight="1">
      <c r="A757" s="234"/>
      <c r="B757" s="234"/>
      <c r="C757" s="234"/>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c r="AA757" s="234"/>
    </row>
    <row r="758" ht="14.25" customHeight="1">
      <c r="A758" s="234"/>
      <c r="B758" s="234"/>
      <c r="C758" s="234"/>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c r="AA758" s="234"/>
    </row>
    <row r="759" ht="14.25" customHeight="1">
      <c r="A759" s="234"/>
      <c r="B759" s="234"/>
      <c r="C759" s="234"/>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c r="AA759" s="234"/>
    </row>
    <row r="760" ht="14.25" customHeight="1">
      <c r="A760" s="234"/>
      <c r="B760" s="234"/>
      <c r="C760" s="234"/>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c r="AA760" s="234"/>
    </row>
    <row r="761" ht="14.25" customHeight="1">
      <c r="A761" s="234"/>
      <c r="B761" s="234"/>
      <c r="C761" s="234"/>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c r="AA761" s="234"/>
    </row>
    <row r="762" ht="14.25" customHeight="1">
      <c r="A762" s="234"/>
      <c r="B762" s="234"/>
      <c r="C762" s="234"/>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c r="AA762" s="234"/>
    </row>
    <row r="763" ht="14.25" customHeight="1">
      <c r="A763" s="234"/>
      <c r="B763" s="234"/>
      <c r="C763" s="234"/>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c r="AA763" s="234"/>
    </row>
    <row r="764" ht="14.25" customHeight="1">
      <c r="A764" s="234"/>
      <c r="B764" s="234"/>
      <c r="C764" s="234"/>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c r="AA764" s="234"/>
    </row>
    <row r="765" ht="14.25" customHeight="1">
      <c r="A765" s="234"/>
      <c r="B765" s="234"/>
      <c r="C765" s="234"/>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c r="AA765" s="234"/>
    </row>
    <row r="766" ht="14.25" customHeight="1">
      <c r="A766" s="234"/>
      <c r="B766" s="234"/>
      <c r="C766" s="234"/>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c r="AA766" s="234"/>
    </row>
    <row r="767" ht="14.25" customHeight="1">
      <c r="A767" s="234"/>
      <c r="B767" s="234"/>
      <c r="C767" s="234"/>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c r="AA767" s="234"/>
    </row>
    <row r="768" ht="14.25" customHeight="1">
      <c r="A768" s="234"/>
      <c r="B768" s="234"/>
      <c r="C768" s="234"/>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c r="AA768" s="234"/>
    </row>
    <row r="769" ht="14.25" customHeight="1">
      <c r="A769" s="234"/>
      <c r="B769" s="234"/>
      <c r="C769" s="234"/>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c r="AA769" s="234"/>
    </row>
    <row r="770" ht="14.25" customHeight="1">
      <c r="A770" s="234"/>
      <c r="B770" s="234"/>
      <c r="C770" s="234"/>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c r="AA770" s="234"/>
    </row>
    <row r="771" ht="14.25" customHeight="1">
      <c r="A771" s="234"/>
      <c r="B771" s="234"/>
      <c r="C771" s="234"/>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c r="AA771" s="234"/>
    </row>
    <row r="772" ht="14.25" customHeight="1">
      <c r="A772" s="234"/>
      <c r="B772" s="234"/>
      <c r="C772" s="234"/>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c r="AA772" s="234"/>
    </row>
    <row r="773" ht="14.25" customHeight="1">
      <c r="A773" s="234"/>
      <c r="B773" s="234"/>
      <c r="C773" s="234"/>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c r="AA773" s="234"/>
    </row>
    <row r="774" ht="14.25" customHeight="1">
      <c r="A774" s="234"/>
      <c r="B774" s="234"/>
      <c r="C774" s="234"/>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c r="AA774" s="234"/>
    </row>
    <row r="775" ht="14.25" customHeight="1">
      <c r="A775" s="234"/>
      <c r="B775" s="234"/>
      <c r="C775" s="234"/>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c r="AA775" s="234"/>
    </row>
    <row r="776" ht="14.25" customHeight="1">
      <c r="A776" s="234"/>
      <c r="B776" s="234"/>
      <c r="C776" s="234"/>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c r="AA776" s="234"/>
    </row>
    <row r="777" ht="14.25" customHeight="1">
      <c r="A777" s="234"/>
      <c r="B777" s="234"/>
      <c r="C777" s="234"/>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c r="AA777" s="234"/>
    </row>
    <row r="778" ht="14.25" customHeight="1">
      <c r="A778" s="234"/>
      <c r="B778" s="234"/>
      <c r="C778" s="234"/>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c r="AA778" s="234"/>
    </row>
    <row r="779" ht="14.25" customHeight="1">
      <c r="A779" s="234"/>
      <c r="B779" s="234"/>
      <c r="C779" s="234"/>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c r="AA779" s="234"/>
    </row>
    <row r="780" ht="14.25" customHeight="1">
      <c r="A780" s="234"/>
      <c r="B780" s="234"/>
      <c r="C780" s="234"/>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c r="AA780" s="234"/>
    </row>
    <row r="781" ht="14.25" customHeight="1">
      <c r="A781" s="234"/>
      <c r="B781" s="234"/>
      <c r="C781" s="234"/>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c r="AA781" s="234"/>
    </row>
    <row r="782" ht="14.25" customHeight="1">
      <c r="A782" s="234"/>
      <c r="B782" s="234"/>
      <c r="C782" s="234"/>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c r="AA782" s="234"/>
    </row>
    <row r="783" ht="14.25" customHeight="1">
      <c r="A783" s="234"/>
      <c r="B783" s="234"/>
      <c r="C783" s="234"/>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c r="AA783" s="234"/>
    </row>
    <row r="784" ht="14.25" customHeight="1">
      <c r="A784" s="234"/>
      <c r="B784" s="234"/>
      <c r="C784" s="234"/>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c r="AA784" s="234"/>
    </row>
    <row r="785" ht="14.25" customHeight="1">
      <c r="A785" s="234"/>
      <c r="B785" s="234"/>
      <c r="C785" s="234"/>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c r="AA785" s="234"/>
    </row>
    <row r="786" ht="14.25" customHeight="1">
      <c r="A786" s="234"/>
      <c r="B786" s="234"/>
      <c r="C786" s="234"/>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c r="AA786" s="234"/>
    </row>
    <row r="787" ht="14.25" customHeight="1">
      <c r="A787" s="234"/>
      <c r="B787" s="234"/>
      <c r="C787" s="234"/>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c r="AA787" s="234"/>
    </row>
    <row r="788" ht="14.25" customHeight="1">
      <c r="A788" s="234"/>
      <c r="B788" s="234"/>
      <c r="C788" s="234"/>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c r="AA788" s="234"/>
    </row>
    <row r="789" ht="14.25" customHeight="1">
      <c r="A789" s="234"/>
      <c r="B789" s="234"/>
      <c r="C789" s="234"/>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c r="AA789" s="234"/>
    </row>
    <row r="790" ht="14.25" customHeight="1">
      <c r="A790" s="234"/>
      <c r="B790" s="234"/>
      <c r="C790" s="234"/>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c r="AA790" s="234"/>
    </row>
    <row r="791" ht="14.25" customHeight="1">
      <c r="A791" s="234"/>
      <c r="B791" s="234"/>
      <c r="C791" s="234"/>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c r="AA791" s="234"/>
    </row>
    <row r="792" ht="14.25" customHeight="1">
      <c r="A792" s="234"/>
      <c r="B792" s="234"/>
      <c r="C792" s="234"/>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c r="AA792" s="234"/>
    </row>
    <row r="793" ht="14.25" customHeight="1">
      <c r="A793" s="234"/>
      <c r="B793" s="234"/>
      <c r="C793" s="234"/>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c r="AA793" s="234"/>
    </row>
    <row r="794" ht="14.25" customHeight="1">
      <c r="A794" s="234"/>
      <c r="B794" s="234"/>
      <c r="C794" s="234"/>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c r="AA794" s="234"/>
    </row>
    <row r="795" ht="14.25" customHeight="1">
      <c r="A795" s="234"/>
      <c r="B795" s="234"/>
      <c r="C795" s="234"/>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c r="AA795" s="234"/>
    </row>
    <row r="796" ht="14.25" customHeight="1">
      <c r="A796" s="234"/>
      <c r="B796" s="234"/>
      <c r="C796" s="234"/>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c r="AA796" s="234"/>
    </row>
    <row r="797" ht="14.25" customHeight="1">
      <c r="A797" s="234"/>
      <c r="B797" s="234"/>
      <c r="C797" s="234"/>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c r="AA797" s="234"/>
    </row>
    <row r="798" ht="14.25" customHeight="1">
      <c r="A798" s="234"/>
      <c r="B798" s="234"/>
      <c r="C798" s="234"/>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c r="AA798" s="234"/>
    </row>
    <row r="799" ht="14.25" customHeight="1">
      <c r="A799" s="234"/>
      <c r="B799" s="234"/>
      <c r="C799" s="234"/>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c r="AA799" s="234"/>
    </row>
    <row r="800" ht="14.25" customHeight="1">
      <c r="A800" s="234"/>
      <c r="B800" s="234"/>
      <c r="C800" s="234"/>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c r="AA800" s="234"/>
    </row>
    <row r="801" ht="14.25" customHeight="1">
      <c r="A801" s="234"/>
      <c r="B801" s="234"/>
      <c r="C801" s="234"/>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c r="AA801" s="234"/>
    </row>
    <row r="802" ht="14.25" customHeight="1">
      <c r="A802" s="234"/>
      <c r="B802" s="234"/>
      <c r="C802" s="234"/>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c r="AA802" s="234"/>
    </row>
    <row r="803" ht="14.25" customHeight="1">
      <c r="A803" s="234"/>
      <c r="B803" s="234"/>
      <c r="C803" s="234"/>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c r="AA803" s="234"/>
    </row>
    <row r="804" ht="14.25" customHeight="1">
      <c r="A804" s="234"/>
      <c r="B804" s="234"/>
      <c r="C804" s="234"/>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c r="AA804" s="234"/>
    </row>
    <row r="805" ht="14.25" customHeight="1">
      <c r="A805" s="234"/>
      <c r="B805" s="234"/>
      <c r="C805" s="234"/>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c r="AA805" s="234"/>
    </row>
    <row r="806" ht="14.25" customHeight="1">
      <c r="A806" s="234"/>
      <c r="B806" s="234"/>
      <c r="C806" s="234"/>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c r="AA806" s="234"/>
    </row>
    <row r="807" ht="14.25" customHeight="1">
      <c r="A807" s="234"/>
      <c r="B807" s="234"/>
      <c r="C807" s="234"/>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c r="AA807" s="234"/>
    </row>
    <row r="808" ht="14.25" customHeight="1">
      <c r="A808" s="234"/>
      <c r="B808" s="234"/>
      <c r="C808" s="234"/>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c r="AA808" s="234"/>
    </row>
    <row r="809" ht="14.25" customHeight="1">
      <c r="A809" s="234"/>
      <c r="B809" s="234"/>
      <c r="C809" s="234"/>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c r="AA809" s="234"/>
    </row>
    <row r="810" ht="14.25" customHeight="1">
      <c r="A810" s="234"/>
      <c r="B810" s="234"/>
      <c r="C810" s="234"/>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c r="AA810" s="234"/>
    </row>
    <row r="811" ht="14.25" customHeight="1">
      <c r="A811" s="234"/>
      <c r="B811" s="234"/>
      <c r="C811" s="234"/>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c r="AA811" s="234"/>
    </row>
    <row r="812" ht="14.25" customHeight="1">
      <c r="A812" s="234"/>
      <c r="B812" s="234"/>
      <c r="C812" s="234"/>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c r="AA812" s="234"/>
    </row>
    <row r="813" ht="14.25" customHeight="1">
      <c r="A813" s="234"/>
      <c r="B813" s="234"/>
      <c r="C813" s="234"/>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c r="AA813" s="234"/>
    </row>
    <row r="814" ht="14.25" customHeight="1">
      <c r="A814" s="234"/>
      <c r="B814" s="234"/>
      <c r="C814" s="234"/>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c r="AA814" s="234"/>
    </row>
    <row r="815" ht="14.25" customHeight="1">
      <c r="A815" s="234"/>
      <c r="B815" s="234"/>
      <c r="C815" s="234"/>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c r="AA815" s="234"/>
    </row>
    <row r="816" ht="14.25" customHeight="1">
      <c r="A816" s="234"/>
      <c r="B816" s="234"/>
      <c r="C816" s="234"/>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c r="AA816" s="234"/>
    </row>
    <row r="817" ht="14.25" customHeight="1">
      <c r="A817" s="234"/>
      <c r="B817" s="234"/>
      <c r="C817" s="234"/>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c r="AA817" s="234"/>
    </row>
    <row r="818" ht="14.25" customHeight="1">
      <c r="A818" s="234"/>
      <c r="B818" s="234"/>
      <c r="C818" s="234"/>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c r="AA818" s="234"/>
    </row>
    <row r="819" ht="14.25" customHeight="1">
      <c r="A819" s="234"/>
      <c r="B819" s="234"/>
      <c r="C819" s="234"/>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c r="AA819" s="234"/>
    </row>
    <row r="820" ht="14.25" customHeight="1">
      <c r="A820" s="234"/>
      <c r="B820" s="234"/>
      <c r="C820" s="234"/>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c r="AA820" s="234"/>
    </row>
    <row r="821" ht="14.25" customHeight="1">
      <c r="A821" s="234"/>
      <c r="B821" s="234"/>
      <c r="C821" s="234"/>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c r="AA821" s="234"/>
    </row>
    <row r="822" ht="14.25" customHeight="1">
      <c r="A822" s="234"/>
      <c r="B822" s="234"/>
      <c r="C822" s="234"/>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c r="AA822" s="234"/>
    </row>
    <row r="823" ht="14.25" customHeight="1">
      <c r="A823" s="234"/>
      <c r="B823" s="234"/>
      <c r="C823" s="234"/>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c r="AA823" s="234"/>
    </row>
    <row r="824" ht="14.25" customHeight="1">
      <c r="A824" s="234"/>
      <c r="B824" s="234"/>
      <c r="C824" s="234"/>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c r="AA824" s="234"/>
    </row>
    <row r="825" ht="14.25" customHeight="1">
      <c r="A825" s="234"/>
      <c r="B825" s="234"/>
      <c r="C825" s="234"/>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c r="AA825" s="234"/>
    </row>
    <row r="826" ht="14.25" customHeight="1">
      <c r="A826" s="234"/>
      <c r="B826" s="234"/>
      <c r="C826" s="234"/>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c r="AA826" s="234"/>
    </row>
    <row r="827" ht="14.25" customHeight="1">
      <c r="A827" s="234"/>
      <c r="B827" s="234"/>
      <c r="C827" s="234"/>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c r="AA827" s="234"/>
    </row>
    <row r="828" ht="14.25" customHeight="1">
      <c r="A828" s="234"/>
      <c r="B828" s="234"/>
      <c r="C828" s="234"/>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c r="AA828" s="234"/>
    </row>
    <row r="829" ht="14.25" customHeight="1">
      <c r="A829" s="234"/>
      <c r="B829" s="234"/>
      <c r="C829" s="234"/>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c r="AA829" s="234"/>
    </row>
    <row r="830" ht="14.25" customHeight="1">
      <c r="A830" s="234"/>
      <c r="B830" s="234"/>
      <c r="C830" s="234"/>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c r="AA830" s="234"/>
    </row>
    <row r="831" ht="14.25" customHeight="1">
      <c r="A831" s="234"/>
      <c r="B831" s="234"/>
      <c r="C831" s="234"/>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c r="AA831" s="234"/>
    </row>
    <row r="832" ht="14.25" customHeight="1">
      <c r="A832" s="234"/>
      <c r="B832" s="234"/>
      <c r="C832" s="234"/>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c r="AA832" s="234"/>
    </row>
    <row r="833" ht="14.25" customHeight="1">
      <c r="A833" s="234"/>
      <c r="B833" s="234"/>
      <c r="C833" s="234"/>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c r="AA833" s="234"/>
    </row>
    <row r="834" ht="14.25" customHeight="1">
      <c r="A834" s="234"/>
      <c r="B834" s="234"/>
      <c r="C834" s="234"/>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c r="AA834" s="234"/>
    </row>
    <row r="835" ht="14.25" customHeight="1">
      <c r="A835" s="234"/>
      <c r="B835" s="234"/>
      <c r="C835" s="234"/>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c r="AA835" s="234"/>
    </row>
    <row r="836" ht="14.25" customHeight="1">
      <c r="A836" s="234"/>
      <c r="B836" s="234"/>
      <c r="C836" s="234"/>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c r="AA836" s="234"/>
    </row>
    <row r="837" ht="14.25" customHeight="1">
      <c r="A837" s="234"/>
      <c r="B837" s="234"/>
      <c r="C837" s="234"/>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c r="AA837" s="234"/>
    </row>
    <row r="838" ht="14.25" customHeight="1">
      <c r="A838" s="234"/>
      <c r="B838" s="234"/>
      <c r="C838" s="234"/>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c r="AA838" s="234"/>
    </row>
    <row r="839" ht="14.25" customHeight="1">
      <c r="A839" s="234"/>
      <c r="B839" s="234"/>
      <c r="C839" s="234"/>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c r="AA839" s="234"/>
    </row>
    <row r="840" ht="14.25" customHeight="1">
      <c r="A840" s="234"/>
      <c r="B840" s="234"/>
      <c r="C840" s="234"/>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c r="AA840" s="234"/>
    </row>
    <row r="841" ht="14.25" customHeight="1">
      <c r="A841" s="234"/>
      <c r="B841" s="234"/>
      <c r="C841" s="234"/>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c r="AA841" s="234"/>
    </row>
    <row r="842" ht="14.25" customHeight="1">
      <c r="A842" s="234"/>
      <c r="B842" s="234"/>
      <c r="C842" s="234"/>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c r="AA842" s="234"/>
    </row>
    <row r="843" ht="14.25" customHeight="1">
      <c r="A843" s="234"/>
      <c r="B843" s="234"/>
      <c r="C843" s="234"/>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c r="AA843" s="234"/>
    </row>
    <row r="844" ht="14.25" customHeight="1">
      <c r="A844" s="234"/>
      <c r="B844" s="234"/>
      <c r="C844" s="234"/>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c r="AA844" s="234"/>
    </row>
    <row r="845" ht="14.25" customHeight="1">
      <c r="A845" s="234"/>
      <c r="B845" s="234"/>
      <c r="C845" s="234"/>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c r="AA845" s="234"/>
    </row>
    <row r="846" ht="14.25" customHeight="1">
      <c r="A846" s="234"/>
      <c r="B846" s="234"/>
      <c r="C846" s="234"/>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c r="AA846" s="234"/>
    </row>
    <row r="847" ht="14.25" customHeight="1">
      <c r="A847" s="234"/>
      <c r="B847" s="234"/>
      <c r="C847" s="234"/>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c r="AA847" s="234"/>
    </row>
    <row r="848" ht="14.25" customHeight="1">
      <c r="A848" s="234"/>
      <c r="B848" s="234"/>
      <c r="C848" s="234"/>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c r="AA848" s="234"/>
    </row>
    <row r="849" ht="14.25" customHeight="1">
      <c r="A849" s="234"/>
      <c r="B849" s="234"/>
      <c r="C849" s="234"/>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c r="AA849" s="234"/>
    </row>
    <row r="850" ht="14.25" customHeight="1">
      <c r="A850" s="234"/>
      <c r="B850" s="234"/>
      <c r="C850" s="234"/>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c r="AA850" s="234"/>
    </row>
    <row r="851" ht="14.25" customHeight="1">
      <c r="A851" s="234"/>
      <c r="B851" s="234"/>
      <c r="C851" s="234"/>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c r="AA851" s="234"/>
    </row>
    <row r="852" ht="14.25" customHeight="1">
      <c r="A852" s="234"/>
      <c r="B852" s="234"/>
      <c r="C852" s="234"/>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c r="AA852" s="234"/>
    </row>
    <row r="853" ht="14.25" customHeight="1">
      <c r="A853" s="234"/>
      <c r="B853" s="234"/>
      <c r="C853" s="234"/>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c r="AA853" s="234"/>
    </row>
    <row r="854" ht="14.25" customHeight="1">
      <c r="A854" s="234"/>
      <c r="B854" s="234"/>
      <c r="C854" s="234"/>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c r="AA854" s="234"/>
    </row>
    <row r="855" ht="14.25" customHeight="1">
      <c r="A855" s="234"/>
      <c r="B855" s="234"/>
      <c r="C855" s="234"/>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c r="AA855" s="234"/>
    </row>
    <row r="856" ht="14.25" customHeight="1">
      <c r="A856" s="234"/>
      <c r="B856" s="234"/>
      <c r="C856" s="234"/>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c r="AA856" s="234"/>
    </row>
    <row r="857" ht="14.25" customHeight="1">
      <c r="A857" s="234"/>
      <c r="B857" s="234"/>
      <c r="C857" s="234"/>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c r="AA857" s="234"/>
    </row>
    <row r="858" ht="14.25" customHeight="1">
      <c r="A858" s="234"/>
      <c r="B858" s="234"/>
      <c r="C858" s="234"/>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c r="AA858" s="234"/>
    </row>
    <row r="859" ht="14.25" customHeight="1">
      <c r="A859" s="234"/>
      <c r="B859" s="234"/>
      <c r="C859" s="234"/>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c r="AA859" s="234"/>
    </row>
    <row r="860" ht="14.25" customHeight="1">
      <c r="A860" s="234"/>
      <c r="B860" s="234"/>
      <c r="C860" s="234"/>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c r="AA860" s="234"/>
    </row>
    <row r="861" ht="14.25" customHeight="1">
      <c r="A861" s="234"/>
      <c r="B861" s="234"/>
      <c r="C861" s="234"/>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c r="AA861" s="234"/>
    </row>
    <row r="862" ht="14.25" customHeight="1">
      <c r="A862" s="234"/>
      <c r="B862" s="234"/>
      <c r="C862" s="234"/>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c r="AA862" s="234"/>
    </row>
    <row r="863" ht="14.25" customHeight="1">
      <c r="A863" s="234"/>
      <c r="B863" s="234"/>
      <c r="C863" s="234"/>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c r="AA863" s="234"/>
    </row>
    <row r="864" ht="14.25" customHeight="1">
      <c r="A864" s="234"/>
      <c r="B864" s="234"/>
      <c r="C864" s="234"/>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c r="AA864" s="234"/>
    </row>
    <row r="865" ht="14.25" customHeight="1">
      <c r="A865" s="234"/>
      <c r="B865" s="234"/>
      <c r="C865" s="234"/>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c r="AA865" s="234"/>
    </row>
    <row r="866" ht="14.25" customHeight="1">
      <c r="A866" s="234"/>
      <c r="B866" s="234"/>
      <c r="C866" s="234"/>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c r="AA866" s="234"/>
    </row>
    <row r="867" ht="14.25" customHeight="1">
      <c r="A867" s="234"/>
      <c r="B867" s="234"/>
      <c r="C867" s="234"/>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c r="AA867" s="234"/>
    </row>
    <row r="868" ht="14.25" customHeight="1">
      <c r="A868" s="234"/>
      <c r="B868" s="234"/>
      <c r="C868" s="234"/>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c r="AA868" s="234"/>
    </row>
    <row r="869" ht="14.25" customHeight="1">
      <c r="A869" s="234"/>
      <c r="B869" s="234"/>
      <c r="C869" s="234"/>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c r="AA869" s="234"/>
    </row>
    <row r="870" ht="14.25" customHeight="1">
      <c r="A870" s="234"/>
      <c r="B870" s="234"/>
      <c r="C870" s="234"/>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c r="AA870" s="234"/>
    </row>
    <row r="871" ht="14.25" customHeight="1">
      <c r="A871" s="234"/>
      <c r="B871" s="234"/>
      <c r="C871" s="234"/>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c r="AA871" s="234"/>
    </row>
    <row r="872" ht="14.25" customHeight="1">
      <c r="A872" s="234"/>
      <c r="B872" s="234"/>
      <c r="C872" s="234"/>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c r="AA872" s="234"/>
    </row>
    <row r="873" ht="14.25" customHeight="1">
      <c r="A873" s="234"/>
      <c r="B873" s="234"/>
      <c r="C873" s="234"/>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c r="AA873" s="234"/>
    </row>
    <row r="874" ht="14.25" customHeight="1">
      <c r="A874" s="234"/>
      <c r="B874" s="234"/>
      <c r="C874" s="234"/>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c r="AA874" s="234"/>
    </row>
    <row r="875" ht="14.25" customHeight="1">
      <c r="A875" s="234"/>
      <c r="B875" s="234"/>
      <c r="C875" s="234"/>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c r="AA875" s="234"/>
    </row>
    <row r="876" ht="14.25" customHeight="1">
      <c r="A876" s="234"/>
      <c r="B876" s="234"/>
      <c r="C876" s="234"/>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c r="AA876" s="234"/>
    </row>
    <row r="877" ht="14.25" customHeight="1">
      <c r="A877" s="234"/>
      <c r="B877" s="234"/>
      <c r="C877" s="234"/>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c r="AA877" s="234"/>
    </row>
    <row r="878" ht="14.25" customHeight="1">
      <c r="A878" s="234"/>
      <c r="B878" s="234"/>
      <c r="C878" s="234"/>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c r="AA878" s="234"/>
    </row>
    <row r="879" ht="14.25" customHeight="1">
      <c r="A879" s="234"/>
      <c r="B879" s="234"/>
      <c r="C879" s="234"/>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c r="AA879" s="234"/>
    </row>
    <row r="880" ht="14.25" customHeight="1">
      <c r="A880" s="234"/>
      <c r="B880" s="234"/>
      <c r="C880" s="234"/>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c r="AA880" s="234"/>
    </row>
    <row r="881" ht="14.25" customHeight="1">
      <c r="A881" s="234"/>
      <c r="B881" s="234"/>
      <c r="C881" s="234"/>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c r="AA881" s="234"/>
    </row>
    <row r="882" ht="14.25" customHeight="1">
      <c r="A882" s="234"/>
      <c r="B882" s="234"/>
      <c r="C882" s="234"/>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c r="AA882" s="234"/>
    </row>
    <row r="883" ht="14.25" customHeight="1">
      <c r="A883" s="234"/>
      <c r="B883" s="234"/>
      <c r="C883" s="234"/>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c r="AA883" s="234"/>
    </row>
    <row r="884" ht="14.25" customHeight="1">
      <c r="A884" s="234"/>
      <c r="B884" s="234"/>
      <c r="C884" s="234"/>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c r="AA884" s="234"/>
    </row>
    <row r="885" ht="14.25" customHeight="1">
      <c r="A885" s="234"/>
      <c r="B885" s="234"/>
      <c r="C885" s="234"/>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c r="AA885" s="234"/>
    </row>
    <row r="886" ht="14.25" customHeight="1">
      <c r="A886" s="234"/>
      <c r="B886" s="234"/>
      <c r="C886" s="234"/>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c r="AA886" s="234"/>
    </row>
    <row r="887" ht="14.25" customHeight="1">
      <c r="A887" s="234"/>
      <c r="B887" s="234"/>
      <c r="C887" s="234"/>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c r="AA887" s="234"/>
    </row>
    <row r="888" ht="14.25" customHeight="1">
      <c r="A888" s="234"/>
      <c r="B888" s="234"/>
      <c r="C888" s="234"/>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c r="AA888" s="234"/>
    </row>
    <row r="889" ht="14.25" customHeight="1">
      <c r="A889" s="234"/>
      <c r="B889" s="234"/>
      <c r="C889" s="234"/>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c r="AA889" s="234"/>
    </row>
    <row r="890" ht="14.25" customHeight="1">
      <c r="A890" s="234"/>
      <c r="B890" s="234"/>
      <c r="C890" s="234"/>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c r="AA890" s="234"/>
    </row>
    <row r="891" ht="14.25" customHeight="1">
      <c r="A891" s="234"/>
      <c r="B891" s="234"/>
      <c r="C891" s="234"/>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c r="AA891" s="234"/>
    </row>
    <row r="892" ht="14.25" customHeight="1">
      <c r="A892" s="234"/>
      <c r="B892" s="234"/>
      <c r="C892" s="234"/>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c r="AA892" s="234"/>
    </row>
    <row r="893" ht="14.25" customHeight="1">
      <c r="A893" s="234"/>
      <c r="B893" s="234"/>
      <c r="C893" s="234"/>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c r="AA893" s="234"/>
    </row>
    <row r="894" ht="14.25" customHeight="1">
      <c r="A894" s="234"/>
      <c r="B894" s="234"/>
      <c r="C894" s="234"/>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c r="AA894" s="234"/>
    </row>
    <row r="895" ht="14.25" customHeight="1">
      <c r="A895" s="234"/>
      <c r="B895" s="234"/>
      <c r="C895" s="234"/>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c r="AA895" s="234"/>
    </row>
    <row r="896" ht="14.25" customHeight="1">
      <c r="A896" s="234"/>
      <c r="B896" s="234"/>
      <c r="C896" s="234"/>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c r="AA896" s="234"/>
    </row>
    <row r="897" ht="14.25" customHeight="1">
      <c r="A897" s="234"/>
      <c r="B897" s="234"/>
      <c r="C897" s="234"/>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c r="AA897" s="234"/>
    </row>
    <row r="898" ht="14.25" customHeight="1">
      <c r="A898" s="234"/>
      <c r="B898" s="234"/>
      <c r="C898" s="234"/>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c r="AA898" s="234"/>
    </row>
    <row r="899" ht="14.25" customHeight="1">
      <c r="A899" s="234"/>
      <c r="B899" s="234"/>
      <c r="C899" s="234"/>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c r="AA899" s="234"/>
    </row>
    <row r="900" ht="14.25" customHeight="1">
      <c r="A900" s="234"/>
      <c r="B900" s="234"/>
      <c r="C900" s="234"/>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c r="AA900" s="234"/>
    </row>
    <row r="901" ht="14.25" customHeight="1">
      <c r="A901" s="234"/>
      <c r="B901" s="234"/>
      <c r="C901" s="234"/>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c r="AA901" s="234"/>
    </row>
    <row r="902" ht="14.25" customHeight="1">
      <c r="A902" s="234"/>
      <c r="B902" s="234"/>
      <c r="C902" s="234"/>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c r="AA902" s="234"/>
    </row>
    <row r="903" ht="14.25" customHeight="1">
      <c r="A903" s="234"/>
      <c r="B903" s="234"/>
      <c r="C903" s="234"/>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c r="AA903" s="234"/>
    </row>
    <row r="904" ht="14.25" customHeight="1">
      <c r="A904" s="234"/>
      <c r="B904" s="234"/>
      <c r="C904" s="234"/>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c r="AA904" s="234"/>
    </row>
    <row r="905" ht="14.25" customHeight="1">
      <c r="A905" s="234"/>
      <c r="B905" s="234"/>
      <c r="C905" s="234"/>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c r="AA905" s="234"/>
    </row>
    <row r="906" ht="14.25" customHeight="1">
      <c r="A906" s="234"/>
      <c r="B906" s="234"/>
      <c r="C906" s="234"/>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c r="AA906" s="234"/>
    </row>
    <row r="907" ht="14.25" customHeight="1">
      <c r="A907" s="234"/>
      <c r="B907" s="234"/>
      <c r="C907" s="234"/>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c r="AA907" s="234"/>
    </row>
    <row r="908" ht="14.25" customHeight="1">
      <c r="A908" s="234"/>
      <c r="B908" s="234"/>
      <c r="C908" s="234"/>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c r="AA908" s="234"/>
    </row>
    <row r="909" ht="14.25" customHeight="1">
      <c r="A909" s="234"/>
      <c r="B909" s="234"/>
      <c r="C909" s="234"/>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c r="AA909" s="234"/>
    </row>
    <row r="910" ht="14.25" customHeight="1">
      <c r="A910" s="234"/>
      <c r="B910" s="234"/>
      <c r="C910" s="234"/>
      <c r="D910" s="234"/>
      <c r="E910" s="234"/>
      <c r="F910" s="234"/>
      <c r="G910" s="234"/>
      <c r="H910" s="234"/>
      <c r="I910" s="234"/>
      <c r="J910" s="234"/>
      <c r="K910" s="234"/>
      <c r="L910" s="234"/>
      <c r="M910" s="234"/>
      <c r="N910" s="234"/>
      <c r="O910" s="234"/>
      <c r="P910" s="234"/>
      <c r="Q910" s="234"/>
      <c r="R910" s="234"/>
      <c r="S910" s="234"/>
      <c r="T910" s="234"/>
      <c r="U910" s="234"/>
      <c r="V910" s="234"/>
      <c r="W910" s="234"/>
      <c r="X910" s="234"/>
      <c r="Y910" s="234"/>
      <c r="Z910" s="234"/>
      <c r="AA910" s="234"/>
    </row>
    <row r="911" ht="14.25" customHeight="1">
      <c r="A911" s="234"/>
      <c r="B911" s="234"/>
      <c r="C911" s="234"/>
      <c r="D911" s="234"/>
      <c r="E911" s="234"/>
      <c r="F911" s="234"/>
      <c r="G911" s="234"/>
      <c r="H911" s="234"/>
      <c r="I911" s="234"/>
      <c r="J911" s="234"/>
      <c r="K911" s="234"/>
      <c r="L911" s="234"/>
      <c r="M911" s="234"/>
      <c r="N911" s="234"/>
      <c r="O911" s="234"/>
      <c r="P911" s="234"/>
      <c r="Q911" s="234"/>
      <c r="R911" s="234"/>
      <c r="S911" s="234"/>
      <c r="T911" s="234"/>
      <c r="U911" s="234"/>
      <c r="V911" s="234"/>
      <c r="W911" s="234"/>
      <c r="X911" s="234"/>
      <c r="Y911" s="234"/>
      <c r="Z911" s="234"/>
      <c r="AA911" s="234"/>
    </row>
    <row r="912" ht="14.25" customHeight="1">
      <c r="A912" s="234"/>
      <c r="B912" s="234"/>
      <c r="C912" s="234"/>
      <c r="D912" s="234"/>
      <c r="E912" s="234"/>
      <c r="F912" s="234"/>
      <c r="G912" s="234"/>
      <c r="H912" s="234"/>
      <c r="I912" s="234"/>
      <c r="J912" s="234"/>
      <c r="K912" s="234"/>
      <c r="L912" s="234"/>
      <c r="M912" s="234"/>
      <c r="N912" s="234"/>
      <c r="O912" s="234"/>
      <c r="P912" s="234"/>
      <c r="Q912" s="234"/>
      <c r="R912" s="234"/>
      <c r="S912" s="234"/>
      <c r="T912" s="234"/>
      <c r="U912" s="234"/>
      <c r="V912" s="234"/>
      <c r="W912" s="234"/>
      <c r="X912" s="234"/>
      <c r="Y912" s="234"/>
      <c r="Z912" s="234"/>
      <c r="AA912" s="234"/>
    </row>
    <row r="913" ht="14.25" customHeight="1">
      <c r="A913" s="234"/>
      <c r="B913" s="234"/>
      <c r="C913" s="234"/>
      <c r="D913" s="234"/>
      <c r="E913" s="234"/>
      <c r="F913" s="234"/>
      <c r="G913" s="234"/>
      <c r="H913" s="234"/>
      <c r="I913" s="234"/>
      <c r="J913" s="234"/>
      <c r="K913" s="234"/>
      <c r="L913" s="234"/>
      <c r="M913" s="234"/>
      <c r="N913" s="234"/>
      <c r="O913" s="234"/>
      <c r="P913" s="234"/>
      <c r="Q913" s="234"/>
      <c r="R913" s="234"/>
      <c r="S913" s="234"/>
      <c r="T913" s="234"/>
      <c r="U913" s="234"/>
      <c r="V913" s="234"/>
      <c r="W913" s="234"/>
      <c r="X913" s="234"/>
      <c r="Y913" s="234"/>
      <c r="Z913" s="234"/>
      <c r="AA913" s="234"/>
    </row>
    <row r="914" ht="14.25" customHeight="1">
      <c r="A914" s="234"/>
      <c r="B914" s="234"/>
      <c r="C914" s="234"/>
      <c r="D914" s="234"/>
      <c r="E914" s="234"/>
      <c r="F914" s="234"/>
      <c r="G914" s="234"/>
      <c r="H914" s="234"/>
      <c r="I914" s="234"/>
      <c r="J914" s="234"/>
      <c r="K914" s="234"/>
      <c r="L914" s="234"/>
      <c r="M914" s="234"/>
      <c r="N914" s="234"/>
      <c r="O914" s="234"/>
      <c r="P914" s="234"/>
      <c r="Q914" s="234"/>
      <c r="R914" s="234"/>
      <c r="S914" s="234"/>
      <c r="T914" s="234"/>
      <c r="U914" s="234"/>
      <c r="V914" s="234"/>
      <c r="W914" s="234"/>
      <c r="X914" s="234"/>
      <c r="Y914" s="234"/>
      <c r="Z914" s="234"/>
      <c r="AA914" s="234"/>
    </row>
    <row r="915" ht="14.25" customHeight="1">
      <c r="A915" s="234"/>
      <c r="B915" s="234"/>
      <c r="C915" s="234"/>
      <c r="D915" s="234"/>
      <c r="E915" s="234"/>
      <c r="F915" s="234"/>
      <c r="G915" s="234"/>
      <c r="H915" s="234"/>
      <c r="I915" s="234"/>
      <c r="J915" s="234"/>
      <c r="K915" s="234"/>
      <c r="L915" s="234"/>
      <c r="M915" s="234"/>
      <c r="N915" s="234"/>
      <c r="O915" s="234"/>
      <c r="P915" s="234"/>
      <c r="Q915" s="234"/>
      <c r="R915" s="234"/>
      <c r="S915" s="234"/>
      <c r="T915" s="234"/>
      <c r="U915" s="234"/>
      <c r="V915" s="234"/>
      <c r="W915" s="234"/>
      <c r="X915" s="234"/>
      <c r="Y915" s="234"/>
      <c r="Z915" s="234"/>
      <c r="AA915" s="234"/>
    </row>
    <row r="916" ht="14.25" customHeight="1">
      <c r="A916" s="234"/>
      <c r="B916" s="234"/>
      <c r="C916" s="234"/>
      <c r="D916" s="234"/>
      <c r="E916" s="234"/>
      <c r="F916" s="234"/>
      <c r="G916" s="234"/>
      <c r="H916" s="234"/>
      <c r="I916" s="234"/>
      <c r="J916" s="234"/>
      <c r="K916" s="234"/>
      <c r="L916" s="234"/>
      <c r="M916" s="234"/>
      <c r="N916" s="234"/>
      <c r="O916" s="234"/>
      <c r="P916" s="234"/>
      <c r="Q916" s="234"/>
      <c r="R916" s="234"/>
      <c r="S916" s="234"/>
      <c r="T916" s="234"/>
      <c r="U916" s="234"/>
      <c r="V916" s="234"/>
      <c r="W916" s="234"/>
      <c r="X916" s="234"/>
      <c r="Y916" s="234"/>
      <c r="Z916" s="234"/>
      <c r="AA916" s="234"/>
    </row>
    <row r="917" ht="14.25" customHeight="1">
      <c r="A917" s="234"/>
      <c r="B917" s="234"/>
      <c r="C917" s="234"/>
      <c r="D917" s="234"/>
      <c r="E917" s="234"/>
      <c r="F917" s="234"/>
      <c r="G917" s="234"/>
      <c r="H917" s="234"/>
      <c r="I917" s="234"/>
      <c r="J917" s="234"/>
      <c r="K917" s="234"/>
      <c r="L917" s="234"/>
      <c r="M917" s="234"/>
      <c r="N917" s="234"/>
      <c r="O917" s="234"/>
      <c r="P917" s="234"/>
      <c r="Q917" s="234"/>
      <c r="R917" s="234"/>
      <c r="S917" s="234"/>
      <c r="T917" s="234"/>
      <c r="U917" s="234"/>
      <c r="V917" s="234"/>
      <c r="W917" s="234"/>
      <c r="X917" s="234"/>
      <c r="Y917" s="234"/>
      <c r="Z917" s="234"/>
      <c r="AA917" s="234"/>
    </row>
    <row r="918" ht="14.25" customHeight="1">
      <c r="A918" s="234"/>
      <c r="B918" s="234"/>
      <c r="C918" s="234"/>
      <c r="D918" s="234"/>
      <c r="E918" s="234"/>
      <c r="F918" s="234"/>
      <c r="G918" s="234"/>
      <c r="H918" s="234"/>
      <c r="I918" s="234"/>
      <c r="J918" s="234"/>
      <c r="K918" s="234"/>
      <c r="L918" s="234"/>
      <c r="M918" s="234"/>
      <c r="N918" s="234"/>
      <c r="O918" s="234"/>
      <c r="P918" s="234"/>
      <c r="Q918" s="234"/>
      <c r="R918" s="234"/>
      <c r="S918" s="234"/>
      <c r="T918" s="234"/>
      <c r="U918" s="234"/>
      <c r="V918" s="234"/>
      <c r="W918" s="234"/>
      <c r="X918" s="234"/>
      <c r="Y918" s="234"/>
      <c r="Z918" s="234"/>
      <c r="AA918" s="234"/>
    </row>
    <row r="919" ht="14.25" customHeight="1">
      <c r="A919" s="234"/>
      <c r="B919" s="234"/>
      <c r="C919" s="234"/>
      <c r="D919" s="234"/>
      <c r="E919" s="234"/>
      <c r="F919" s="234"/>
      <c r="G919" s="234"/>
      <c r="H919" s="234"/>
      <c r="I919" s="234"/>
      <c r="J919" s="234"/>
      <c r="K919" s="234"/>
      <c r="L919" s="234"/>
      <c r="M919" s="234"/>
      <c r="N919" s="234"/>
      <c r="O919" s="234"/>
      <c r="P919" s="234"/>
      <c r="Q919" s="234"/>
      <c r="R919" s="234"/>
      <c r="S919" s="234"/>
      <c r="T919" s="234"/>
      <c r="U919" s="234"/>
      <c r="V919" s="234"/>
      <c r="W919" s="234"/>
      <c r="X919" s="234"/>
      <c r="Y919" s="234"/>
      <c r="Z919" s="234"/>
      <c r="AA919" s="234"/>
    </row>
    <row r="920" ht="14.25" customHeight="1">
      <c r="A920" s="234"/>
      <c r="B920" s="234"/>
      <c r="C920" s="234"/>
      <c r="D920" s="234"/>
      <c r="E920" s="234"/>
      <c r="F920" s="234"/>
      <c r="G920" s="234"/>
      <c r="H920" s="234"/>
      <c r="I920" s="234"/>
      <c r="J920" s="234"/>
      <c r="K920" s="234"/>
      <c r="L920" s="234"/>
      <c r="M920" s="234"/>
      <c r="N920" s="234"/>
      <c r="O920" s="234"/>
      <c r="P920" s="234"/>
      <c r="Q920" s="234"/>
      <c r="R920" s="234"/>
      <c r="S920" s="234"/>
      <c r="T920" s="234"/>
      <c r="U920" s="234"/>
      <c r="V920" s="234"/>
      <c r="W920" s="234"/>
      <c r="X920" s="234"/>
      <c r="Y920" s="234"/>
      <c r="Z920" s="234"/>
      <c r="AA920" s="234"/>
    </row>
    <row r="921" ht="14.25" customHeight="1">
      <c r="A921" s="234"/>
      <c r="B921" s="234"/>
      <c r="C921" s="234"/>
      <c r="D921" s="234"/>
      <c r="E921" s="234"/>
      <c r="F921" s="234"/>
      <c r="G921" s="234"/>
      <c r="H921" s="234"/>
      <c r="I921" s="234"/>
      <c r="J921" s="234"/>
      <c r="K921" s="234"/>
      <c r="L921" s="234"/>
      <c r="M921" s="234"/>
      <c r="N921" s="234"/>
      <c r="O921" s="234"/>
      <c r="P921" s="234"/>
      <c r="Q921" s="234"/>
      <c r="R921" s="234"/>
      <c r="S921" s="234"/>
      <c r="T921" s="234"/>
      <c r="U921" s="234"/>
      <c r="V921" s="234"/>
      <c r="W921" s="234"/>
      <c r="X921" s="234"/>
      <c r="Y921" s="234"/>
      <c r="Z921" s="234"/>
      <c r="AA921" s="234"/>
    </row>
    <row r="922" ht="14.25" customHeight="1">
      <c r="A922" s="234"/>
      <c r="B922" s="234"/>
      <c r="C922" s="234"/>
      <c r="D922" s="234"/>
      <c r="E922" s="234"/>
      <c r="F922" s="234"/>
      <c r="G922" s="234"/>
      <c r="H922" s="234"/>
      <c r="I922" s="234"/>
      <c r="J922" s="234"/>
      <c r="K922" s="234"/>
      <c r="L922" s="234"/>
      <c r="M922" s="234"/>
      <c r="N922" s="234"/>
      <c r="O922" s="234"/>
      <c r="P922" s="234"/>
      <c r="Q922" s="234"/>
      <c r="R922" s="234"/>
      <c r="S922" s="234"/>
      <c r="T922" s="234"/>
      <c r="U922" s="234"/>
      <c r="V922" s="234"/>
      <c r="W922" s="234"/>
      <c r="X922" s="234"/>
      <c r="Y922" s="234"/>
      <c r="Z922" s="234"/>
      <c r="AA922" s="234"/>
    </row>
    <row r="923" ht="14.25" customHeight="1">
      <c r="A923" s="234"/>
      <c r="B923" s="234"/>
      <c r="C923" s="234"/>
      <c r="D923" s="234"/>
      <c r="E923" s="234"/>
      <c r="F923" s="234"/>
      <c r="G923" s="234"/>
      <c r="H923" s="234"/>
      <c r="I923" s="234"/>
      <c r="J923" s="234"/>
      <c r="K923" s="234"/>
      <c r="L923" s="234"/>
      <c r="M923" s="234"/>
      <c r="N923" s="234"/>
      <c r="O923" s="234"/>
      <c r="P923" s="234"/>
      <c r="Q923" s="234"/>
      <c r="R923" s="234"/>
      <c r="S923" s="234"/>
      <c r="T923" s="234"/>
      <c r="U923" s="234"/>
      <c r="V923" s="234"/>
      <c r="W923" s="234"/>
      <c r="X923" s="234"/>
      <c r="Y923" s="234"/>
      <c r="Z923" s="234"/>
      <c r="AA923" s="234"/>
    </row>
    <row r="924" ht="14.25" customHeight="1">
      <c r="A924" s="234"/>
      <c r="B924" s="234"/>
      <c r="C924" s="234"/>
      <c r="D924" s="234"/>
      <c r="E924" s="234"/>
      <c r="F924" s="234"/>
      <c r="G924" s="234"/>
      <c r="H924" s="234"/>
      <c r="I924" s="234"/>
      <c r="J924" s="234"/>
      <c r="K924" s="234"/>
      <c r="L924" s="234"/>
      <c r="M924" s="234"/>
      <c r="N924" s="234"/>
      <c r="O924" s="234"/>
      <c r="P924" s="234"/>
      <c r="Q924" s="234"/>
      <c r="R924" s="234"/>
      <c r="S924" s="234"/>
      <c r="T924" s="234"/>
      <c r="U924" s="234"/>
      <c r="V924" s="234"/>
      <c r="W924" s="234"/>
      <c r="X924" s="234"/>
      <c r="Y924" s="234"/>
      <c r="Z924" s="234"/>
      <c r="AA924" s="234"/>
    </row>
    <row r="925" ht="14.25" customHeight="1">
      <c r="A925" s="234"/>
      <c r="B925" s="234"/>
      <c r="C925" s="234"/>
      <c r="D925" s="234"/>
      <c r="E925" s="234"/>
      <c r="F925" s="234"/>
      <c r="G925" s="234"/>
      <c r="H925" s="234"/>
      <c r="I925" s="234"/>
      <c r="J925" s="234"/>
      <c r="K925" s="234"/>
      <c r="L925" s="234"/>
      <c r="M925" s="234"/>
      <c r="N925" s="234"/>
      <c r="O925" s="234"/>
      <c r="P925" s="234"/>
      <c r="Q925" s="234"/>
      <c r="R925" s="234"/>
      <c r="S925" s="234"/>
      <c r="T925" s="234"/>
      <c r="U925" s="234"/>
      <c r="V925" s="234"/>
      <c r="W925" s="234"/>
      <c r="X925" s="234"/>
      <c r="Y925" s="234"/>
      <c r="Z925" s="234"/>
      <c r="AA925" s="234"/>
    </row>
    <row r="926" ht="14.25" customHeight="1">
      <c r="A926" s="234"/>
      <c r="B926" s="234"/>
      <c r="C926" s="234"/>
      <c r="D926" s="234"/>
      <c r="E926" s="234"/>
      <c r="F926" s="234"/>
      <c r="G926" s="234"/>
      <c r="H926" s="234"/>
      <c r="I926" s="234"/>
      <c r="J926" s="234"/>
      <c r="K926" s="234"/>
      <c r="L926" s="234"/>
      <c r="M926" s="234"/>
      <c r="N926" s="234"/>
      <c r="O926" s="234"/>
      <c r="P926" s="234"/>
      <c r="Q926" s="234"/>
      <c r="R926" s="234"/>
      <c r="S926" s="234"/>
      <c r="T926" s="234"/>
      <c r="U926" s="234"/>
      <c r="V926" s="234"/>
      <c r="W926" s="234"/>
      <c r="X926" s="234"/>
      <c r="Y926" s="234"/>
      <c r="Z926" s="234"/>
      <c r="AA926" s="234"/>
    </row>
    <row r="927" ht="14.25" customHeight="1">
      <c r="A927" s="234"/>
      <c r="B927" s="234"/>
      <c r="C927" s="234"/>
      <c r="D927" s="234"/>
      <c r="E927" s="234"/>
      <c r="F927" s="234"/>
      <c r="G927" s="234"/>
      <c r="H927" s="234"/>
      <c r="I927" s="234"/>
      <c r="J927" s="234"/>
      <c r="K927" s="234"/>
      <c r="L927" s="234"/>
      <c r="M927" s="234"/>
      <c r="N927" s="234"/>
      <c r="O927" s="234"/>
      <c r="P927" s="234"/>
      <c r="Q927" s="234"/>
      <c r="R927" s="234"/>
      <c r="S927" s="234"/>
      <c r="T927" s="234"/>
      <c r="U927" s="234"/>
      <c r="V927" s="234"/>
      <c r="W927" s="234"/>
      <c r="X927" s="234"/>
      <c r="Y927" s="234"/>
      <c r="Z927" s="234"/>
      <c r="AA927" s="234"/>
    </row>
    <row r="928" ht="14.25" customHeight="1">
      <c r="A928" s="234"/>
      <c r="B928" s="234"/>
      <c r="C928" s="234"/>
      <c r="D928" s="234"/>
      <c r="E928" s="234"/>
      <c r="F928" s="234"/>
      <c r="G928" s="234"/>
      <c r="H928" s="234"/>
      <c r="I928" s="234"/>
      <c r="J928" s="234"/>
      <c r="K928" s="234"/>
      <c r="L928" s="234"/>
      <c r="M928" s="234"/>
      <c r="N928" s="234"/>
      <c r="O928" s="234"/>
      <c r="P928" s="234"/>
      <c r="Q928" s="234"/>
      <c r="R928" s="234"/>
      <c r="S928" s="234"/>
      <c r="T928" s="234"/>
      <c r="U928" s="234"/>
      <c r="V928" s="234"/>
      <c r="W928" s="234"/>
      <c r="X928" s="234"/>
      <c r="Y928" s="234"/>
      <c r="Z928" s="234"/>
      <c r="AA928" s="234"/>
    </row>
    <row r="929" ht="14.25" customHeight="1">
      <c r="A929" s="234"/>
      <c r="B929" s="234"/>
      <c r="C929" s="234"/>
      <c r="D929" s="234"/>
      <c r="E929" s="234"/>
      <c r="F929" s="234"/>
      <c r="G929" s="234"/>
      <c r="H929" s="234"/>
      <c r="I929" s="234"/>
      <c r="J929" s="234"/>
      <c r="K929" s="234"/>
      <c r="L929" s="234"/>
      <c r="M929" s="234"/>
      <c r="N929" s="234"/>
      <c r="O929" s="234"/>
      <c r="P929" s="234"/>
      <c r="Q929" s="234"/>
      <c r="R929" s="234"/>
      <c r="S929" s="234"/>
      <c r="T929" s="234"/>
      <c r="U929" s="234"/>
      <c r="V929" s="234"/>
      <c r="W929" s="234"/>
      <c r="X929" s="234"/>
      <c r="Y929" s="234"/>
      <c r="Z929" s="234"/>
      <c r="AA929" s="234"/>
    </row>
    <row r="930" ht="14.25" customHeight="1">
      <c r="A930" s="234"/>
      <c r="B930" s="234"/>
      <c r="C930" s="234"/>
      <c r="D930" s="234"/>
      <c r="E930" s="234"/>
      <c r="F930" s="234"/>
      <c r="G930" s="234"/>
      <c r="H930" s="234"/>
      <c r="I930" s="234"/>
      <c r="J930" s="234"/>
      <c r="K930" s="234"/>
      <c r="L930" s="234"/>
      <c r="M930" s="234"/>
      <c r="N930" s="234"/>
      <c r="O930" s="234"/>
      <c r="P930" s="234"/>
      <c r="Q930" s="234"/>
      <c r="R930" s="234"/>
      <c r="S930" s="234"/>
      <c r="T930" s="234"/>
      <c r="U930" s="234"/>
      <c r="V930" s="234"/>
      <c r="W930" s="234"/>
      <c r="X930" s="234"/>
      <c r="Y930" s="234"/>
      <c r="Z930" s="234"/>
      <c r="AA930" s="234"/>
    </row>
    <row r="931" ht="14.25" customHeight="1">
      <c r="A931" s="234"/>
      <c r="B931" s="234"/>
      <c r="C931" s="234"/>
      <c r="D931" s="234"/>
      <c r="E931" s="234"/>
      <c r="F931" s="234"/>
      <c r="G931" s="234"/>
      <c r="H931" s="234"/>
      <c r="I931" s="234"/>
      <c r="J931" s="234"/>
      <c r="K931" s="234"/>
      <c r="L931" s="234"/>
      <c r="M931" s="234"/>
      <c r="N931" s="234"/>
      <c r="O931" s="234"/>
      <c r="P931" s="234"/>
      <c r="Q931" s="234"/>
      <c r="R931" s="234"/>
      <c r="S931" s="234"/>
      <c r="T931" s="234"/>
      <c r="U931" s="234"/>
      <c r="V931" s="234"/>
      <c r="W931" s="234"/>
      <c r="X931" s="234"/>
      <c r="Y931" s="234"/>
      <c r="Z931" s="234"/>
      <c r="AA931" s="234"/>
    </row>
    <row r="932" ht="14.25" customHeight="1">
      <c r="A932" s="234"/>
      <c r="B932" s="234"/>
      <c r="C932" s="234"/>
      <c r="D932" s="234"/>
      <c r="E932" s="234"/>
      <c r="F932" s="234"/>
      <c r="G932" s="234"/>
      <c r="H932" s="234"/>
      <c r="I932" s="234"/>
      <c r="J932" s="234"/>
      <c r="K932" s="234"/>
      <c r="L932" s="234"/>
      <c r="M932" s="234"/>
      <c r="N932" s="234"/>
      <c r="O932" s="234"/>
      <c r="P932" s="234"/>
      <c r="Q932" s="234"/>
      <c r="R932" s="234"/>
      <c r="S932" s="234"/>
      <c r="T932" s="234"/>
      <c r="U932" s="234"/>
      <c r="V932" s="234"/>
      <c r="W932" s="234"/>
      <c r="X932" s="234"/>
      <c r="Y932" s="234"/>
      <c r="Z932" s="234"/>
      <c r="AA932" s="234"/>
    </row>
    <row r="933" ht="14.25" customHeight="1">
      <c r="A933" s="234"/>
      <c r="B933" s="234"/>
      <c r="C933" s="234"/>
      <c r="D933" s="234"/>
      <c r="E933" s="234"/>
      <c r="F933" s="234"/>
      <c r="G933" s="234"/>
      <c r="H933" s="234"/>
      <c r="I933" s="234"/>
      <c r="J933" s="234"/>
      <c r="K933" s="234"/>
      <c r="L933" s="234"/>
      <c r="M933" s="234"/>
      <c r="N933" s="234"/>
      <c r="O933" s="234"/>
      <c r="P933" s="234"/>
      <c r="Q933" s="234"/>
      <c r="R933" s="234"/>
      <c r="S933" s="234"/>
      <c r="T933" s="234"/>
      <c r="U933" s="234"/>
      <c r="V933" s="234"/>
      <c r="W933" s="234"/>
      <c r="X933" s="234"/>
      <c r="Y933" s="234"/>
      <c r="Z933" s="234"/>
      <c r="AA933" s="234"/>
    </row>
    <row r="934" ht="14.25" customHeight="1">
      <c r="A934" s="234"/>
      <c r="B934" s="234"/>
      <c r="C934" s="234"/>
      <c r="D934" s="234"/>
      <c r="E934" s="234"/>
      <c r="F934" s="234"/>
      <c r="G934" s="234"/>
      <c r="H934" s="234"/>
      <c r="I934" s="234"/>
      <c r="J934" s="234"/>
      <c r="K934" s="234"/>
      <c r="L934" s="234"/>
      <c r="M934" s="234"/>
      <c r="N934" s="234"/>
      <c r="O934" s="234"/>
      <c r="P934" s="234"/>
      <c r="Q934" s="234"/>
      <c r="R934" s="234"/>
      <c r="S934" s="234"/>
      <c r="T934" s="234"/>
      <c r="U934" s="234"/>
      <c r="V934" s="234"/>
      <c r="W934" s="234"/>
      <c r="X934" s="234"/>
      <c r="Y934" s="234"/>
      <c r="Z934" s="234"/>
      <c r="AA934" s="234"/>
    </row>
    <row r="935" ht="14.25" customHeight="1">
      <c r="A935" s="234"/>
      <c r="B935" s="234"/>
      <c r="C935" s="234"/>
      <c r="D935" s="234"/>
      <c r="E935" s="234"/>
      <c r="F935" s="234"/>
      <c r="G935" s="234"/>
      <c r="H935" s="234"/>
      <c r="I935" s="234"/>
      <c r="J935" s="234"/>
      <c r="K935" s="234"/>
      <c r="L935" s="234"/>
      <c r="M935" s="234"/>
      <c r="N935" s="234"/>
      <c r="O935" s="234"/>
      <c r="P935" s="234"/>
      <c r="Q935" s="234"/>
      <c r="R935" s="234"/>
      <c r="S935" s="234"/>
      <c r="T935" s="234"/>
      <c r="U935" s="234"/>
      <c r="V935" s="234"/>
      <c r="W935" s="234"/>
      <c r="X935" s="234"/>
      <c r="Y935" s="234"/>
      <c r="Z935" s="234"/>
      <c r="AA935" s="234"/>
    </row>
    <row r="936" ht="14.25" customHeight="1">
      <c r="A936" s="234"/>
      <c r="B936" s="234"/>
      <c r="C936" s="234"/>
      <c r="D936" s="234"/>
      <c r="E936" s="234"/>
      <c r="F936" s="234"/>
      <c r="G936" s="234"/>
      <c r="H936" s="234"/>
      <c r="I936" s="234"/>
      <c r="J936" s="234"/>
      <c r="K936" s="234"/>
      <c r="L936" s="234"/>
      <c r="M936" s="234"/>
      <c r="N936" s="234"/>
      <c r="O936" s="234"/>
      <c r="P936" s="234"/>
      <c r="Q936" s="234"/>
      <c r="R936" s="234"/>
      <c r="S936" s="234"/>
      <c r="T936" s="234"/>
      <c r="U936" s="234"/>
      <c r="V936" s="234"/>
      <c r="W936" s="234"/>
      <c r="X936" s="234"/>
      <c r="Y936" s="234"/>
      <c r="Z936" s="234"/>
      <c r="AA936" s="234"/>
    </row>
    <row r="937" ht="14.25" customHeight="1">
      <c r="A937" s="234"/>
      <c r="B937" s="234"/>
      <c r="C937" s="234"/>
      <c r="D937" s="234"/>
      <c r="E937" s="234"/>
      <c r="F937" s="234"/>
      <c r="G937" s="234"/>
      <c r="H937" s="234"/>
      <c r="I937" s="234"/>
      <c r="J937" s="234"/>
      <c r="K937" s="234"/>
      <c r="L937" s="234"/>
      <c r="M937" s="234"/>
      <c r="N937" s="234"/>
      <c r="O937" s="234"/>
      <c r="P937" s="234"/>
      <c r="Q937" s="234"/>
      <c r="R937" s="234"/>
      <c r="S937" s="234"/>
      <c r="T937" s="234"/>
      <c r="U937" s="234"/>
      <c r="V937" s="234"/>
      <c r="W937" s="234"/>
      <c r="X937" s="234"/>
      <c r="Y937" s="234"/>
      <c r="Z937" s="234"/>
      <c r="AA937" s="234"/>
    </row>
    <row r="938" ht="14.25" customHeight="1">
      <c r="A938" s="234"/>
      <c r="B938" s="234"/>
      <c r="C938" s="234"/>
      <c r="D938" s="234"/>
      <c r="E938" s="234"/>
      <c r="F938" s="234"/>
      <c r="G938" s="234"/>
      <c r="H938" s="234"/>
      <c r="I938" s="234"/>
      <c r="J938" s="234"/>
      <c r="K938" s="234"/>
      <c r="L938" s="234"/>
      <c r="M938" s="234"/>
      <c r="N938" s="234"/>
      <c r="O938" s="234"/>
      <c r="P938" s="234"/>
      <c r="Q938" s="234"/>
      <c r="R938" s="234"/>
      <c r="S938" s="234"/>
      <c r="T938" s="234"/>
      <c r="U938" s="234"/>
      <c r="V938" s="234"/>
      <c r="W938" s="234"/>
      <c r="X938" s="234"/>
      <c r="Y938" s="234"/>
      <c r="Z938" s="234"/>
      <c r="AA938" s="234"/>
    </row>
    <row r="939" ht="14.25" customHeight="1">
      <c r="A939" s="234"/>
      <c r="B939" s="234"/>
      <c r="C939" s="234"/>
      <c r="D939" s="234"/>
      <c r="E939" s="234"/>
      <c r="F939" s="234"/>
      <c r="G939" s="234"/>
      <c r="H939" s="234"/>
      <c r="I939" s="234"/>
      <c r="J939" s="234"/>
      <c r="K939" s="234"/>
      <c r="L939" s="234"/>
      <c r="M939" s="234"/>
      <c r="N939" s="234"/>
      <c r="O939" s="234"/>
      <c r="P939" s="234"/>
      <c r="Q939" s="234"/>
      <c r="R939" s="234"/>
      <c r="S939" s="234"/>
      <c r="T939" s="234"/>
      <c r="U939" s="234"/>
      <c r="V939" s="234"/>
      <c r="W939" s="234"/>
      <c r="X939" s="234"/>
      <c r="Y939" s="234"/>
      <c r="Z939" s="234"/>
      <c r="AA939" s="234"/>
    </row>
    <row r="940" ht="14.25" customHeight="1">
      <c r="A940" s="234"/>
      <c r="B940" s="234"/>
      <c r="C940" s="234"/>
      <c r="D940" s="234"/>
      <c r="E940" s="234"/>
      <c r="F940" s="234"/>
      <c r="G940" s="234"/>
      <c r="H940" s="234"/>
      <c r="I940" s="234"/>
      <c r="J940" s="234"/>
      <c r="K940" s="234"/>
      <c r="L940" s="234"/>
      <c r="M940" s="234"/>
      <c r="N940" s="234"/>
      <c r="O940" s="234"/>
      <c r="P940" s="234"/>
      <c r="Q940" s="234"/>
      <c r="R940" s="234"/>
      <c r="S940" s="234"/>
      <c r="T940" s="234"/>
      <c r="U940" s="234"/>
      <c r="V940" s="234"/>
      <c r="W940" s="234"/>
      <c r="X940" s="234"/>
      <c r="Y940" s="234"/>
      <c r="Z940" s="234"/>
      <c r="AA940" s="234"/>
    </row>
    <row r="941" ht="14.25" customHeight="1">
      <c r="A941" s="234"/>
      <c r="B941" s="234"/>
      <c r="C941" s="234"/>
      <c r="D941" s="234"/>
      <c r="E941" s="234"/>
      <c r="F941" s="234"/>
      <c r="G941" s="234"/>
      <c r="H941" s="234"/>
      <c r="I941" s="234"/>
      <c r="J941" s="234"/>
      <c r="K941" s="234"/>
      <c r="L941" s="234"/>
      <c r="M941" s="234"/>
      <c r="N941" s="234"/>
      <c r="O941" s="234"/>
      <c r="P941" s="234"/>
      <c r="Q941" s="234"/>
      <c r="R941" s="234"/>
      <c r="S941" s="234"/>
      <c r="T941" s="234"/>
      <c r="U941" s="234"/>
      <c r="V941" s="234"/>
      <c r="W941" s="234"/>
      <c r="X941" s="234"/>
      <c r="Y941" s="234"/>
      <c r="Z941" s="234"/>
      <c r="AA941" s="234"/>
    </row>
    <row r="942" ht="14.25" customHeight="1">
      <c r="A942" s="234"/>
      <c r="B942" s="234"/>
      <c r="C942" s="234"/>
      <c r="D942" s="234"/>
      <c r="E942" s="234"/>
      <c r="F942" s="234"/>
      <c r="G942" s="234"/>
      <c r="H942" s="234"/>
      <c r="I942" s="234"/>
      <c r="J942" s="234"/>
      <c r="K942" s="234"/>
      <c r="L942" s="234"/>
      <c r="M942" s="234"/>
      <c r="N942" s="234"/>
      <c r="O942" s="234"/>
      <c r="P942" s="234"/>
      <c r="Q942" s="234"/>
      <c r="R942" s="234"/>
      <c r="S942" s="234"/>
      <c r="T942" s="234"/>
      <c r="U942" s="234"/>
      <c r="V942" s="234"/>
      <c r="W942" s="234"/>
      <c r="X942" s="234"/>
      <c r="Y942" s="234"/>
      <c r="Z942" s="234"/>
      <c r="AA942" s="234"/>
    </row>
    <row r="943" ht="14.25" customHeight="1">
      <c r="A943" s="234"/>
      <c r="B943" s="234"/>
      <c r="C943" s="234"/>
      <c r="D943" s="234"/>
      <c r="E943" s="234"/>
      <c r="F943" s="234"/>
      <c r="G943" s="234"/>
      <c r="H943" s="234"/>
      <c r="I943" s="234"/>
      <c r="J943" s="234"/>
      <c r="K943" s="234"/>
      <c r="L943" s="234"/>
      <c r="M943" s="234"/>
      <c r="N943" s="234"/>
      <c r="O943" s="234"/>
      <c r="P943" s="234"/>
      <c r="Q943" s="234"/>
      <c r="R943" s="234"/>
      <c r="S943" s="234"/>
      <c r="T943" s="234"/>
      <c r="U943" s="234"/>
      <c r="V943" s="234"/>
      <c r="W943" s="234"/>
      <c r="X943" s="234"/>
      <c r="Y943" s="234"/>
      <c r="Z943" s="234"/>
      <c r="AA943" s="234"/>
    </row>
    <row r="944" ht="14.25" customHeight="1">
      <c r="A944" s="234"/>
      <c r="B944" s="234"/>
      <c r="C944" s="234"/>
      <c r="D944" s="234"/>
      <c r="E944" s="234"/>
      <c r="F944" s="234"/>
      <c r="G944" s="234"/>
      <c r="H944" s="234"/>
      <c r="I944" s="234"/>
      <c r="J944" s="234"/>
      <c r="K944" s="234"/>
      <c r="L944" s="234"/>
      <c r="M944" s="234"/>
      <c r="N944" s="234"/>
      <c r="O944" s="234"/>
      <c r="P944" s="234"/>
      <c r="Q944" s="234"/>
      <c r="R944" s="234"/>
      <c r="S944" s="234"/>
      <c r="T944" s="234"/>
      <c r="U944" s="234"/>
      <c r="V944" s="234"/>
      <c r="W944" s="234"/>
      <c r="X944" s="234"/>
      <c r="Y944" s="234"/>
      <c r="Z944" s="234"/>
      <c r="AA944" s="234"/>
    </row>
    <row r="945" ht="14.25" customHeight="1">
      <c r="A945" s="234"/>
      <c r="B945" s="234"/>
      <c r="C945" s="234"/>
      <c r="D945" s="234"/>
      <c r="E945" s="234"/>
      <c r="F945" s="234"/>
      <c r="G945" s="234"/>
      <c r="H945" s="234"/>
      <c r="I945" s="234"/>
      <c r="J945" s="234"/>
      <c r="K945" s="234"/>
      <c r="L945" s="234"/>
      <c r="M945" s="234"/>
      <c r="N945" s="234"/>
      <c r="O945" s="234"/>
      <c r="P945" s="234"/>
      <c r="Q945" s="234"/>
      <c r="R945" s="234"/>
      <c r="S945" s="234"/>
      <c r="T945" s="234"/>
      <c r="U945" s="234"/>
      <c r="V945" s="234"/>
      <c r="W945" s="234"/>
      <c r="X945" s="234"/>
      <c r="Y945" s="234"/>
      <c r="Z945" s="234"/>
      <c r="AA945" s="234"/>
    </row>
    <row r="946" ht="14.25" customHeight="1">
      <c r="A946" s="234"/>
      <c r="B946" s="234"/>
      <c r="C946" s="234"/>
      <c r="D946" s="234"/>
      <c r="E946" s="234"/>
      <c r="F946" s="234"/>
      <c r="G946" s="234"/>
      <c r="H946" s="234"/>
      <c r="I946" s="234"/>
      <c r="J946" s="234"/>
      <c r="K946" s="234"/>
      <c r="L946" s="234"/>
      <c r="M946" s="234"/>
      <c r="N946" s="234"/>
      <c r="O946" s="234"/>
      <c r="P946" s="234"/>
      <c r="Q946" s="234"/>
      <c r="R946" s="234"/>
      <c r="S946" s="234"/>
      <c r="T946" s="234"/>
      <c r="U946" s="234"/>
      <c r="V946" s="234"/>
      <c r="W946" s="234"/>
      <c r="X946" s="234"/>
      <c r="Y946" s="234"/>
      <c r="Z946" s="234"/>
      <c r="AA946" s="234"/>
    </row>
    <row r="947" ht="14.25" customHeight="1">
      <c r="A947" s="234"/>
      <c r="B947" s="234"/>
      <c r="C947" s="234"/>
      <c r="D947" s="234"/>
      <c r="E947" s="234"/>
      <c r="F947" s="234"/>
      <c r="G947" s="234"/>
      <c r="H947" s="234"/>
      <c r="I947" s="234"/>
      <c r="J947" s="234"/>
      <c r="K947" s="234"/>
      <c r="L947" s="234"/>
      <c r="M947" s="234"/>
      <c r="N947" s="234"/>
      <c r="O947" s="234"/>
      <c r="P947" s="234"/>
      <c r="Q947" s="234"/>
      <c r="R947" s="234"/>
      <c r="S947" s="234"/>
      <c r="T947" s="234"/>
      <c r="U947" s="234"/>
      <c r="V947" s="234"/>
      <c r="W947" s="234"/>
      <c r="X947" s="234"/>
      <c r="Y947" s="234"/>
      <c r="Z947" s="234"/>
      <c r="AA947" s="234"/>
    </row>
    <row r="948" ht="14.25" customHeight="1">
      <c r="A948" s="234"/>
      <c r="B948" s="234"/>
      <c r="C948" s="234"/>
      <c r="D948" s="234"/>
      <c r="E948" s="234"/>
      <c r="F948" s="234"/>
      <c r="G948" s="234"/>
      <c r="H948" s="234"/>
      <c r="I948" s="234"/>
      <c r="J948" s="234"/>
      <c r="K948" s="234"/>
      <c r="L948" s="234"/>
      <c r="M948" s="234"/>
      <c r="N948" s="234"/>
      <c r="O948" s="234"/>
      <c r="P948" s="234"/>
      <c r="Q948" s="234"/>
      <c r="R948" s="234"/>
      <c r="S948" s="234"/>
      <c r="T948" s="234"/>
      <c r="U948" s="234"/>
      <c r="V948" s="234"/>
      <c r="W948" s="234"/>
      <c r="X948" s="234"/>
      <c r="Y948" s="234"/>
      <c r="Z948" s="234"/>
      <c r="AA948" s="234"/>
    </row>
    <row r="949" ht="14.25" customHeight="1">
      <c r="A949" s="234"/>
      <c r="B949" s="234"/>
      <c r="C949" s="234"/>
      <c r="D949" s="234"/>
      <c r="E949" s="234"/>
      <c r="F949" s="234"/>
      <c r="G949" s="234"/>
      <c r="H949" s="234"/>
      <c r="I949" s="234"/>
      <c r="J949" s="234"/>
      <c r="K949" s="234"/>
      <c r="L949" s="234"/>
      <c r="M949" s="234"/>
      <c r="N949" s="234"/>
      <c r="O949" s="234"/>
      <c r="P949" s="234"/>
      <c r="Q949" s="234"/>
      <c r="R949" s="234"/>
      <c r="S949" s="234"/>
      <c r="T949" s="234"/>
      <c r="U949" s="234"/>
      <c r="V949" s="234"/>
      <c r="W949" s="234"/>
      <c r="X949" s="234"/>
      <c r="Y949" s="234"/>
      <c r="Z949" s="234"/>
      <c r="AA949" s="234"/>
    </row>
    <row r="950" ht="14.25" customHeight="1">
      <c r="A950" s="234"/>
      <c r="B950" s="234"/>
      <c r="C950" s="234"/>
      <c r="D950" s="234"/>
      <c r="E950" s="234"/>
      <c r="F950" s="234"/>
      <c r="G950" s="234"/>
      <c r="H950" s="234"/>
      <c r="I950" s="234"/>
      <c r="J950" s="234"/>
      <c r="K950" s="234"/>
      <c r="L950" s="234"/>
      <c r="M950" s="234"/>
      <c r="N950" s="234"/>
      <c r="O950" s="234"/>
      <c r="P950" s="234"/>
      <c r="Q950" s="234"/>
      <c r="R950" s="234"/>
      <c r="S950" s="234"/>
      <c r="T950" s="234"/>
      <c r="U950" s="234"/>
      <c r="V950" s="234"/>
      <c r="W950" s="234"/>
      <c r="X950" s="234"/>
      <c r="Y950" s="234"/>
      <c r="Z950" s="234"/>
      <c r="AA950" s="234"/>
    </row>
    <row r="951" ht="14.25" customHeight="1">
      <c r="A951" s="234"/>
      <c r="B951" s="234"/>
      <c r="C951" s="234"/>
      <c r="D951" s="234"/>
      <c r="E951" s="234"/>
      <c r="F951" s="234"/>
      <c r="G951" s="234"/>
      <c r="H951" s="234"/>
      <c r="I951" s="234"/>
      <c r="J951" s="234"/>
      <c r="K951" s="234"/>
      <c r="L951" s="234"/>
      <c r="M951" s="234"/>
      <c r="N951" s="234"/>
      <c r="O951" s="234"/>
      <c r="P951" s="234"/>
      <c r="Q951" s="234"/>
      <c r="R951" s="234"/>
      <c r="S951" s="234"/>
      <c r="T951" s="234"/>
      <c r="U951" s="234"/>
      <c r="V951" s="234"/>
      <c r="W951" s="234"/>
      <c r="X951" s="234"/>
      <c r="Y951" s="234"/>
      <c r="Z951" s="234"/>
      <c r="AA951" s="234"/>
    </row>
    <row r="952" ht="14.25" customHeight="1">
      <c r="A952" s="234"/>
      <c r="B952" s="234"/>
      <c r="C952" s="234"/>
      <c r="D952" s="234"/>
      <c r="E952" s="234"/>
      <c r="F952" s="234"/>
      <c r="G952" s="234"/>
      <c r="H952" s="234"/>
      <c r="I952" s="234"/>
      <c r="J952" s="234"/>
      <c r="K952" s="234"/>
      <c r="L952" s="234"/>
      <c r="M952" s="234"/>
      <c r="N952" s="234"/>
      <c r="O952" s="234"/>
      <c r="P952" s="234"/>
      <c r="Q952" s="234"/>
      <c r="R952" s="234"/>
      <c r="S952" s="234"/>
      <c r="T952" s="234"/>
      <c r="U952" s="234"/>
      <c r="V952" s="234"/>
      <c r="W952" s="234"/>
      <c r="X952" s="234"/>
      <c r="Y952" s="234"/>
      <c r="Z952" s="234"/>
      <c r="AA952" s="234"/>
    </row>
    <row r="953" ht="14.25" customHeight="1">
      <c r="A953" s="234"/>
      <c r="B953" s="234"/>
      <c r="C953" s="234"/>
      <c r="D953" s="234"/>
      <c r="E953" s="234"/>
      <c r="F953" s="234"/>
      <c r="G953" s="234"/>
      <c r="H953" s="234"/>
      <c r="I953" s="234"/>
      <c r="J953" s="234"/>
      <c r="K953" s="234"/>
      <c r="L953" s="234"/>
      <c r="M953" s="234"/>
      <c r="N953" s="234"/>
      <c r="O953" s="234"/>
      <c r="P953" s="234"/>
      <c r="Q953" s="234"/>
      <c r="R953" s="234"/>
      <c r="S953" s="234"/>
      <c r="T953" s="234"/>
      <c r="U953" s="234"/>
      <c r="V953" s="234"/>
      <c r="W953" s="234"/>
      <c r="X953" s="234"/>
      <c r="Y953" s="234"/>
      <c r="Z953" s="234"/>
      <c r="AA953" s="234"/>
    </row>
    <row r="954" ht="14.25" customHeight="1">
      <c r="A954" s="234"/>
      <c r="B954" s="234"/>
      <c r="C954" s="234"/>
      <c r="D954" s="234"/>
      <c r="E954" s="234"/>
      <c r="F954" s="234"/>
      <c r="G954" s="234"/>
      <c r="H954" s="234"/>
      <c r="I954" s="234"/>
      <c r="J954" s="234"/>
      <c r="K954" s="234"/>
      <c r="L954" s="234"/>
      <c r="M954" s="234"/>
      <c r="N954" s="234"/>
      <c r="O954" s="234"/>
      <c r="P954" s="234"/>
      <c r="Q954" s="234"/>
      <c r="R954" s="234"/>
      <c r="S954" s="234"/>
      <c r="T954" s="234"/>
      <c r="U954" s="234"/>
      <c r="V954" s="234"/>
      <c r="W954" s="234"/>
      <c r="X954" s="234"/>
      <c r="Y954" s="234"/>
      <c r="Z954" s="234"/>
      <c r="AA954" s="234"/>
    </row>
    <row r="955" ht="14.25" customHeight="1">
      <c r="A955" s="234"/>
      <c r="B955" s="234"/>
      <c r="C955" s="234"/>
      <c r="D955" s="234"/>
      <c r="E955" s="234"/>
      <c r="F955" s="234"/>
      <c r="G955" s="234"/>
      <c r="H955" s="234"/>
      <c r="I955" s="234"/>
      <c r="J955" s="234"/>
      <c r="K955" s="234"/>
      <c r="L955" s="234"/>
      <c r="M955" s="234"/>
      <c r="N955" s="234"/>
      <c r="O955" s="234"/>
      <c r="P955" s="234"/>
      <c r="Q955" s="234"/>
      <c r="R955" s="234"/>
      <c r="S955" s="234"/>
      <c r="T955" s="234"/>
      <c r="U955" s="234"/>
      <c r="V955" s="234"/>
      <c r="W955" s="234"/>
      <c r="X955" s="234"/>
      <c r="Y955" s="234"/>
      <c r="Z955" s="234"/>
      <c r="AA955" s="234"/>
    </row>
    <row r="956" ht="14.25" customHeight="1">
      <c r="A956" s="234"/>
      <c r="B956" s="234"/>
      <c r="C956" s="234"/>
      <c r="D956" s="234"/>
      <c r="E956" s="234"/>
      <c r="F956" s="234"/>
      <c r="G956" s="234"/>
      <c r="H956" s="234"/>
      <c r="I956" s="234"/>
      <c r="J956" s="234"/>
      <c r="K956" s="234"/>
      <c r="L956" s="234"/>
      <c r="M956" s="234"/>
      <c r="N956" s="234"/>
      <c r="O956" s="234"/>
      <c r="P956" s="234"/>
      <c r="Q956" s="234"/>
      <c r="R956" s="234"/>
      <c r="S956" s="234"/>
      <c r="T956" s="234"/>
      <c r="U956" s="234"/>
      <c r="V956" s="234"/>
      <c r="W956" s="234"/>
      <c r="X956" s="234"/>
      <c r="Y956" s="234"/>
      <c r="Z956" s="234"/>
      <c r="AA956" s="234"/>
    </row>
    <row r="957" ht="14.25" customHeight="1">
      <c r="A957" s="234"/>
      <c r="B957" s="234"/>
      <c r="C957" s="234"/>
      <c r="D957" s="234"/>
      <c r="E957" s="234"/>
      <c r="F957" s="234"/>
      <c r="G957" s="234"/>
      <c r="H957" s="234"/>
      <c r="I957" s="234"/>
      <c r="J957" s="234"/>
      <c r="K957" s="234"/>
      <c r="L957" s="234"/>
      <c r="M957" s="234"/>
      <c r="N957" s="234"/>
      <c r="O957" s="234"/>
      <c r="P957" s="234"/>
      <c r="Q957" s="234"/>
      <c r="R957" s="234"/>
      <c r="S957" s="234"/>
      <c r="T957" s="234"/>
      <c r="U957" s="234"/>
      <c r="V957" s="234"/>
      <c r="W957" s="234"/>
      <c r="X957" s="234"/>
      <c r="Y957" s="234"/>
      <c r="Z957" s="234"/>
      <c r="AA957" s="234"/>
    </row>
    <row r="958" ht="14.25" customHeight="1">
      <c r="A958" s="234"/>
      <c r="B958" s="234"/>
      <c r="C958" s="234"/>
      <c r="D958" s="234"/>
      <c r="E958" s="234"/>
      <c r="F958" s="234"/>
      <c r="G958" s="234"/>
      <c r="H958" s="234"/>
      <c r="I958" s="234"/>
      <c r="J958" s="234"/>
      <c r="K958" s="234"/>
      <c r="L958" s="234"/>
      <c r="M958" s="234"/>
      <c r="N958" s="234"/>
      <c r="O958" s="234"/>
      <c r="P958" s="234"/>
      <c r="Q958" s="234"/>
      <c r="R958" s="234"/>
      <c r="S958" s="234"/>
      <c r="T958" s="234"/>
      <c r="U958" s="234"/>
      <c r="V958" s="234"/>
      <c r="W958" s="234"/>
      <c r="X958" s="234"/>
      <c r="Y958" s="234"/>
      <c r="Z958" s="234"/>
      <c r="AA958" s="234"/>
    </row>
    <row r="959" ht="14.25" customHeight="1">
      <c r="A959" s="234"/>
      <c r="B959" s="234"/>
      <c r="C959" s="234"/>
      <c r="D959" s="234"/>
      <c r="E959" s="234"/>
      <c r="F959" s="234"/>
      <c r="G959" s="234"/>
      <c r="H959" s="234"/>
      <c r="I959" s="234"/>
      <c r="J959" s="234"/>
      <c r="K959" s="234"/>
      <c r="L959" s="234"/>
      <c r="M959" s="234"/>
      <c r="N959" s="234"/>
      <c r="O959" s="234"/>
      <c r="P959" s="234"/>
      <c r="Q959" s="234"/>
      <c r="R959" s="234"/>
      <c r="S959" s="234"/>
      <c r="T959" s="234"/>
      <c r="U959" s="234"/>
      <c r="V959" s="234"/>
      <c r="W959" s="234"/>
      <c r="X959" s="234"/>
      <c r="Y959" s="234"/>
      <c r="Z959" s="234"/>
      <c r="AA959" s="234"/>
    </row>
    <row r="960" ht="14.25" customHeight="1">
      <c r="A960" s="234"/>
      <c r="B960" s="234"/>
      <c r="C960" s="234"/>
      <c r="D960" s="234"/>
      <c r="E960" s="234"/>
      <c r="F960" s="234"/>
      <c r="G960" s="234"/>
      <c r="H960" s="234"/>
      <c r="I960" s="234"/>
      <c r="J960" s="234"/>
      <c r="K960" s="234"/>
      <c r="L960" s="234"/>
      <c r="M960" s="234"/>
      <c r="N960" s="234"/>
      <c r="O960" s="234"/>
      <c r="P960" s="234"/>
      <c r="Q960" s="234"/>
      <c r="R960" s="234"/>
      <c r="S960" s="234"/>
      <c r="T960" s="234"/>
      <c r="U960" s="234"/>
      <c r="V960" s="234"/>
      <c r="W960" s="234"/>
      <c r="X960" s="234"/>
      <c r="Y960" s="234"/>
      <c r="Z960" s="234"/>
      <c r="AA960" s="234"/>
    </row>
    <row r="961" ht="14.25" customHeight="1">
      <c r="A961" s="234"/>
      <c r="B961" s="234"/>
      <c r="C961" s="234"/>
      <c r="D961" s="234"/>
      <c r="E961" s="234"/>
      <c r="F961" s="234"/>
      <c r="G961" s="234"/>
      <c r="H961" s="234"/>
      <c r="I961" s="234"/>
      <c r="J961" s="234"/>
      <c r="K961" s="234"/>
      <c r="L961" s="234"/>
      <c r="M961" s="234"/>
      <c r="N961" s="234"/>
      <c r="O961" s="234"/>
      <c r="P961" s="234"/>
      <c r="Q961" s="234"/>
      <c r="R961" s="234"/>
      <c r="S961" s="234"/>
      <c r="T961" s="234"/>
      <c r="U961" s="234"/>
      <c r="V961" s="234"/>
      <c r="W961" s="234"/>
      <c r="X961" s="234"/>
      <c r="Y961" s="234"/>
      <c r="Z961" s="234"/>
      <c r="AA961" s="234"/>
    </row>
    <row r="962" ht="14.25" customHeight="1">
      <c r="A962" s="234"/>
      <c r="B962" s="234"/>
      <c r="C962" s="234"/>
      <c r="D962" s="234"/>
      <c r="E962" s="234"/>
      <c r="F962" s="234"/>
      <c r="G962" s="234"/>
      <c r="H962" s="234"/>
      <c r="I962" s="234"/>
      <c r="J962" s="234"/>
      <c r="K962" s="234"/>
      <c r="L962" s="234"/>
      <c r="M962" s="234"/>
      <c r="N962" s="234"/>
      <c r="O962" s="234"/>
      <c r="P962" s="234"/>
      <c r="Q962" s="234"/>
      <c r="R962" s="234"/>
      <c r="S962" s="234"/>
      <c r="T962" s="234"/>
      <c r="U962" s="234"/>
      <c r="V962" s="234"/>
      <c r="W962" s="234"/>
      <c r="X962" s="234"/>
      <c r="Y962" s="234"/>
      <c r="Z962" s="234"/>
      <c r="AA962" s="234"/>
    </row>
    <row r="963" ht="14.25" customHeight="1">
      <c r="A963" s="234"/>
      <c r="B963" s="234"/>
      <c r="C963" s="234"/>
      <c r="D963" s="234"/>
      <c r="E963" s="234"/>
      <c r="F963" s="234"/>
      <c r="G963" s="234"/>
      <c r="H963" s="234"/>
      <c r="I963" s="234"/>
      <c r="J963" s="234"/>
      <c r="K963" s="234"/>
      <c r="L963" s="234"/>
      <c r="M963" s="234"/>
      <c r="N963" s="234"/>
      <c r="O963" s="234"/>
      <c r="P963" s="234"/>
      <c r="Q963" s="234"/>
      <c r="R963" s="234"/>
      <c r="S963" s="234"/>
      <c r="T963" s="234"/>
      <c r="U963" s="234"/>
      <c r="V963" s="234"/>
      <c r="W963" s="234"/>
      <c r="X963" s="234"/>
      <c r="Y963" s="234"/>
      <c r="Z963" s="234"/>
      <c r="AA963" s="234"/>
    </row>
    <row r="964" ht="14.25" customHeight="1">
      <c r="A964" s="234"/>
      <c r="B964" s="234"/>
      <c r="C964" s="234"/>
      <c r="D964" s="234"/>
      <c r="E964" s="234"/>
      <c r="F964" s="234"/>
      <c r="G964" s="234"/>
      <c r="H964" s="234"/>
      <c r="I964" s="234"/>
      <c r="J964" s="234"/>
      <c r="K964" s="234"/>
      <c r="L964" s="234"/>
      <c r="M964" s="234"/>
      <c r="N964" s="234"/>
      <c r="O964" s="234"/>
      <c r="P964" s="234"/>
      <c r="Q964" s="234"/>
      <c r="R964" s="234"/>
      <c r="S964" s="234"/>
      <c r="T964" s="234"/>
      <c r="U964" s="234"/>
      <c r="V964" s="234"/>
      <c r="W964" s="234"/>
      <c r="X964" s="234"/>
      <c r="Y964" s="234"/>
      <c r="Z964" s="234"/>
      <c r="AA964" s="234"/>
    </row>
    <row r="965" ht="14.25" customHeight="1">
      <c r="A965" s="234"/>
      <c r="B965" s="234"/>
      <c r="C965" s="234"/>
      <c r="D965" s="234"/>
      <c r="E965" s="234"/>
      <c r="F965" s="234"/>
      <c r="G965" s="234"/>
      <c r="H965" s="234"/>
      <c r="I965" s="234"/>
      <c r="J965" s="234"/>
      <c r="K965" s="234"/>
      <c r="L965" s="234"/>
      <c r="M965" s="234"/>
      <c r="N965" s="234"/>
      <c r="O965" s="234"/>
      <c r="P965" s="234"/>
      <c r="Q965" s="234"/>
      <c r="R965" s="234"/>
      <c r="S965" s="234"/>
      <c r="T965" s="234"/>
      <c r="U965" s="234"/>
      <c r="V965" s="234"/>
      <c r="W965" s="234"/>
      <c r="X965" s="234"/>
      <c r="Y965" s="234"/>
      <c r="Z965" s="234"/>
      <c r="AA965" s="234"/>
    </row>
    <row r="966" ht="14.25" customHeight="1">
      <c r="A966" s="234"/>
      <c r="B966" s="234"/>
      <c r="C966" s="234"/>
      <c r="D966" s="234"/>
      <c r="E966" s="234"/>
      <c r="F966" s="234"/>
      <c r="G966" s="234"/>
      <c r="H966" s="234"/>
      <c r="I966" s="234"/>
      <c r="J966" s="234"/>
      <c r="K966" s="234"/>
      <c r="L966" s="234"/>
      <c r="M966" s="234"/>
      <c r="N966" s="234"/>
      <c r="O966" s="234"/>
      <c r="P966" s="234"/>
      <c r="Q966" s="234"/>
      <c r="R966" s="234"/>
      <c r="S966" s="234"/>
      <c r="T966" s="234"/>
      <c r="U966" s="234"/>
      <c r="V966" s="234"/>
      <c r="W966" s="234"/>
      <c r="X966" s="234"/>
      <c r="Y966" s="234"/>
      <c r="Z966" s="234"/>
      <c r="AA966" s="234"/>
    </row>
    <row r="967" ht="14.25" customHeight="1">
      <c r="A967" s="234"/>
      <c r="B967" s="234"/>
      <c r="C967" s="234"/>
      <c r="D967" s="234"/>
      <c r="E967" s="234"/>
      <c r="F967" s="234"/>
      <c r="G967" s="234"/>
      <c r="H967" s="234"/>
      <c r="I967" s="234"/>
      <c r="J967" s="234"/>
      <c r="K967" s="234"/>
      <c r="L967" s="234"/>
      <c r="M967" s="234"/>
      <c r="N967" s="234"/>
      <c r="O967" s="234"/>
      <c r="P967" s="234"/>
      <c r="Q967" s="234"/>
      <c r="R967" s="234"/>
      <c r="S967" s="234"/>
      <c r="T967" s="234"/>
      <c r="U967" s="234"/>
      <c r="V967" s="234"/>
      <c r="W967" s="234"/>
      <c r="X967" s="234"/>
      <c r="Y967" s="234"/>
      <c r="Z967" s="234"/>
      <c r="AA967" s="234"/>
    </row>
    <row r="968" ht="14.25" customHeight="1">
      <c r="A968" s="234"/>
      <c r="B968" s="234"/>
      <c r="C968" s="234"/>
      <c r="D968" s="234"/>
      <c r="E968" s="234"/>
      <c r="F968" s="234"/>
      <c r="G968" s="234"/>
      <c r="H968" s="234"/>
      <c r="I968" s="234"/>
      <c r="J968" s="234"/>
      <c r="K968" s="234"/>
      <c r="L968" s="234"/>
      <c r="M968" s="234"/>
      <c r="N968" s="234"/>
      <c r="O968" s="234"/>
      <c r="P968" s="234"/>
      <c r="Q968" s="234"/>
      <c r="R968" s="234"/>
      <c r="S968" s="234"/>
      <c r="T968" s="234"/>
      <c r="U968" s="234"/>
      <c r="V968" s="234"/>
      <c r="W968" s="234"/>
      <c r="X968" s="234"/>
      <c r="Y968" s="234"/>
      <c r="Z968" s="234"/>
      <c r="AA968" s="234"/>
    </row>
    <row r="969" ht="14.25" customHeight="1">
      <c r="A969" s="234"/>
      <c r="B969" s="234"/>
      <c r="C969" s="234"/>
      <c r="D969" s="234"/>
      <c r="E969" s="234"/>
      <c r="F969" s="234"/>
      <c r="G969" s="234"/>
      <c r="H969" s="234"/>
      <c r="I969" s="234"/>
      <c r="J969" s="234"/>
      <c r="K969" s="234"/>
      <c r="L969" s="234"/>
      <c r="M969" s="234"/>
      <c r="N969" s="234"/>
      <c r="O969" s="234"/>
      <c r="P969" s="234"/>
      <c r="Q969" s="234"/>
      <c r="R969" s="234"/>
      <c r="S969" s="234"/>
      <c r="T969" s="234"/>
      <c r="U969" s="234"/>
      <c r="V969" s="234"/>
      <c r="W969" s="234"/>
      <c r="X969" s="234"/>
      <c r="Y969" s="234"/>
      <c r="Z969" s="234"/>
      <c r="AA969" s="234"/>
    </row>
    <row r="970" ht="14.25" customHeight="1">
      <c r="A970" s="234"/>
      <c r="B970" s="234"/>
      <c r="C970" s="234"/>
      <c r="D970" s="234"/>
      <c r="E970" s="234"/>
      <c r="F970" s="234"/>
      <c r="G970" s="234"/>
      <c r="H970" s="234"/>
      <c r="I970" s="234"/>
      <c r="J970" s="234"/>
      <c r="K970" s="234"/>
      <c r="L970" s="234"/>
      <c r="M970" s="234"/>
      <c r="N970" s="234"/>
      <c r="O970" s="234"/>
      <c r="P970" s="234"/>
      <c r="Q970" s="234"/>
      <c r="R970" s="234"/>
      <c r="S970" s="234"/>
      <c r="T970" s="234"/>
      <c r="U970" s="234"/>
      <c r="V970" s="234"/>
      <c r="W970" s="234"/>
      <c r="X970" s="234"/>
      <c r="Y970" s="234"/>
      <c r="Z970" s="234"/>
      <c r="AA970" s="234"/>
    </row>
    <row r="971" ht="14.25" customHeight="1">
      <c r="A971" s="234"/>
      <c r="B971" s="234"/>
      <c r="C971" s="234"/>
      <c r="D971" s="234"/>
      <c r="E971" s="234"/>
      <c r="F971" s="234"/>
      <c r="G971" s="234"/>
      <c r="H971" s="234"/>
      <c r="I971" s="234"/>
      <c r="J971" s="234"/>
      <c r="K971" s="234"/>
      <c r="L971" s="234"/>
      <c r="M971" s="234"/>
      <c r="N971" s="234"/>
      <c r="O971" s="234"/>
      <c r="P971" s="234"/>
      <c r="Q971" s="234"/>
      <c r="R971" s="234"/>
      <c r="S971" s="234"/>
      <c r="T971" s="234"/>
      <c r="U971" s="234"/>
      <c r="V971" s="234"/>
      <c r="W971" s="234"/>
      <c r="X971" s="234"/>
      <c r="Y971" s="234"/>
      <c r="Z971" s="234"/>
      <c r="AA971" s="234"/>
    </row>
    <row r="972" ht="14.25" customHeight="1">
      <c r="A972" s="234"/>
      <c r="B972" s="234"/>
      <c r="C972" s="234"/>
      <c r="D972" s="234"/>
      <c r="E972" s="234"/>
      <c r="F972" s="234"/>
      <c r="G972" s="234"/>
      <c r="H972" s="234"/>
      <c r="I972" s="234"/>
      <c r="J972" s="234"/>
      <c r="K972" s="234"/>
      <c r="L972" s="234"/>
      <c r="M972" s="234"/>
      <c r="N972" s="234"/>
      <c r="O972" s="234"/>
      <c r="P972" s="234"/>
      <c r="Q972" s="234"/>
      <c r="R972" s="234"/>
      <c r="S972" s="234"/>
      <c r="T972" s="234"/>
      <c r="U972" s="234"/>
      <c r="V972" s="234"/>
      <c r="W972" s="234"/>
      <c r="X972" s="234"/>
      <c r="Y972" s="234"/>
      <c r="Z972" s="234"/>
      <c r="AA972" s="234"/>
    </row>
    <row r="973" ht="14.25" customHeight="1">
      <c r="A973" s="234"/>
      <c r="B973" s="234"/>
      <c r="C973" s="234"/>
      <c r="D973" s="234"/>
      <c r="E973" s="234"/>
      <c r="F973" s="234"/>
      <c r="G973" s="234"/>
      <c r="H973" s="234"/>
      <c r="I973" s="234"/>
      <c r="J973" s="234"/>
      <c r="K973" s="234"/>
      <c r="L973" s="234"/>
      <c r="M973" s="234"/>
      <c r="N973" s="234"/>
      <c r="O973" s="234"/>
      <c r="P973" s="234"/>
      <c r="Q973" s="234"/>
      <c r="R973" s="234"/>
      <c r="S973" s="234"/>
      <c r="T973" s="234"/>
      <c r="U973" s="234"/>
      <c r="V973" s="234"/>
      <c r="W973" s="234"/>
      <c r="X973" s="234"/>
      <c r="Y973" s="234"/>
      <c r="Z973" s="234"/>
      <c r="AA973" s="234"/>
    </row>
    <row r="974" ht="14.25" customHeight="1">
      <c r="A974" s="234"/>
      <c r="B974" s="234"/>
      <c r="C974" s="234"/>
      <c r="D974" s="234"/>
      <c r="E974" s="234"/>
      <c r="F974" s="234"/>
      <c r="G974" s="234"/>
      <c r="H974" s="234"/>
      <c r="I974" s="234"/>
      <c r="J974" s="234"/>
      <c r="K974" s="234"/>
      <c r="L974" s="234"/>
      <c r="M974" s="234"/>
      <c r="N974" s="234"/>
      <c r="O974" s="234"/>
      <c r="P974" s="234"/>
      <c r="Q974" s="234"/>
      <c r="R974" s="234"/>
      <c r="S974" s="234"/>
      <c r="T974" s="234"/>
      <c r="U974" s="234"/>
      <c r="V974" s="234"/>
      <c r="W974" s="234"/>
      <c r="X974" s="234"/>
      <c r="Y974" s="234"/>
      <c r="Z974" s="234"/>
      <c r="AA974" s="234"/>
    </row>
    <row r="975" ht="14.25" customHeight="1">
      <c r="A975" s="234"/>
      <c r="B975" s="234"/>
      <c r="C975" s="234"/>
      <c r="D975" s="234"/>
      <c r="E975" s="234"/>
      <c r="F975" s="234"/>
      <c r="G975" s="234"/>
      <c r="H975" s="234"/>
      <c r="I975" s="234"/>
      <c r="J975" s="234"/>
      <c r="K975" s="234"/>
      <c r="L975" s="234"/>
      <c r="M975" s="234"/>
      <c r="N975" s="234"/>
      <c r="O975" s="234"/>
      <c r="P975" s="234"/>
      <c r="Q975" s="234"/>
      <c r="R975" s="234"/>
      <c r="S975" s="234"/>
      <c r="T975" s="234"/>
      <c r="U975" s="234"/>
      <c r="V975" s="234"/>
      <c r="W975" s="234"/>
      <c r="X975" s="234"/>
      <c r="Y975" s="234"/>
      <c r="Z975" s="234"/>
      <c r="AA975" s="234"/>
    </row>
    <row r="976" ht="14.25" customHeight="1">
      <c r="A976" s="234"/>
      <c r="B976" s="234"/>
      <c r="C976" s="234"/>
      <c r="D976" s="234"/>
      <c r="E976" s="234"/>
      <c r="F976" s="234"/>
      <c r="G976" s="234"/>
      <c r="H976" s="234"/>
      <c r="I976" s="234"/>
      <c r="J976" s="234"/>
      <c r="K976" s="234"/>
      <c r="L976" s="234"/>
      <c r="M976" s="234"/>
      <c r="N976" s="234"/>
      <c r="O976" s="234"/>
      <c r="P976" s="234"/>
      <c r="Q976" s="234"/>
      <c r="R976" s="234"/>
      <c r="S976" s="234"/>
      <c r="T976" s="234"/>
      <c r="U976" s="234"/>
      <c r="V976" s="234"/>
      <c r="W976" s="234"/>
      <c r="X976" s="234"/>
      <c r="Y976" s="234"/>
      <c r="Z976" s="234"/>
      <c r="AA976" s="234"/>
    </row>
    <row r="977" ht="14.25" customHeight="1">
      <c r="A977" s="234"/>
      <c r="B977" s="234"/>
      <c r="C977" s="234"/>
      <c r="D977" s="234"/>
      <c r="E977" s="234"/>
      <c r="F977" s="234"/>
      <c r="G977" s="234"/>
      <c r="H977" s="234"/>
      <c r="I977" s="234"/>
      <c r="J977" s="234"/>
      <c r="K977" s="234"/>
      <c r="L977" s="234"/>
      <c r="M977" s="234"/>
      <c r="N977" s="234"/>
      <c r="O977" s="234"/>
      <c r="P977" s="234"/>
      <c r="Q977" s="234"/>
      <c r="R977" s="234"/>
      <c r="S977" s="234"/>
      <c r="T977" s="234"/>
      <c r="U977" s="234"/>
      <c r="V977" s="234"/>
      <c r="W977" s="234"/>
      <c r="X977" s="234"/>
      <c r="Y977" s="234"/>
      <c r="Z977" s="234"/>
      <c r="AA977" s="234"/>
    </row>
    <row r="978" ht="14.25" customHeight="1">
      <c r="A978" s="234"/>
      <c r="B978" s="234"/>
      <c r="C978" s="234"/>
      <c r="D978" s="234"/>
      <c r="E978" s="234"/>
      <c r="F978" s="234"/>
      <c r="G978" s="234"/>
      <c r="H978" s="234"/>
      <c r="I978" s="234"/>
      <c r="J978" s="234"/>
      <c r="K978" s="234"/>
      <c r="L978" s="234"/>
      <c r="M978" s="234"/>
      <c r="N978" s="234"/>
      <c r="O978" s="234"/>
      <c r="P978" s="234"/>
      <c r="Q978" s="234"/>
      <c r="R978" s="234"/>
      <c r="S978" s="234"/>
      <c r="T978" s="234"/>
      <c r="U978" s="234"/>
      <c r="V978" s="234"/>
      <c r="W978" s="234"/>
      <c r="X978" s="234"/>
      <c r="Y978" s="234"/>
      <c r="Z978" s="234"/>
      <c r="AA978" s="234"/>
    </row>
    <row r="979" ht="14.25" customHeight="1">
      <c r="A979" s="234"/>
      <c r="B979" s="234"/>
      <c r="C979" s="234"/>
      <c r="D979" s="234"/>
      <c r="E979" s="234"/>
      <c r="F979" s="234"/>
      <c r="G979" s="234"/>
      <c r="H979" s="234"/>
      <c r="I979" s="234"/>
      <c r="J979" s="234"/>
      <c r="K979" s="234"/>
      <c r="L979" s="234"/>
      <c r="M979" s="234"/>
      <c r="N979" s="234"/>
      <c r="O979" s="234"/>
      <c r="P979" s="234"/>
      <c r="Q979" s="234"/>
      <c r="R979" s="234"/>
      <c r="S979" s="234"/>
      <c r="T979" s="234"/>
      <c r="U979" s="234"/>
      <c r="V979" s="234"/>
      <c r="W979" s="234"/>
      <c r="X979" s="234"/>
      <c r="Y979" s="234"/>
      <c r="Z979" s="234"/>
      <c r="AA979" s="234"/>
    </row>
    <row r="980" ht="14.25" customHeight="1">
      <c r="A980" s="234"/>
      <c r="B980" s="234"/>
      <c r="C980" s="234"/>
      <c r="D980" s="234"/>
      <c r="E980" s="234"/>
      <c r="F980" s="234"/>
      <c r="G980" s="234"/>
      <c r="H980" s="234"/>
      <c r="I980" s="234"/>
      <c r="J980" s="234"/>
      <c r="K980" s="234"/>
      <c r="L980" s="234"/>
      <c r="M980" s="234"/>
      <c r="N980" s="234"/>
      <c r="O980" s="234"/>
      <c r="P980" s="234"/>
      <c r="Q980" s="234"/>
      <c r="R980" s="234"/>
      <c r="S980" s="234"/>
      <c r="T980" s="234"/>
      <c r="U980" s="234"/>
      <c r="V980" s="234"/>
      <c r="W980" s="234"/>
      <c r="X980" s="234"/>
      <c r="Y980" s="234"/>
      <c r="Z980" s="234"/>
      <c r="AA980" s="234"/>
    </row>
    <row r="981" ht="14.25" customHeight="1">
      <c r="A981" s="234"/>
      <c r="B981" s="234"/>
      <c r="C981" s="234"/>
      <c r="D981" s="234"/>
      <c r="E981" s="234"/>
      <c r="F981" s="234"/>
      <c r="G981" s="234"/>
      <c r="H981" s="234"/>
      <c r="I981" s="234"/>
      <c r="J981" s="234"/>
      <c r="K981" s="234"/>
      <c r="L981" s="234"/>
      <c r="M981" s="234"/>
      <c r="N981" s="234"/>
      <c r="O981" s="234"/>
      <c r="P981" s="234"/>
      <c r="Q981" s="234"/>
      <c r="R981" s="234"/>
      <c r="S981" s="234"/>
      <c r="T981" s="234"/>
      <c r="U981" s="234"/>
      <c r="V981" s="234"/>
      <c r="W981" s="234"/>
      <c r="X981" s="234"/>
      <c r="Y981" s="234"/>
      <c r="Z981" s="234"/>
      <c r="AA981" s="234"/>
    </row>
    <row r="982" ht="14.25" customHeight="1">
      <c r="A982" s="234"/>
      <c r="B982" s="234"/>
      <c r="C982" s="234"/>
      <c r="D982" s="234"/>
      <c r="E982" s="234"/>
      <c r="F982" s="234"/>
      <c r="G982" s="234"/>
      <c r="H982" s="234"/>
      <c r="I982" s="234"/>
      <c r="J982" s="234"/>
      <c r="K982" s="234"/>
      <c r="L982" s="234"/>
      <c r="M982" s="234"/>
      <c r="N982" s="234"/>
      <c r="O982" s="234"/>
      <c r="P982" s="234"/>
      <c r="Q982" s="234"/>
      <c r="R982" s="234"/>
      <c r="S982" s="234"/>
      <c r="T982" s="234"/>
      <c r="U982" s="234"/>
      <c r="V982" s="234"/>
      <c r="W982" s="234"/>
      <c r="X982" s="234"/>
      <c r="Y982" s="234"/>
      <c r="Z982" s="234"/>
      <c r="AA982" s="234"/>
    </row>
    <row r="983" ht="14.25" customHeight="1">
      <c r="A983" s="234"/>
      <c r="B983" s="234"/>
      <c r="C983" s="234"/>
      <c r="D983" s="234"/>
      <c r="E983" s="234"/>
      <c r="F983" s="234"/>
      <c r="G983" s="234"/>
      <c r="H983" s="234"/>
      <c r="I983" s="234"/>
      <c r="J983" s="234"/>
      <c r="K983" s="234"/>
      <c r="L983" s="234"/>
      <c r="M983" s="234"/>
      <c r="N983" s="234"/>
      <c r="O983" s="234"/>
      <c r="P983" s="234"/>
      <c r="Q983" s="234"/>
      <c r="R983" s="234"/>
      <c r="S983" s="234"/>
      <c r="T983" s="234"/>
      <c r="U983" s="234"/>
      <c r="V983" s="234"/>
      <c r="W983" s="234"/>
      <c r="X983" s="234"/>
      <c r="Y983" s="234"/>
      <c r="Z983" s="234"/>
      <c r="AA983" s="234"/>
    </row>
    <row r="984" ht="14.25" customHeight="1">
      <c r="A984" s="234"/>
      <c r="B984" s="234"/>
      <c r="C984" s="234"/>
      <c r="D984" s="234"/>
      <c r="E984" s="234"/>
      <c r="F984" s="234"/>
      <c r="G984" s="234"/>
      <c r="H984" s="234"/>
      <c r="I984" s="234"/>
      <c r="J984" s="234"/>
      <c r="K984" s="234"/>
      <c r="L984" s="234"/>
      <c r="M984" s="234"/>
      <c r="N984" s="234"/>
      <c r="O984" s="234"/>
      <c r="P984" s="234"/>
      <c r="Q984" s="234"/>
      <c r="R984" s="234"/>
      <c r="S984" s="234"/>
      <c r="T984" s="234"/>
      <c r="U984" s="234"/>
      <c r="V984" s="234"/>
      <c r="W984" s="234"/>
      <c r="X984" s="234"/>
      <c r="Y984" s="234"/>
      <c r="Z984" s="234"/>
      <c r="AA984" s="234"/>
    </row>
    <row r="985" ht="14.25" customHeight="1">
      <c r="A985" s="234"/>
      <c r="B985" s="234"/>
      <c r="C985" s="234"/>
      <c r="D985" s="234"/>
      <c r="E985" s="234"/>
      <c r="F985" s="234"/>
      <c r="G985" s="234"/>
      <c r="H985" s="234"/>
      <c r="I985" s="234"/>
      <c r="J985" s="234"/>
      <c r="K985" s="234"/>
      <c r="L985" s="234"/>
      <c r="M985" s="234"/>
      <c r="N985" s="234"/>
      <c r="O985" s="234"/>
      <c r="P985" s="234"/>
      <c r="Q985" s="234"/>
      <c r="R985" s="234"/>
      <c r="S985" s="234"/>
      <c r="T985" s="234"/>
      <c r="U985" s="234"/>
      <c r="V985" s="234"/>
      <c r="W985" s="234"/>
      <c r="X985" s="234"/>
      <c r="Y985" s="234"/>
      <c r="Z985" s="234"/>
      <c r="AA985" s="234"/>
    </row>
    <row r="986" ht="14.25" customHeight="1">
      <c r="A986" s="234"/>
      <c r="B986" s="234"/>
      <c r="C986" s="234"/>
      <c r="D986" s="234"/>
      <c r="E986" s="234"/>
      <c r="F986" s="234"/>
      <c r="G986" s="234"/>
      <c r="H986" s="234"/>
      <c r="I986" s="234"/>
      <c r="J986" s="234"/>
      <c r="K986" s="234"/>
      <c r="L986" s="234"/>
      <c r="M986" s="234"/>
      <c r="N986" s="234"/>
      <c r="O986" s="234"/>
      <c r="P986" s="234"/>
      <c r="Q986" s="234"/>
      <c r="R986" s="234"/>
      <c r="S986" s="234"/>
      <c r="T986" s="234"/>
      <c r="U986" s="234"/>
      <c r="V986" s="234"/>
      <c r="W986" s="234"/>
      <c r="X986" s="234"/>
      <c r="Y986" s="234"/>
      <c r="Z986" s="234"/>
      <c r="AA986" s="234"/>
    </row>
    <row r="987" ht="14.25" customHeight="1">
      <c r="A987" s="234"/>
      <c r="B987" s="234"/>
      <c r="C987" s="234"/>
      <c r="D987" s="234"/>
      <c r="E987" s="234"/>
      <c r="F987" s="234"/>
      <c r="G987" s="234"/>
      <c r="H987" s="234"/>
      <c r="I987" s="234"/>
      <c r="J987" s="234"/>
      <c r="K987" s="234"/>
      <c r="L987" s="234"/>
      <c r="M987" s="234"/>
      <c r="N987" s="234"/>
      <c r="O987" s="234"/>
      <c r="P987" s="234"/>
      <c r="Q987" s="234"/>
      <c r="R987" s="234"/>
      <c r="S987" s="234"/>
      <c r="T987" s="234"/>
      <c r="U987" s="234"/>
      <c r="V987" s="234"/>
      <c r="W987" s="234"/>
      <c r="X987" s="234"/>
      <c r="Y987" s="234"/>
      <c r="Z987" s="234"/>
      <c r="AA987" s="234"/>
    </row>
    <row r="988" ht="14.25" customHeight="1">
      <c r="A988" s="234"/>
      <c r="B988" s="234"/>
      <c r="C988" s="234"/>
      <c r="D988" s="234"/>
      <c r="E988" s="234"/>
      <c r="F988" s="234"/>
      <c r="G988" s="234"/>
      <c r="H988" s="234"/>
      <c r="I988" s="234"/>
      <c r="J988" s="234"/>
      <c r="K988" s="234"/>
      <c r="L988" s="234"/>
      <c r="M988" s="234"/>
      <c r="N988" s="234"/>
      <c r="O988" s="234"/>
      <c r="P988" s="234"/>
      <c r="Q988" s="234"/>
      <c r="R988" s="234"/>
      <c r="S988" s="234"/>
      <c r="T988" s="234"/>
      <c r="U988" s="234"/>
      <c r="V988" s="234"/>
      <c r="W988" s="234"/>
      <c r="X988" s="234"/>
      <c r="Y988" s="234"/>
      <c r="Z988" s="234"/>
      <c r="AA988" s="234"/>
    </row>
    <row r="989" ht="14.25" customHeight="1">
      <c r="A989" s="234"/>
      <c r="B989" s="234"/>
      <c r="C989" s="234"/>
      <c r="D989" s="234"/>
      <c r="E989" s="234"/>
      <c r="F989" s="234"/>
      <c r="G989" s="234"/>
      <c r="H989" s="234"/>
      <c r="I989" s="234"/>
      <c r="J989" s="234"/>
      <c r="K989" s="234"/>
      <c r="L989" s="234"/>
      <c r="M989" s="234"/>
      <c r="N989" s="234"/>
      <c r="O989" s="234"/>
      <c r="P989" s="234"/>
      <c r="Q989" s="234"/>
      <c r="R989" s="234"/>
      <c r="S989" s="234"/>
      <c r="T989" s="234"/>
      <c r="U989" s="234"/>
      <c r="V989" s="234"/>
      <c r="W989" s="234"/>
      <c r="X989" s="234"/>
      <c r="Y989" s="234"/>
      <c r="Z989" s="234"/>
      <c r="AA989" s="234"/>
    </row>
    <row r="990" ht="14.25" customHeight="1">
      <c r="A990" s="234"/>
      <c r="B990" s="234"/>
      <c r="C990" s="234"/>
      <c r="D990" s="234"/>
      <c r="E990" s="234"/>
      <c r="F990" s="234"/>
      <c r="G990" s="234"/>
      <c r="H990" s="234"/>
      <c r="I990" s="234"/>
      <c r="J990" s="234"/>
      <c r="K990" s="234"/>
      <c r="L990" s="234"/>
      <c r="M990" s="234"/>
      <c r="N990" s="234"/>
      <c r="O990" s="234"/>
      <c r="P990" s="234"/>
      <c r="Q990" s="234"/>
      <c r="R990" s="234"/>
      <c r="S990" s="234"/>
      <c r="T990" s="234"/>
      <c r="U990" s="234"/>
      <c r="V990" s="234"/>
      <c r="W990" s="234"/>
      <c r="X990" s="234"/>
      <c r="Y990" s="234"/>
      <c r="Z990" s="234"/>
      <c r="AA990" s="234"/>
    </row>
    <row r="991" ht="14.25" customHeight="1">
      <c r="A991" s="234"/>
      <c r="B991" s="234"/>
      <c r="C991" s="234"/>
      <c r="D991" s="234"/>
      <c r="E991" s="234"/>
      <c r="F991" s="234"/>
      <c r="G991" s="234"/>
      <c r="H991" s="234"/>
      <c r="I991" s="234"/>
      <c r="J991" s="234"/>
      <c r="K991" s="234"/>
      <c r="L991" s="234"/>
      <c r="M991" s="234"/>
      <c r="N991" s="234"/>
      <c r="O991" s="234"/>
      <c r="P991" s="234"/>
      <c r="Q991" s="234"/>
      <c r="R991" s="234"/>
      <c r="S991" s="234"/>
      <c r="T991" s="234"/>
      <c r="U991" s="234"/>
      <c r="V991" s="234"/>
      <c r="W991" s="234"/>
      <c r="X991" s="234"/>
      <c r="Y991" s="234"/>
      <c r="Z991" s="234"/>
      <c r="AA991" s="234"/>
    </row>
    <row r="992" ht="14.25" customHeight="1">
      <c r="A992" s="234"/>
      <c r="B992" s="234"/>
      <c r="C992" s="234"/>
      <c r="D992" s="234"/>
      <c r="E992" s="234"/>
      <c r="F992" s="234"/>
      <c r="G992" s="234"/>
      <c r="H992" s="234"/>
      <c r="I992" s="234"/>
      <c r="J992" s="234"/>
      <c r="K992" s="234"/>
      <c r="L992" s="234"/>
      <c r="M992" s="234"/>
      <c r="N992" s="234"/>
      <c r="O992" s="234"/>
      <c r="P992" s="234"/>
      <c r="Q992" s="234"/>
      <c r="R992" s="234"/>
      <c r="S992" s="234"/>
      <c r="T992" s="234"/>
      <c r="U992" s="234"/>
      <c r="V992" s="234"/>
      <c r="W992" s="234"/>
      <c r="X992" s="234"/>
      <c r="Y992" s="234"/>
      <c r="Z992" s="234"/>
      <c r="AA992" s="234"/>
    </row>
    <row r="993" ht="14.25" customHeight="1">
      <c r="A993" s="234"/>
      <c r="B993" s="234"/>
      <c r="C993" s="234"/>
      <c r="D993" s="234"/>
      <c r="E993" s="234"/>
      <c r="F993" s="234"/>
      <c r="G993" s="234"/>
      <c r="H993" s="234"/>
      <c r="I993" s="234"/>
      <c r="J993" s="234"/>
      <c r="K993" s="234"/>
      <c r="L993" s="234"/>
      <c r="M993" s="234"/>
      <c r="N993" s="234"/>
      <c r="O993" s="234"/>
      <c r="P993" s="234"/>
      <c r="Q993" s="234"/>
      <c r="R993" s="234"/>
      <c r="S993" s="234"/>
      <c r="T993" s="234"/>
      <c r="U993" s="234"/>
      <c r="V993" s="234"/>
      <c r="W993" s="234"/>
      <c r="X993" s="234"/>
      <c r="Y993" s="234"/>
      <c r="Z993" s="234"/>
      <c r="AA993" s="234"/>
    </row>
    <row r="994" ht="14.25" customHeight="1">
      <c r="A994" s="234"/>
      <c r="B994" s="234"/>
      <c r="C994" s="234"/>
      <c r="D994" s="234"/>
      <c r="E994" s="234"/>
      <c r="F994" s="234"/>
      <c r="G994" s="234"/>
      <c r="H994" s="234"/>
      <c r="I994" s="234"/>
      <c r="J994" s="234"/>
      <c r="K994" s="234"/>
      <c r="L994" s="234"/>
      <c r="M994" s="234"/>
      <c r="N994" s="234"/>
      <c r="O994" s="234"/>
      <c r="P994" s="234"/>
      <c r="Q994" s="234"/>
      <c r="R994" s="234"/>
      <c r="S994" s="234"/>
      <c r="T994" s="234"/>
      <c r="U994" s="234"/>
      <c r="V994" s="234"/>
      <c r="W994" s="234"/>
      <c r="X994" s="234"/>
      <c r="Y994" s="234"/>
      <c r="Z994" s="234"/>
      <c r="AA994" s="234"/>
    </row>
    <row r="995" ht="14.25" customHeight="1">
      <c r="A995" s="234"/>
      <c r="B995" s="234"/>
      <c r="C995" s="234"/>
      <c r="D995" s="234"/>
      <c r="E995" s="234"/>
      <c r="F995" s="234"/>
      <c r="G995" s="234"/>
      <c r="H995" s="234"/>
      <c r="I995" s="234"/>
      <c r="J995" s="234"/>
      <c r="K995" s="234"/>
      <c r="L995" s="234"/>
      <c r="M995" s="234"/>
      <c r="N995" s="234"/>
      <c r="O995" s="234"/>
      <c r="P995" s="234"/>
      <c r="Q995" s="234"/>
      <c r="R995" s="234"/>
      <c r="S995" s="234"/>
      <c r="T995" s="234"/>
      <c r="U995" s="234"/>
      <c r="V995" s="234"/>
      <c r="W995" s="234"/>
      <c r="X995" s="234"/>
      <c r="Y995" s="234"/>
      <c r="Z995" s="234"/>
      <c r="AA995" s="234"/>
    </row>
    <row r="996" ht="14.25" customHeight="1">
      <c r="A996" s="234"/>
      <c r="B996" s="234"/>
      <c r="C996" s="234"/>
      <c r="D996" s="234"/>
      <c r="E996" s="234"/>
      <c r="F996" s="234"/>
      <c r="G996" s="234"/>
      <c r="H996" s="234"/>
      <c r="I996" s="234"/>
      <c r="J996" s="234"/>
      <c r="K996" s="234"/>
      <c r="L996" s="234"/>
      <c r="M996" s="234"/>
      <c r="N996" s="234"/>
      <c r="O996" s="234"/>
      <c r="P996" s="234"/>
      <c r="Q996" s="234"/>
      <c r="R996" s="234"/>
      <c r="S996" s="234"/>
      <c r="T996" s="234"/>
      <c r="U996" s="234"/>
      <c r="V996" s="234"/>
      <c r="W996" s="234"/>
      <c r="X996" s="234"/>
      <c r="Y996" s="234"/>
      <c r="Z996" s="234"/>
      <c r="AA996" s="234"/>
    </row>
    <row r="997" ht="14.25" customHeight="1">
      <c r="A997" s="234"/>
      <c r="B997" s="234"/>
      <c r="C997" s="234"/>
      <c r="D997" s="234"/>
      <c r="E997" s="234"/>
      <c r="F997" s="234"/>
      <c r="G997" s="234"/>
      <c r="H997" s="234"/>
      <c r="I997" s="234"/>
      <c r="J997" s="234"/>
      <c r="K997" s="234"/>
      <c r="L997" s="234"/>
      <c r="M997" s="234"/>
      <c r="N997" s="234"/>
      <c r="O997" s="234"/>
      <c r="P997" s="234"/>
      <c r="Q997" s="234"/>
      <c r="R997" s="234"/>
      <c r="S997" s="234"/>
      <c r="T997" s="234"/>
      <c r="U997" s="234"/>
      <c r="V997" s="234"/>
      <c r="W997" s="234"/>
      <c r="X997" s="234"/>
      <c r="Y997" s="234"/>
      <c r="Z997" s="234"/>
      <c r="AA997" s="234"/>
    </row>
    <row r="998" ht="14.25" customHeight="1">
      <c r="A998" s="234"/>
      <c r="B998" s="234"/>
      <c r="C998" s="234"/>
      <c r="D998" s="234"/>
      <c r="E998" s="234"/>
      <c r="F998" s="234"/>
      <c r="G998" s="234"/>
      <c r="H998" s="234"/>
      <c r="I998" s="234"/>
      <c r="J998" s="234"/>
      <c r="K998" s="234"/>
      <c r="L998" s="234"/>
      <c r="M998" s="234"/>
      <c r="N998" s="234"/>
      <c r="O998" s="234"/>
      <c r="P998" s="234"/>
      <c r="Q998" s="234"/>
      <c r="R998" s="234"/>
      <c r="S998" s="234"/>
      <c r="T998" s="234"/>
      <c r="U998" s="234"/>
      <c r="V998" s="234"/>
      <c r="W998" s="234"/>
      <c r="X998" s="234"/>
      <c r="Y998" s="234"/>
      <c r="Z998" s="234"/>
      <c r="AA998" s="234"/>
    </row>
    <row r="999" ht="14.25" customHeight="1">
      <c r="A999" s="234"/>
      <c r="B999" s="234"/>
      <c r="C999" s="234"/>
      <c r="D999" s="234"/>
      <c r="E999" s="234"/>
      <c r="F999" s="234"/>
      <c r="G999" s="234"/>
      <c r="H999" s="234"/>
      <c r="I999" s="234"/>
      <c r="J999" s="234"/>
      <c r="K999" s="234"/>
      <c r="L999" s="234"/>
      <c r="M999" s="234"/>
      <c r="N999" s="234"/>
      <c r="O999" s="234"/>
      <c r="P999" s="234"/>
      <c r="Q999" s="234"/>
      <c r="R999" s="234"/>
      <c r="S999" s="234"/>
      <c r="T999" s="234"/>
      <c r="U999" s="234"/>
      <c r="V999" s="234"/>
      <c r="W999" s="234"/>
      <c r="X999" s="234"/>
      <c r="Y999" s="234"/>
      <c r="Z999" s="234"/>
      <c r="AA999" s="234"/>
    </row>
    <row r="1000" ht="14.25" customHeight="1">
      <c r="A1000" s="234"/>
      <c r="B1000" s="234"/>
      <c r="C1000" s="234"/>
      <c r="D1000" s="234"/>
      <c r="E1000" s="234"/>
      <c r="F1000" s="234"/>
      <c r="G1000" s="234"/>
      <c r="H1000" s="234"/>
      <c r="I1000" s="234"/>
      <c r="J1000" s="234"/>
      <c r="K1000" s="234"/>
      <c r="L1000" s="234"/>
      <c r="M1000" s="234"/>
      <c r="N1000" s="234"/>
      <c r="O1000" s="234"/>
      <c r="P1000" s="234"/>
      <c r="Q1000" s="234"/>
      <c r="R1000" s="234"/>
      <c r="S1000" s="234"/>
      <c r="T1000" s="234"/>
      <c r="U1000" s="234"/>
      <c r="V1000" s="234"/>
      <c r="W1000" s="234"/>
      <c r="X1000" s="234"/>
      <c r="Y1000" s="234"/>
      <c r="Z1000" s="234"/>
      <c r="AA1000" s="234"/>
    </row>
  </sheetData>
  <hyperlinks>
    <hyperlink r:id="rId1" ref="U85"/>
  </hyperlinks>
  <drawing r:id="rId2"/>
</worksheet>
</file>