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ti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updateLinks="never" codeName="ThisWorkbook"/>
  <mc:AlternateContent xmlns:mc="http://schemas.openxmlformats.org/markup-compatibility/2006">
    <mc:Choice Requires="x15">
      <x15ac:absPath xmlns:x15ac="http://schemas.microsoft.com/office/spreadsheetml/2010/11/ac" url="/Users/gary.denne/Desktop/"/>
    </mc:Choice>
  </mc:AlternateContent>
  <xr:revisionPtr revIDLastSave="0" documentId="13_ncr:1_{3683CEFA-7D98-F143-ADA4-E9334BBA8D70}" xr6:coauthVersionLast="47" xr6:coauthVersionMax="47" xr10:uidLastSave="{00000000-0000-0000-0000-000000000000}"/>
  <bookViews>
    <workbookView xWindow="0" yWindow="500" windowWidth="33380" windowHeight="17400" tabRatio="934" activeTab="2" xr2:uid="{00000000-000D-0000-FFFF-FFFF00000000}"/>
  </bookViews>
  <sheets>
    <sheet name="Introduction" sheetId="17" r:id="rId1"/>
    <sheet name="Instructions" sheetId="7" r:id="rId2"/>
    <sheet name="HECVAT - Full" sheetId="1" r:id="rId3"/>
    <sheet name="Standards Crosswalk" sheetId="10" r:id="rId4"/>
    <sheet name="Analyst Report" sheetId="14" r:id="rId5"/>
    <sheet name="Analyst Reference" sheetId="18" r:id="rId6"/>
    <sheet name="Summary Report" sheetId="15" r:id="rId7"/>
    <sheet name="Crosswalk Detail" sheetId="12" state="hidden" r:id="rId8"/>
    <sheet name="Questions" sheetId="13" state="hidden" r:id="rId9"/>
    <sheet name="High Risk Non-Compliant" sheetId="16" state="hidden" r:id="rId10"/>
    <sheet name="Acknowledgments" sheetId="19" r:id="rId11"/>
    <sheet name="ChangeLog" sheetId="3" r:id="rId12"/>
    <sheet name="Values" sheetId="2" state="hidden" r:id="rId13"/>
  </sheets>
  <definedNames>
    <definedName name="_ftn1" localSheetId="1">Instructions!$A$35</definedName>
    <definedName name="_ftnref1" localSheetId="1">Instructions!$A$4</definedName>
    <definedName name="_xlcn.LinkedTable_Table110" hidden="1">Table1[]</definedName>
    <definedName name="dr" localSheetId="10">#REF!</definedName>
    <definedName name="dr">Values!$A$4:$A$6</definedName>
    <definedName name="drpt" localSheetId="10">#REF!</definedName>
    <definedName name="drpt">Values!$A$9:$A$12</definedName>
    <definedName name="network" localSheetId="10">V+Values!$A$15:$A$19</definedName>
    <definedName name="network">V+Values!$A$15:$A$19</definedName>
    <definedName name="sharedassessments" localSheetId="10">#REF!</definedName>
    <definedName name="sharedassessments">Values!$A$26:$A$27</definedName>
    <definedName name="sharedassessmentslisting" localSheetId="10">#REF!</definedName>
    <definedName name="sharedassessmentslisting">Values!$A$30:$A$31</definedName>
    <definedName name="uptime" localSheetId="10">Values!$A$34:$A$38</definedName>
    <definedName name="uptime">Values!$A$34:$A$38</definedName>
    <definedName name="yes" localSheetId="10">Values!$A$4:$A$5</definedName>
    <definedName name="yes">Values!$A$4:$A$5</definedName>
    <definedName name="yesna" localSheetId="10">#REF!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1" i="1" l="1"/>
  <c r="S268" i="13"/>
  <c r="R268" i="13"/>
  <c r="Q268" i="13"/>
  <c r="P268" i="13"/>
  <c r="O268" i="13"/>
  <c r="N268" i="13"/>
  <c r="M268" i="13"/>
  <c r="K268" i="13"/>
  <c r="E268" i="13" s="1"/>
  <c r="I268" i="13"/>
  <c r="D268" i="13"/>
  <c r="C268" i="13"/>
  <c r="S267" i="13"/>
  <c r="R267" i="13"/>
  <c r="Q267" i="13"/>
  <c r="P267" i="13"/>
  <c r="O267" i="13"/>
  <c r="N267" i="13"/>
  <c r="M267" i="13"/>
  <c r="K267" i="13"/>
  <c r="I267" i="13"/>
  <c r="J267" i="13" s="1"/>
  <c r="L267" i="13" s="1"/>
  <c r="E267" i="13"/>
  <c r="D267" i="13"/>
  <c r="C267" i="13"/>
  <c r="S266" i="13"/>
  <c r="R266" i="13"/>
  <c r="Q266" i="13"/>
  <c r="P266" i="13"/>
  <c r="O266" i="13"/>
  <c r="N266" i="13"/>
  <c r="M266" i="13"/>
  <c r="K266" i="13"/>
  <c r="I266" i="13"/>
  <c r="J266" i="13" s="1"/>
  <c r="L266" i="13" s="1"/>
  <c r="E266" i="13"/>
  <c r="D266" i="13"/>
  <c r="C266" i="13"/>
  <c r="S265" i="13"/>
  <c r="R265" i="13"/>
  <c r="Q265" i="13"/>
  <c r="P265" i="13"/>
  <c r="O265" i="13"/>
  <c r="N265" i="13"/>
  <c r="M265" i="13"/>
  <c r="K265" i="13"/>
  <c r="E265" i="13" s="1"/>
  <c r="I265" i="13"/>
  <c r="J265" i="13" s="1"/>
  <c r="L265" i="13" s="1"/>
  <c r="D265" i="13"/>
  <c r="C265" i="13"/>
  <c r="S264" i="13"/>
  <c r="R264" i="13"/>
  <c r="Q264" i="13"/>
  <c r="P264" i="13"/>
  <c r="O264" i="13"/>
  <c r="N264" i="13"/>
  <c r="M264" i="13"/>
  <c r="K264" i="13"/>
  <c r="E264" i="13" s="1"/>
  <c r="I264" i="13"/>
  <c r="J264" i="13" s="1"/>
  <c r="D264" i="13"/>
  <c r="C264" i="13"/>
  <c r="S263" i="13"/>
  <c r="R263" i="13"/>
  <c r="Q263" i="13"/>
  <c r="P263" i="13"/>
  <c r="O263" i="13"/>
  <c r="N263" i="13"/>
  <c r="M263" i="13"/>
  <c r="K263" i="13"/>
  <c r="E263" i="13" s="1"/>
  <c r="I263" i="13"/>
  <c r="D263" i="13"/>
  <c r="C263" i="13"/>
  <c r="S262" i="13"/>
  <c r="R262" i="13"/>
  <c r="Q262" i="13"/>
  <c r="P262" i="13"/>
  <c r="O262" i="13"/>
  <c r="N262" i="13"/>
  <c r="M262" i="13"/>
  <c r="K262" i="13"/>
  <c r="I262" i="13"/>
  <c r="E262" i="13"/>
  <c r="D262" i="13"/>
  <c r="C262" i="13"/>
  <c r="K261" i="13"/>
  <c r="E261" i="13"/>
  <c r="K260" i="13"/>
  <c r="E260" i="13" s="1"/>
  <c r="K259" i="13"/>
  <c r="E259" i="13" s="1"/>
  <c r="K258" i="13"/>
  <c r="E258" i="13"/>
  <c r="K257" i="13"/>
  <c r="E257" i="13"/>
  <c r="K256" i="13"/>
  <c r="E256" i="13" s="1"/>
  <c r="K255" i="13"/>
  <c r="E255" i="13"/>
  <c r="K254" i="13"/>
  <c r="E254" i="13" s="1"/>
  <c r="K253" i="13"/>
  <c r="E253" i="13"/>
  <c r="K252" i="13"/>
  <c r="E252" i="13"/>
  <c r="K251" i="13"/>
  <c r="E251" i="13"/>
  <c r="K250" i="13"/>
  <c r="E250" i="13"/>
  <c r="K249" i="13"/>
  <c r="E249" i="13" s="1"/>
  <c r="K248" i="13"/>
  <c r="E248" i="13" s="1"/>
  <c r="K247" i="13"/>
  <c r="E247" i="13"/>
  <c r="K246" i="13"/>
  <c r="E246" i="13"/>
  <c r="K245" i="13"/>
  <c r="E245" i="13" s="1"/>
  <c r="K244" i="13"/>
  <c r="E244" i="13"/>
  <c r="K243" i="13"/>
  <c r="E243" i="13"/>
  <c r="K242" i="13"/>
  <c r="E242" i="13"/>
  <c r="K241" i="13"/>
  <c r="E241" i="13"/>
  <c r="K240" i="13"/>
  <c r="E240" i="13" s="1"/>
  <c r="K239" i="13"/>
  <c r="E239" i="13" s="1"/>
  <c r="K238" i="13"/>
  <c r="E238" i="13"/>
  <c r="K237" i="13"/>
  <c r="E237" i="13" s="1"/>
  <c r="K236" i="13"/>
  <c r="E236" i="13" s="1"/>
  <c r="K235" i="13"/>
  <c r="E235" i="13" s="1"/>
  <c r="K234" i="13"/>
  <c r="E234" i="13" s="1"/>
  <c r="K233" i="13"/>
  <c r="E233" i="13" s="1"/>
  <c r="K232" i="13"/>
  <c r="E232" i="13" s="1"/>
  <c r="K231" i="13"/>
  <c r="E231" i="13"/>
  <c r="K230" i="13"/>
  <c r="E230" i="13"/>
  <c r="K229" i="13"/>
  <c r="E229" i="13"/>
  <c r="K228" i="13"/>
  <c r="E228" i="13"/>
  <c r="K227" i="13"/>
  <c r="E227" i="13" s="1"/>
  <c r="K226" i="13"/>
  <c r="E226" i="13" s="1"/>
  <c r="K225" i="13"/>
  <c r="E225" i="13"/>
  <c r="K224" i="13"/>
  <c r="E224" i="13" s="1"/>
  <c r="K223" i="13"/>
  <c r="E223" i="13" s="1"/>
  <c r="K222" i="13"/>
  <c r="E222" i="13"/>
  <c r="K221" i="13"/>
  <c r="E221" i="13" s="1"/>
  <c r="K220" i="13"/>
  <c r="E220" i="13"/>
  <c r="K219" i="13"/>
  <c r="E219" i="13" s="1"/>
  <c r="K218" i="13"/>
  <c r="E218" i="13" s="1"/>
  <c r="K217" i="13"/>
  <c r="E217" i="13" s="1"/>
  <c r="K216" i="13"/>
  <c r="E216" i="13"/>
  <c r="K215" i="13"/>
  <c r="E215" i="13"/>
  <c r="K214" i="13"/>
  <c r="E214" i="13" s="1"/>
  <c r="K213" i="13"/>
  <c r="E213" i="13"/>
  <c r="K212" i="13"/>
  <c r="E212" i="13" s="1"/>
  <c r="K210" i="13"/>
  <c r="E210" i="13"/>
  <c r="K209" i="13"/>
  <c r="E209" i="13"/>
  <c r="K208" i="13"/>
  <c r="E208" i="13" s="1"/>
  <c r="K207" i="13"/>
  <c r="E207" i="13"/>
  <c r="K206" i="13"/>
  <c r="E206" i="13" s="1"/>
  <c r="K205" i="13"/>
  <c r="E205" i="13"/>
  <c r="K204" i="13"/>
  <c r="E204" i="13"/>
  <c r="K203" i="13"/>
  <c r="E203" i="13" s="1"/>
  <c r="K202" i="13"/>
  <c r="E202" i="13"/>
  <c r="K201" i="13"/>
  <c r="E201" i="13"/>
  <c r="K200" i="13"/>
  <c r="E200" i="13"/>
  <c r="K199" i="13"/>
  <c r="E199" i="13" s="1"/>
  <c r="K198" i="13"/>
  <c r="E198" i="13"/>
  <c r="K197" i="13"/>
  <c r="E197" i="13"/>
  <c r="K196" i="13"/>
  <c r="E196" i="13" s="1"/>
  <c r="K195" i="13"/>
  <c r="E195" i="13"/>
  <c r="K194" i="13"/>
  <c r="E194" i="13" s="1"/>
  <c r="K193" i="13"/>
  <c r="E193" i="13" s="1"/>
  <c r="K192" i="13"/>
  <c r="E192" i="13"/>
  <c r="K191" i="13"/>
  <c r="E191" i="13" s="1"/>
  <c r="K190" i="13"/>
  <c r="E190" i="13" s="1"/>
  <c r="K189" i="13"/>
  <c r="E189" i="13"/>
  <c r="K188" i="13"/>
  <c r="E188" i="13" s="1"/>
  <c r="K187" i="13"/>
  <c r="E187" i="13" s="1"/>
  <c r="K186" i="13"/>
  <c r="E186" i="13"/>
  <c r="K185" i="13"/>
  <c r="E185" i="13"/>
  <c r="K184" i="13"/>
  <c r="E184" i="13" s="1"/>
  <c r="K183" i="13"/>
  <c r="E183" i="13" s="1"/>
  <c r="K182" i="13"/>
  <c r="E182" i="13"/>
  <c r="K181" i="13"/>
  <c r="E181" i="13" s="1"/>
  <c r="K180" i="13"/>
  <c r="E180" i="13" s="1"/>
  <c r="K179" i="13"/>
  <c r="E179" i="13"/>
  <c r="K178" i="13"/>
  <c r="E178" i="13" s="1"/>
  <c r="K177" i="13"/>
  <c r="E177" i="13" s="1"/>
  <c r="K176" i="13"/>
  <c r="E176" i="13"/>
  <c r="K175" i="13"/>
  <c r="E175" i="13" s="1"/>
  <c r="K174" i="13"/>
  <c r="E174" i="13" s="1"/>
  <c r="K173" i="13"/>
  <c r="E173" i="13" s="1"/>
  <c r="K172" i="13"/>
  <c r="E172" i="13"/>
  <c r="K171" i="13"/>
  <c r="E171" i="13"/>
  <c r="K170" i="13"/>
  <c r="E170" i="13" s="1"/>
  <c r="K169" i="13"/>
  <c r="E169" i="13"/>
  <c r="K168" i="13"/>
  <c r="E168" i="13" s="1"/>
  <c r="K167" i="13"/>
  <c r="E167" i="13" s="1"/>
  <c r="K166" i="13"/>
  <c r="E166" i="13"/>
  <c r="K165" i="13"/>
  <c r="E165" i="13" s="1"/>
  <c r="K164" i="13"/>
  <c r="E164" i="13" s="1"/>
  <c r="K163" i="13"/>
  <c r="E163" i="13"/>
  <c r="K162" i="13"/>
  <c r="E162" i="13" s="1"/>
  <c r="K160" i="13"/>
  <c r="E160" i="13" s="1"/>
  <c r="K159" i="13"/>
  <c r="E159" i="13"/>
  <c r="K158" i="13"/>
  <c r="E158" i="13" s="1"/>
  <c r="E157" i="13"/>
  <c r="K156" i="13"/>
  <c r="E156" i="13"/>
  <c r="E155" i="13"/>
  <c r="E154" i="13"/>
  <c r="K153" i="13"/>
  <c r="E153" i="13"/>
  <c r="E152" i="13"/>
  <c r="E151" i="13"/>
  <c r="K150" i="13"/>
  <c r="E150" i="13" s="1"/>
  <c r="K149" i="13"/>
  <c r="E149" i="13" s="1"/>
  <c r="K147" i="13"/>
  <c r="E147" i="13"/>
  <c r="K146" i="13"/>
  <c r="E146" i="13" s="1"/>
  <c r="K145" i="13"/>
  <c r="E145" i="13"/>
  <c r="E144" i="13"/>
  <c r="K142" i="13"/>
  <c r="E142" i="13" s="1"/>
  <c r="K141" i="13"/>
  <c r="E141" i="13"/>
  <c r="K140" i="13"/>
  <c r="E140" i="13" s="1"/>
  <c r="K139" i="13"/>
  <c r="E139" i="13"/>
  <c r="K138" i="13"/>
  <c r="E138" i="13" s="1"/>
  <c r="K137" i="13"/>
  <c r="E137" i="13"/>
  <c r="K136" i="13"/>
  <c r="E136" i="13" s="1"/>
  <c r="K135" i="13"/>
  <c r="E135" i="13"/>
  <c r="K133" i="13"/>
  <c r="E133" i="13"/>
  <c r="K132" i="13"/>
  <c r="E132" i="13"/>
  <c r="K131" i="13"/>
  <c r="E131" i="13" s="1"/>
  <c r="K130" i="13"/>
  <c r="E130" i="13"/>
  <c r="K129" i="13"/>
  <c r="E129" i="13" s="1"/>
  <c r="E127" i="13"/>
  <c r="K126" i="13"/>
  <c r="E126" i="13"/>
  <c r="K125" i="13"/>
  <c r="E125" i="13"/>
  <c r="E122" i="13"/>
  <c r="K121" i="13"/>
  <c r="E121" i="13"/>
  <c r="K120" i="13"/>
  <c r="E120" i="13" s="1"/>
  <c r="K119" i="13"/>
  <c r="E119" i="13" s="1"/>
  <c r="K118" i="13"/>
  <c r="E118" i="13" s="1"/>
  <c r="K117" i="13"/>
  <c r="E117" i="13" s="1"/>
  <c r="K116" i="13"/>
  <c r="E116" i="13" s="1"/>
  <c r="K115" i="13"/>
  <c r="E115" i="13" s="1"/>
  <c r="K114" i="13"/>
  <c r="E114" i="13"/>
  <c r="K113" i="13"/>
  <c r="E113" i="13"/>
  <c r="K112" i="13"/>
  <c r="E112" i="13"/>
  <c r="K111" i="13"/>
  <c r="E111" i="13"/>
  <c r="K110" i="13"/>
  <c r="E110" i="13" s="1"/>
  <c r="K109" i="13"/>
  <c r="E109" i="13"/>
  <c r="K108" i="13"/>
  <c r="E108" i="13"/>
  <c r="K107" i="13"/>
  <c r="E107" i="13"/>
  <c r="K106" i="13"/>
  <c r="E106" i="13"/>
  <c r="K105" i="13"/>
  <c r="E105" i="13"/>
  <c r="K104" i="13"/>
  <c r="E104" i="13"/>
  <c r="K103" i="13"/>
  <c r="E103" i="13" s="1"/>
  <c r="K102" i="13"/>
  <c r="E102" i="13"/>
  <c r="K100" i="13"/>
  <c r="E100" i="13"/>
  <c r="K99" i="13"/>
  <c r="E99" i="13"/>
  <c r="K98" i="13"/>
  <c r="E98" i="13"/>
  <c r="K97" i="13"/>
  <c r="E97" i="13" s="1"/>
  <c r="K96" i="13"/>
  <c r="E96" i="13" s="1"/>
  <c r="K95" i="13"/>
  <c r="E95" i="13"/>
  <c r="K94" i="13"/>
  <c r="E94" i="13"/>
  <c r="K93" i="13"/>
  <c r="E93" i="13" s="1"/>
  <c r="K92" i="13"/>
  <c r="E92" i="13"/>
  <c r="K91" i="13"/>
  <c r="E91" i="13"/>
  <c r="K90" i="13"/>
  <c r="E90" i="13" s="1"/>
  <c r="K89" i="13"/>
  <c r="E89" i="13"/>
  <c r="K88" i="13"/>
  <c r="E88" i="13"/>
  <c r="K87" i="13"/>
  <c r="E87" i="13" s="1"/>
  <c r="K86" i="13"/>
  <c r="E86" i="13" s="1"/>
  <c r="K85" i="13"/>
  <c r="E85" i="13"/>
  <c r="K84" i="13"/>
  <c r="E84" i="13" s="1"/>
  <c r="K83" i="13"/>
  <c r="E83" i="13"/>
  <c r="K82" i="13"/>
  <c r="E82" i="13"/>
  <c r="K81" i="13"/>
  <c r="E81" i="13" s="1"/>
  <c r="K80" i="13"/>
  <c r="E80" i="13" s="1"/>
  <c r="K79" i="13"/>
  <c r="E79" i="13"/>
  <c r="K78" i="13"/>
  <c r="E78" i="13"/>
  <c r="K77" i="13"/>
  <c r="E77" i="13" s="1"/>
  <c r="K76" i="13"/>
  <c r="E76" i="13" s="1"/>
  <c r="K75" i="13"/>
  <c r="E75" i="13"/>
  <c r="K74" i="13"/>
  <c r="E74" i="13" s="1"/>
  <c r="E73" i="13"/>
  <c r="K72" i="13"/>
  <c r="E72" i="13"/>
  <c r="K71" i="13"/>
  <c r="E71" i="13" s="1"/>
  <c r="K70" i="13"/>
  <c r="E70" i="13"/>
  <c r="K69" i="13"/>
  <c r="E69" i="13"/>
  <c r="K68" i="13"/>
  <c r="E68" i="13" s="1"/>
  <c r="K67" i="13"/>
  <c r="E67" i="13"/>
  <c r="K66" i="13"/>
  <c r="E66" i="13"/>
  <c r="K65" i="13"/>
  <c r="E65" i="13" s="1"/>
  <c r="K64" i="13"/>
  <c r="E64" i="13" s="1"/>
  <c r="K63" i="13"/>
  <c r="E63" i="13"/>
  <c r="K62" i="13"/>
  <c r="E62" i="13"/>
  <c r="K61" i="13"/>
  <c r="E61" i="13"/>
  <c r="K60" i="13"/>
  <c r="E60" i="13" s="1"/>
  <c r="K57" i="13"/>
  <c r="E57" i="13"/>
  <c r="K55" i="13"/>
  <c r="E55" i="13"/>
  <c r="K54" i="13"/>
  <c r="E54" i="13"/>
  <c r="K53" i="13"/>
  <c r="E53" i="13" s="1"/>
  <c r="K52" i="13"/>
  <c r="E52" i="13"/>
  <c r="K51" i="13"/>
  <c r="E51" i="13"/>
  <c r="K50" i="13"/>
  <c r="E50" i="13" s="1"/>
  <c r="K49" i="13"/>
  <c r="E49" i="13"/>
  <c r="K48" i="13"/>
  <c r="E48" i="13"/>
  <c r="K47" i="13"/>
  <c r="E47" i="13" s="1"/>
  <c r="K46" i="13"/>
  <c r="E46" i="13"/>
  <c r="K45" i="13"/>
  <c r="E45" i="13"/>
  <c r="K44" i="13"/>
  <c r="E44" i="13"/>
  <c r="K43" i="13"/>
  <c r="E43" i="13"/>
  <c r="K42" i="13"/>
  <c r="E42" i="13" s="1"/>
  <c r="K41" i="13"/>
  <c r="E41" i="13" s="1"/>
  <c r="K40" i="13"/>
  <c r="E40" i="13" s="1"/>
  <c r="K39" i="13"/>
  <c r="E39" i="13" s="1"/>
  <c r="K38" i="13"/>
  <c r="E38" i="13"/>
  <c r="K37" i="13"/>
  <c r="E37" i="13"/>
  <c r="K36" i="13"/>
  <c r="E36" i="13" s="1"/>
  <c r="K35" i="13"/>
  <c r="E35" i="13" s="1"/>
  <c r="K34" i="13"/>
  <c r="E34" i="13"/>
  <c r="K33" i="13"/>
  <c r="E33" i="13" s="1"/>
  <c r="K32" i="13"/>
  <c r="E32" i="13"/>
  <c r="K31" i="13"/>
  <c r="E31" i="13"/>
  <c r="K30" i="13"/>
  <c r="E30" i="13"/>
  <c r="K29" i="13"/>
  <c r="E29" i="13"/>
  <c r="K27" i="13"/>
  <c r="E27" i="13" s="1"/>
  <c r="K25" i="13"/>
  <c r="E25" i="13"/>
  <c r="K24" i="13"/>
  <c r="E24" i="13" s="1"/>
  <c r="K23" i="13"/>
  <c r="E23" i="13" s="1"/>
  <c r="K22" i="13"/>
  <c r="E22" i="13" s="1"/>
  <c r="K21" i="13"/>
  <c r="E21" i="13"/>
  <c r="K20" i="13"/>
  <c r="E20" i="13" s="1"/>
  <c r="K19" i="13"/>
  <c r="E19" i="13" s="1"/>
  <c r="K18" i="13"/>
  <c r="E18" i="13" s="1"/>
  <c r="K17" i="13"/>
  <c r="E17" i="13" s="1"/>
  <c r="K16" i="13"/>
  <c r="E16" i="13" s="1"/>
  <c r="S15" i="13"/>
  <c r="R15" i="13"/>
  <c r="Q15" i="13"/>
  <c r="P15" i="13"/>
  <c r="O15" i="13"/>
  <c r="N15" i="13"/>
  <c r="M15" i="13"/>
  <c r="K15" i="13"/>
  <c r="E15" i="13" s="1"/>
  <c r="I15" i="13"/>
  <c r="J15" i="13" s="1"/>
  <c r="L15" i="13" s="1"/>
  <c r="D15" i="13"/>
  <c r="C15" i="13"/>
  <c r="S14" i="13"/>
  <c r="R14" i="13"/>
  <c r="Q14" i="13"/>
  <c r="P14" i="13"/>
  <c r="O14" i="13"/>
  <c r="N14" i="13"/>
  <c r="M14" i="13"/>
  <c r="K14" i="13"/>
  <c r="E14" i="13" s="1"/>
  <c r="I14" i="13"/>
  <c r="J14" i="13" s="1"/>
  <c r="L14" i="13" s="1"/>
  <c r="D14" i="13"/>
  <c r="C14" i="13"/>
  <c r="S13" i="13"/>
  <c r="R13" i="13"/>
  <c r="Q13" i="13"/>
  <c r="P13" i="13"/>
  <c r="O13" i="13"/>
  <c r="N13" i="13"/>
  <c r="M13" i="13"/>
  <c r="K13" i="13"/>
  <c r="E13" i="13" s="1"/>
  <c r="I13" i="13"/>
  <c r="J13" i="13" s="1"/>
  <c r="L13" i="13" s="1"/>
  <c r="D13" i="13"/>
  <c r="C13" i="13"/>
  <c r="S12" i="13"/>
  <c r="R12" i="13"/>
  <c r="Q12" i="13"/>
  <c r="P12" i="13"/>
  <c r="O12" i="13"/>
  <c r="N12" i="13"/>
  <c r="M12" i="13"/>
  <c r="L12" i="13"/>
  <c r="K12" i="13"/>
  <c r="E12" i="13" s="1"/>
  <c r="I12" i="13"/>
  <c r="J12" i="13" s="1"/>
  <c r="D12" i="13"/>
  <c r="C12" i="13"/>
  <c r="S11" i="13"/>
  <c r="R11" i="13"/>
  <c r="Q11" i="13"/>
  <c r="P11" i="13"/>
  <c r="O11" i="13"/>
  <c r="N11" i="13"/>
  <c r="M11" i="13"/>
  <c r="K11" i="13"/>
  <c r="E11" i="13" s="1"/>
  <c r="I11" i="13"/>
  <c r="J11" i="13" s="1"/>
  <c r="D11" i="13"/>
  <c r="C11" i="13"/>
  <c r="S10" i="13"/>
  <c r="R10" i="13"/>
  <c r="Q10" i="13"/>
  <c r="P10" i="13"/>
  <c r="O10" i="13"/>
  <c r="N10" i="13"/>
  <c r="M10" i="13"/>
  <c r="K10" i="13"/>
  <c r="E10" i="13" s="1"/>
  <c r="I10" i="13"/>
  <c r="J10" i="13" s="1"/>
  <c r="L10" i="13" s="1"/>
  <c r="D10" i="13"/>
  <c r="C10" i="13"/>
  <c r="S9" i="13"/>
  <c r="R9" i="13"/>
  <c r="Q9" i="13"/>
  <c r="P9" i="13"/>
  <c r="O9" i="13"/>
  <c r="N9" i="13"/>
  <c r="M9" i="13"/>
  <c r="K9" i="13"/>
  <c r="L9" i="13" s="1"/>
  <c r="I9" i="13"/>
  <c r="D9" i="13"/>
  <c r="C9" i="13"/>
  <c r="S8" i="13"/>
  <c r="R8" i="13"/>
  <c r="Q8" i="13"/>
  <c r="P8" i="13"/>
  <c r="O8" i="13"/>
  <c r="N8" i="13"/>
  <c r="M8" i="13"/>
  <c r="L8" i="13"/>
  <c r="K8" i="13"/>
  <c r="I8" i="13"/>
  <c r="D8" i="13"/>
  <c r="C8" i="13"/>
  <c r="S7" i="13"/>
  <c r="R7" i="13"/>
  <c r="Q7" i="13"/>
  <c r="P7" i="13"/>
  <c r="O7" i="13"/>
  <c r="N7" i="13"/>
  <c r="M7" i="13"/>
  <c r="K7" i="13"/>
  <c r="L7" i="13" s="1"/>
  <c r="I7" i="13"/>
  <c r="T19" i="13" s="1"/>
  <c r="C30" i="14" s="1"/>
  <c r="D7" i="13"/>
  <c r="C7" i="13"/>
  <c r="N6" i="13"/>
  <c r="S5" i="13"/>
  <c r="R5" i="13"/>
  <c r="Q5" i="13"/>
  <c r="P5" i="13"/>
  <c r="O5" i="13"/>
  <c r="N5" i="13"/>
  <c r="M5" i="13"/>
  <c r="L5" i="13"/>
  <c r="K5" i="13"/>
  <c r="I5" i="13"/>
  <c r="D5" i="13"/>
  <c r="C5" i="13"/>
  <c r="S4" i="13"/>
  <c r="R4" i="13"/>
  <c r="Q4" i="13"/>
  <c r="P4" i="13"/>
  <c r="O4" i="13"/>
  <c r="N4" i="13"/>
  <c r="M4" i="13"/>
  <c r="K4" i="13"/>
  <c r="L4" i="13" s="1"/>
  <c r="I4" i="13"/>
  <c r="D4" i="13"/>
  <c r="C4" i="13"/>
  <c r="S3" i="13"/>
  <c r="R3" i="13"/>
  <c r="Q3" i="13"/>
  <c r="P3" i="13"/>
  <c r="O3" i="13"/>
  <c r="N3" i="13"/>
  <c r="M3" i="13"/>
  <c r="K3" i="13"/>
  <c r="L3" i="13" s="1"/>
  <c r="I3" i="13"/>
  <c r="D3" i="13"/>
  <c r="C3" i="13"/>
  <c r="A3" i="13"/>
  <c r="A4" i="13" s="1"/>
  <c r="A5"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S2" i="13"/>
  <c r="R2" i="13"/>
  <c r="Q2" i="13"/>
  <c r="P2" i="13"/>
  <c r="O2" i="13"/>
  <c r="N2" i="13"/>
  <c r="M2" i="13"/>
  <c r="K2" i="13"/>
  <c r="L2" i="13" s="1"/>
  <c r="I2" i="13"/>
  <c r="X15" i="13" s="1"/>
  <c r="D26" i="14" s="1"/>
  <c r="D2" i="13"/>
  <c r="C2" i="13"/>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D316" i="15"/>
  <c r="B316" i="15"/>
  <c r="A316" i="15"/>
  <c r="D315" i="15"/>
  <c r="B315" i="15"/>
  <c r="A315" i="15"/>
  <c r="D314" i="15"/>
  <c r="B314" i="15"/>
  <c r="A314" i="15"/>
  <c r="D313" i="15"/>
  <c r="B313" i="15"/>
  <c r="A313" i="15"/>
  <c r="D312" i="15"/>
  <c r="B312" i="15"/>
  <c r="A312" i="15"/>
  <c r="D311" i="15"/>
  <c r="B311" i="15"/>
  <c r="A311" i="15"/>
  <c r="D310" i="15"/>
  <c r="B310" i="15"/>
  <c r="A310" i="15"/>
  <c r="D309" i="15"/>
  <c r="B309" i="15"/>
  <c r="A309" i="15"/>
  <c r="D308" i="15"/>
  <c r="B308" i="15"/>
  <c r="A308" i="15"/>
  <c r="D307" i="15"/>
  <c r="B307" i="15"/>
  <c r="A307" i="15"/>
  <c r="D306" i="15"/>
  <c r="B306" i="15"/>
  <c r="A306" i="15"/>
  <c r="D305" i="15"/>
  <c r="B305" i="15"/>
  <c r="A305" i="15"/>
  <c r="D304" i="15"/>
  <c r="B304" i="15"/>
  <c r="A304" i="15"/>
  <c r="D303" i="15"/>
  <c r="B303" i="15"/>
  <c r="A303" i="15"/>
  <c r="D302" i="15"/>
  <c r="B302" i="15"/>
  <c r="A302" i="15"/>
  <c r="D301" i="15"/>
  <c r="B301" i="15"/>
  <c r="A301" i="15"/>
  <c r="D300" i="15"/>
  <c r="B300" i="15"/>
  <c r="A300" i="15"/>
  <c r="D299" i="15"/>
  <c r="B299" i="15"/>
  <c r="A299" i="15"/>
  <c r="D298" i="15"/>
  <c r="B298" i="15"/>
  <c r="A298" i="15"/>
  <c r="D297" i="15"/>
  <c r="B297" i="15"/>
  <c r="A297" i="15"/>
  <c r="D296" i="15"/>
  <c r="B296" i="15"/>
  <c r="A296" i="15"/>
  <c r="D295" i="15"/>
  <c r="B295" i="15"/>
  <c r="A295" i="15"/>
  <c r="D294" i="15"/>
  <c r="B294" i="15"/>
  <c r="A294" i="15"/>
  <c r="D293" i="15"/>
  <c r="B293" i="15"/>
  <c r="A293" i="15"/>
  <c r="D292" i="15"/>
  <c r="B292" i="15"/>
  <c r="A292" i="15"/>
  <c r="D291" i="15"/>
  <c r="B291" i="15"/>
  <c r="A291" i="15"/>
  <c r="D290" i="15"/>
  <c r="B290" i="15"/>
  <c r="A290" i="15"/>
  <c r="D289" i="15"/>
  <c r="B289" i="15"/>
  <c r="A289" i="15"/>
  <c r="D288" i="15"/>
  <c r="B288" i="15"/>
  <c r="A288" i="15"/>
  <c r="D287" i="15"/>
  <c r="B287" i="15"/>
  <c r="A287" i="15"/>
  <c r="D286" i="15"/>
  <c r="B286" i="15"/>
  <c r="A286" i="15"/>
  <c r="D285" i="15"/>
  <c r="B285" i="15"/>
  <c r="A285" i="15"/>
  <c r="D284" i="15"/>
  <c r="B284" i="15"/>
  <c r="A284" i="15"/>
  <c r="D283" i="15"/>
  <c r="B283" i="15"/>
  <c r="A283" i="15"/>
  <c r="D282" i="15"/>
  <c r="B282" i="15"/>
  <c r="A282" i="15"/>
  <c r="D281" i="15"/>
  <c r="B281" i="15"/>
  <c r="A281" i="15"/>
  <c r="D280" i="15"/>
  <c r="B280" i="15"/>
  <c r="A280" i="15"/>
  <c r="D279" i="15"/>
  <c r="B279" i="15"/>
  <c r="A279" i="15"/>
  <c r="D278" i="15"/>
  <c r="B278" i="15"/>
  <c r="A278" i="15"/>
  <c r="D277" i="15"/>
  <c r="B277" i="15"/>
  <c r="A277" i="15"/>
  <c r="D276" i="15"/>
  <c r="B276" i="15"/>
  <c r="A276" i="15"/>
  <c r="D275" i="15"/>
  <c r="B275" i="15"/>
  <c r="A275" i="15"/>
  <c r="D274" i="15"/>
  <c r="B274" i="15"/>
  <c r="A274" i="15"/>
  <c r="D273" i="15"/>
  <c r="B273" i="15"/>
  <c r="A273" i="15"/>
  <c r="D272" i="15"/>
  <c r="B272" i="15"/>
  <c r="A272" i="15"/>
  <c r="D271" i="15"/>
  <c r="B271" i="15"/>
  <c r="A271" i="15"/>
  <c r="D270" i="15"/>
  <c r="B270" i="15"/>
  <c r="A270" i="15"/>
  <c r="D269" i="15"/>
  <c r="B269" i="15"/>
  <c r="A269" i="15"/>
  <c r="D268" i="15"/>
  <c r="B268" i="15"/>
  <c r="A268" i="15"/>
  <c r="D267" i="15"/>
  <c r="B267" i="15"/>
  <c r="A267" i="15"/>
  <c r="D266" i="15"/>
  <c r="B266" i="15"/>
  <c r="A266" i="15"/>
  <c r="D265" i="15"/>
  <c r="B265" i="15"/>
  <c r="A265" i="15"/>
  <c r="D264" i="15"/>
  <c r="B264" i="15"/>
  <c r="A264" i="15"/>
  <c r="D263" i="15"/>
  <c r="B263" i="15"/>
  <c r="A263" i="15"/>
  <c r="D262" i="15"/>
  <c r="B262" i="15"/>
  <c r="A262" i="15"/>
  <c r="D261" i="15"/>
  <c r="B261" i="15"/>
  <c r="A261" i="15"/>
  <c r="D260" i="15"/>
  <c r="B260" i="15"/>
  <c r="A260" i="15"/>
  <c r="D259" i="15"/>
  <c r="B259" i="15"/>
  <c r="A259" i="15"/>
  <c r="D258" i="15"/>
  <c r="B258" i="15"/>
  <c r="A258" i="15"/>
  <c r="D257" i="15"/>
  <c r="B257" i="15"/>
  <c r="A257" i="15"/>
  <c r="D256" i="15"/>
  <c r="B256" i="15"/>
  <c r="A256" i="15"/>
  <c r="D255" i="15"/>
  <c r="B255" i="15"/>
  <c r="A255" i="15"/>
  <c r="D254" i="15"/>
  <c r="B254" i="15"/>
  <c r="A254" i="15"/>
  <c r="D253" i="15"/>
  <c r="B253" i="15"/>
  <c r="A253" i="15"/>
  <c r="D252" i="15"/>
  <c r="B252" i="15"/>
  <c r="A252" i="15"/>
  <c r="D251" i="15"/>
  <c r="B251" i="15"/>
  <c r="A251" i="15"/>
  <c r="D250" i="15"/>
  <c r="B250" i="15"/>
  <c r="A250" i="15"/>
  <c r="D249" i="15"/>
  <c r="B249" i="15"/>
  <c r="A249" i="15"/>
  <c r="D248" i="15"/>
  <c r="B248" i="15"/>
  <c r="A248" i="15"/>
  <c r="D247" i="15"/>
  <c r="B247" i="15"/>
  <c r="A247" i="15"/>
  <c r="D246" i="15"/>
  <c r="B246" i="15"/>
  <c r="A246" i="15"/>
  <c r="D245" i="15"/>
  <c r="B245" i="15"/>
  <c r="A245" i="15"/>
  <c r="D244" i="15"/>
  <c r="B244" i="15"/>
  <c r="A244" i="15"/>
  <c r="D243" i="15"/>
  <c r="B243" i="15"/>
  <c r="A243" i="15"/>
  <c r="D242" i="15"/>
  <c r="B242" i="15"/>
  <c r="A242" i="15"/>
  <c r="D241" i="15"/>
  <c r="B241" i="15"/>
  <c r="A241" i="15"/>
  <c r="D240" i="15"/>
  <c r="B240" i="15"/>
  <c r="A240" i="15"/>
  <c r="D239" i="15"/>
  <c r="B239" i="15"/>
  <c r="A239" i="15"/>
  <c r="D238" i="15"/>
  <c r="B238" i="15"/>
  <c r="A238" i="15"/>
  <c r="D237" i="15"/>
  <c r="B237" i="15"/>
  <c r="A237" i="15"/>
  <c r="D236" i="15"/>
  <c r="B236" i="15"/>
  <c r="A236" i="15"/>
  <c r="D235" i="15"/>
  <c r="B235" i="15"/>
  <c r="A235" i="15"/>
  <c r="D234" i="15"/>
  <c r="B234" i="15"/>
  <c r="A234" i="15"/>
  <c r="D233" i="15"/>
  <c r="B233" i="15"/>
  <c r="A233" i="15"/>
  <c r="D232" i="15"/>
  <c r="B232" i="15"/>
  <c r="A232" i="15"/>
  <c r="D231" i="15"/>
  <c r="B231" i="15"/>
  <c r="A231" i="15"/>
  <c r="D230" i="15"/>
  <c r="B230" i="15"/>
  <c r="A230" i="15"/>
  <c r="D229" i="15"/>
  <c r="B229" i="15"/>
  <c r="A229" i="15"/>
  <c r="D228" i="15"/>
  <c r="B228" i="15"/>
  <c r="A228" i="15"/>
  <c r="D227" i="15"/>
  <c r="B227" i="15"/>
  <c r="A227" i="15"/>
  <c r="D226" i="15"/>
  <c r="B226" i="15"/>
  <c r="A226" i="15"/>
  <c r="G225" i="15"/>
  <c r="H225" i="15" s="1"/>
  <c r="D225" i="15"/>
  <c r="B225" i="15"/>
  <c r="A225" i="15"/>
  <c r="D224" i="15"/>
  <c r="B224" i="15"/>
  <c r="A224" i="15"/>
  <c r="G224" i="15" s="1"/>
  <c r="H224" i="15" s="1"/>
  <c r="G223" i="15"/>
  <c r="H223" i="15" s="1"/>
  <c r="D223" i="15"/>
  <c r="B223" i="15"/>
  <c r="A223" i="15"/>
  <c r="D222" i="15"/>
  <c r="B222" i="15"/>
  <c r="A222" i="15"/>
  <c r="G222" i="15" s="1"/>
  <c r="H222" i="15" s="1"/>
  <c r="D221" i="15"/>
  <c r="B221" i="15"/>
  <c r="A221" i="15"/>
  <c r="G221" i="15" s="1"/>
  <c r="H221" i="15" s="1"/>
  <c r="G220" i="15"/>
  <c r="H220" i="15" s="1"/>
  <c r="D220" i="15"/>
  <c r="B220" i="15"/>
  <c r="A220" i="15"/>
  <c r="D219" i="15"/>
  <c r="B219" i="15"/>
  <c r="A219" i="15"/>
  <c r="G219" i="15" s="1"/>
  <c r="H219" i="15" s="1"/>
  <c r="H218" i="15"/>
  <c r="G218" i="15"/>
  <c r="D218" i="15"/>
  <c r="B218" i="15"/>
  <c r="A218" i="15"/>
  <c r="G217" i="15"/>
  <c r="H217" i="15" s="1"/>
  <c r="D217" i="15"/>
  <c r="B217" i="15"/>
  <c r="A217" i="15"/>
  <c r="D216" i="15"/>
  <c r="B216" i="15"/>
  <c r="A216" i="15"/>
  <c r="G216" i="15" s="1"/>
  <c r="H216" i="15" s="1"/>
  <c r="G215" i="15"/>
  <c r="H215" i="15" s="1"/>
  <c r="D215" i="15"/>
  <c r="B215" i="15"/>
  <c r="A215" i="15"/>
  <c r="D214" i="15"/>
  <c r="B214" i="15"/>
  <c r="A214" i="15"/>
  <c r="G214" i="15" s="1"/>
  <c r="H214" i="15" s="1"/>
  <c r="D213" i="15"/>
  <c r="B213" i="15"/>
  <c r="A213" i="15"/>
  <c r="G213" i="15" s="1"/>
  <c r="H213" i="15" s="1"/>
  <c r="G212" i="15"/>
  <c r="H212" i="15" s="1"/>
  <c r="D212" i="15"/>
  <c r="B212" i="15"/>
  <c r="A212" i="15"/>
  <c r="D211" i="15"/>
  <c r="B211" i="15"/>
  <c r="A211" i="15"/>
  <c r="G211" i="15" s="1"/>
  <c r="H211" i="15" s="1"/>
  <c r="H210" i="15"/>
  <c r="G210" i="15"/>
  <c r="D210" i="15"/>
  <c r="B210" i="15"/>
  <c r="A210" i="15"/>
  <c r="G209" i="15"/>
  <c r="H209" i="15" s="1"/>
  <c r="D209" i="15"/>
  <c r="B209" i="15"/>
  <c r="A209" i="15"/>
  <c r="D208" i="15"/>
  <c r="B208" i="15"/>
  <c r="A208" i="15"/>
  <c r="G208" i="15" s="1"/>
  <c r="H208" i="15" s="1"/>
  <c r="G207" i="15"/>
  <c r="H207" i="15" s="1"/>
  <c r="D207" i="15"/>
  <c r="B207" i="15"/>
  <c r="A207" i="15"/>
  <c r="D206" i="15"/>
  <c r="B206" i="15"/>
  <c r="A206" i="15"/>
  <c r="G206" i="15" s="1"/>
  <c r="H206" i="15" s="1"/>
  <c r="D205" i="15"/>
  <c r="B205" i="15"/>
  <c r="A205" i="15"/>
  <c r="G205" i="15" s="1"/>
  <c r="H205" i="15" s="1"/>
  <c r="G204" i="15"/>
  <c r="H204" i="15" s="1"/>
  <c r="D204" i="15"/>
  <c r="B204" i="15"/>
  <c r="A204" i="15"/>
  <c r="D203" i="15"/>
  <c r="B203" i="15"/>
  <c r="A203" i="15"/>
  <c r="G203" i="15" s="1"/>
  <c r="H203" i="15" s="1"/>
  <c r="H202" i="15"/>
  <c r="G202" i="15"/>
  <c r="D202" i="15"/>
  <c r="B202" i="15"/>
  <c r="A202" i="15"/>
  <c r="G201" i="15"/>
  <c r="H201" i="15" s="1"/>
  <c r="D201" i="15"/>
  <c r="B201" i="15"/>
  <c r="A201" i="15"/>
  <c r="D200" i="15"/>
  <c r="B200" i="15"/>
  <c r="A200" i="15"/>
  <c r="G200" i="15" s="1"/>
  <c r="H200" i="15" s="1"/>
  <c r="G199" i="15"/>
  <c r="H199" i="15" s="1"/>
  <c r="D199" i="15"/>
  <c r="B199" i="15"/>
  <c r="A199" i="15"/>
  <c r="D198" i="15"/>
  <c r="B198" i="15"/>
  <c r="A198" i="15"/>
  <c r="G198" i="15" s="1"/>
  <c r="H198" i="15" s="1"/>
  <c r="D197" i="15"/>
  <c r="B197" i="15"/>
  <c r="A197" i="15"/>
  <c r="G197" i="15" s="1"/>
  <c r="H197" i="15" s="1"/>
  <c r="G196" i="15"/>
  <c r="H196" i="15" s="1"/>
  <c r="D196" i="15"/>
  <c r="B196" i="15"/>
  <c r="A196" i="15"/>
  <c r="D195" i="15"/>
  <c r="B195" i="15"/>
  <c r="A195" i="15"/>
  <c r="G195" i="15" s="1"/>
  <c r="H195" i="15" s="1"/>
  <c r="H194" i="15"/>
  <c r="G194" i="15"/>
  <c r="D194" i="15"/>
  <c r="B194" i="15"/>
  <c r="A194" i="15"/>
  <c r="G193" i="15"/>
  <c r="H193" i="15" s="1"/>
  <c r="D193" i="15"/>
  <c r="B193" i="15"/>
  <c r="A193" i="15"/>
  <c r="D192" i="15"/>
  <c r="B192" i="15"/>
  <c r="A192" i="15"/>
  <c r="G192" i="15" s="1"/>
  <c r="H192" i="15" s="1"/>
  <c r="G191" i="15"/>
  <c r="H191" i="15" s="1"/>
  <c r="D191" i="15"/>
  <c r="B191" i="15"/>
  <c r="A191" i="15"/>
  <c r="D190" i="15"/>
  <c r="B190" i="15"/>
  <c r="A190" i="15"/>
  <c r="G190" i="15" s="1"/>
  <c r="H190" i="15" s="1"/>
  <c r="D189" i="15"/>
  <c r="B189" i="15"/>
  <c r="A189" i="15"/>
  <c r="G189" i="15" s="1"/>
  <c r="H189" i="15" s="1"/>
  <c r="G188" i="15"/>
  <c r="H188" i="15" s="1"/>
  <c r="D188" i="15"/>
  <c r="B188" i="15"/>
  <c r="A188" i="15"/>
  <c r="D187" i="15"/>
  <c r="B187" i="15"/>
  <c r="A187" i="15"/>
  <c r="G187" i="15" s="1"/>
  <c r="H187" i="15" s="1"/>
  <c r="H186" i="15"/>
  <c r="G186" i="15"/>
  <c r="D186" i="15"/>
  <c r="B186" i="15"/>
  <c r="A186" i="15"/>
  <c r="D185" i="15"/>
  <c r="B185" i="15"/>
  <c r="A185" i="15"/>
  <c r="G185" i="15" s="1"/>
  <c r="H185" i="15" s="1"/>
  <c r="D184" i="15"/>
  <c r="B184" i="15"/>
  <c r="A184" i="15"/>
  <c r="G184" i="15" s="1"/>
  <c r="H184" i="15" s="1"/>
  <c r="G183" i="15"/>
  <c r="H183" i="15" s="1"/>
  <c r="D183" i="15"/>
  <c r="B183" i="15"/>
  <c r="A183" i="15"/>
  <c r="D182" i="15"/>
  <c r="B182" i="15"/>
  <c r="A182" i="15"/>
  <c r="G182" i="15" s="1"/>
  <c r="H182" i="15" s="1"/>
  <c r="D181" i="15"/>
  <c r="B181" i="15"/>
  <c r="A181" i="15"/>
  <c r="G181" i="15" s="1"/>
  <c r="H181" i="15" s="1"/>
  <c r="G180" i="15"/>
  <c r="H180" i="15" s="1"/>
  <c r="D180" i="15"/>
  <c r="B180" i="15"/>
  <c r="A180" i="15"/>
  <c r="D179" i="15"/>
  <c r="B179" i="15"/>
  <c r="A179" i="15"/>
  <c r="G179" i="15" s="1"/>
  <c r="H179" i="15" s="1"/>
  <c r="H178" i="15"/>
  <c r="G178" i="15"/>
  <c r="D178" i="15"/>
  <c r="B178" i="15"/>
  <c r="A178" i="15"/>
  <c r="D177" i="15"/>
  <c r="B177" i="15"/>
  <c r="A177" i="15"/>
  <c r="G177" i="15" s="1"/>
  <c r="H177" i="15" s="1"/>
  <c r="D176" i="15"/>
  <c r="B176" i="15"/>
  <c r="A176" i="15"/>
  <c r="G176" i="15" s="1"/>
  <c r="H176" i="15" s="1"/>
  <c r="G175" i="15"/>
  <c r="H175" i="15" s="1"/>
  <c r="D175" i="15"/>
  <c r="B175" i="15"/>
  <c r="A175" i="15"/>
  <c r="D174" i="15"/>
  <c r="B174" i="15"/>
  <c r="A174" i="15"/>
  <c r="G174" i="15" s="1"/>
  <c r="H174" i="15" s="1"/>
  <c r="D173" i="15"/>
  <c r="B173" i="15"/>
  <c r="A173" i="15"/>
  <c r="G173" i="15" s="1"/>
  <c r="H173" i="15" s="1"/>
  <c r="G172" i="15"/>
  <c r="H172" i="15" s="1"/>
  <c r="D172" i="15"/>
  <c r="B172" i="15"/>
  <c r="A172" i="15"/>
  <c r="D171" i="15"/>
  <c r="B171" i="15"/>
  <c r="A171" i="15"/>
  <c r="G171" i="15" s="1"/>
  <c r="H171" i="15" s="1"/>
  <c r="H170" i="15"/>
  <c r="G170" i="15"/>
  <c r="D170" i="15"/>
  <c r="B170" i="15"/>
  <c r="A170" i="15"/>
  <c r="D169" i="15"/>
  <c r="B169" i="15"/>
  <c r="A169" i="15"/>
  <c r="G169" i="15" s="1"/>
  <c r="H169" i="15" s="1"/>
  <c r="D168" i="15"/>
  <c r="B168" i="15"/>
  <c r="A168" i="15"/>
  <c r="G168" i="15" s="1"/>
  <c r="H168" i="15" s="1"/>
  <c r="G167" i="15"/>
  <c r="H167" i="15" s="1"/>
  <c r="D167" i="15"/>
  <c r="B167" i="15"/>
  <c r="A167" i="15"/>
  <c r="D166" i="15"/>
  <c r="B166" i="15"/>
  <c r="A166" i="15"/>
  <c r="G166" i="15" s="1"/>
  <c r="H166" i="15" s="1"/>
  <c r="D165" i="15"/>
  <c r="B165" i="15"/>
  <c r="A165" i="15"/>
  <c r="G165" i="15" s="1"/>
  <c r="H165" i="15" s="1"/>
  <c r="G164" i="15"/>
  <c r="H164" i="15" s="1"/>
  <c r="D164" i="15"/>
  <c r="B164" i="15"/>
  <c r="A164" i="15"/>
  <c r="D163" i="15"/>
  <c r="B163" i="15"/>
  <c r="A163" i="15"/>
  <c r="G163" i="15" s="1"/>
  <c r="H163" i="15" s="1"/>
  <c r="H162" i="15"/>
  <c r="G162" i="15"/>
  <c r="D162" i="15"/>
  <c r="B162" i="15"/>
  <c r="A162" i="15"/>
  <c r="D161" i="15"/>
  <c r="B161" i="15"/>
  <c r="A161" i="15"/>
  <c r="G161" i="15" s="1"/>
  <c r="H161" i="15" s="1"/>
  <c r="D160" i="15"/>
  <c r="B160" i="15"/>
  <c r="A160" i="15"/>
  <c r="G160" i="15" s="1"/>
  <c r="H160" i="15" s="1"/>
  <c r="G159" i="15"/>
  <c r="H159" i="15" s="1"/>
  <c r="D159" i="15"/>
  <c r="B159" i="15"/>
  <c r="A159" i="15"/>
  <c r="D158" i="15"/>
  <c r="B158" i="15"/>
  <c r="A158" i="15"/>
  <c r="G158" i="15" s="1"/>
  <c r="H158" i="15" s="1"/>
  <c r="D157" i="15"/>
  <c r="B157" i="15"/>
  <c r="A157" i="15"/>
  <c r="G157" i="15" s="1"/>
  <c r="H157" i="15" s="1"/>
  <c r="G156" i="15"/>
  <c r="H156" i="15" s="1"/>
  <c r="D156" i="15"/>
  <c r="B156" i="15"/>
  <c r="A156" i="15"/>
  <c r="D155" i="15"/>
  <c r="B155" i="15"/>
  <c r="A155" i="15"/>
  <c r="G155" i="15" s="1"/>
  <c r="H155" i="15" s="1"/>
  <c r="H154" i="15"/>
  <c r="G154" i="15"/>
  <c r="D154" i="15"/>
  <c r="B154" i="15"/>
  <c r="A154" i="15"/>
  <c r="D153" i="15"/>
  <c r="B153" i="15"/>
  <c r="A153" i="15"/>
  <c r="G153" i="15" s="1"/>
  <c r="H153" i="15" s="1"/>
  <c r="D152" i="15"/>
  <c r="B152" i="15"/>
  <c r="A152" i="15"/>
  <c r="G152" i="15" s="1"/>
  <c r="H152" i="15" s="1"/>
  <c r="G151" i="15"/>
  <c r="H151" i="15" s="1"/>
  <c r="D151" i="15"/>
  <c r="B151" i="15"/>
  <c r="A151" i="15"/>
  <c r="D150" i="15"/>
  <c r="B150" i="15"/>
  <c r="A150" i="15"/>
  <c r="G150" i="15" s="1"/>
  <c r="H150" i="15" s="1"/>
  <c r="D149" i="15"/>
  <c r="B149" i="15"/>
  <c r="A149" i="15"/>
  <c r="G149" i="15" s="1"/>
  <c r="H149" i="15" s="1"/>
  <c r="G148" i="15"/>
  <c r="H148" i="15" s="1"/>
  <c r="D148" i="15"/>
  <c r="B148" i="15"/>
  <c r="A148" i="15"/>
  <c r="D147" i="15"/>
  <c r="B147" i="15"/>
  <c r="A147" i="15"/>
  <c r="G147" i="15" s="1"/>
  <c r="H147" i="15" s="1"/>
  <c r="H146" i="15"/>
  <c r="G146" i="15"/>
  <c r="D146" i="15"/>
  <c r="B146" i="15"/>
  <c r="A146" i="15"/>
  <c r="D145" i="15"/>
  <c r="B145" i="15"/>
  <c r="A145" i="15"/>
  <c r="G145" i="15" s="1"/>
  <c r="H145" i="15" s="1"/>
  <c r="D144" i="15"/>
  <c r="B144" i="15"/>
  <c r="A144" i="15"/>
  <c r="G144" i="15" s="1"/>
  <c r="H144" i="15" s="1"/>
  <c r="G143" i="15"/>
  <c r="H143" i="15" s="1"/>
  <c r="D143" i="15"/>
  <c r="B143" i="15"/>
  <c r="A143" i="15"/>
  <c r="D142" i="15"/>
  <c r="B142" i="15"/>
  <c r="A142" i="15"/>
  <c r="G142" i="15" s="1"/>
  <c r="H142" i="15" s="1"/>
  <c r="D141" i="15"/>
  <c r="B141" i="15"/>
  <c r="A141" i="15"/>
  <c r="G141" i="15" s="1"/>
  <c r="H141" i="15" s="1"/>
  <c r="G140" i="15"/>
  <c r="H140" i="15" s="1"/>
  <c r="D140" i="15"/>
  <c r="B140" i="15"/>
  <c r="A140" i="15"/>
  <c r="D139" i="15"/>
  <c r="B139" i="15"/>
  <c r="A139" i="15"/>
  <c r="G139" i="15" s="1"/>
  <c r="H139" i="15" s="1"/>
  <c r="H138" i="15"/>
  <c r="G138" i="15"/>
  <c r="D138" i="15"/>
  <c r="B138" i="15"/>
  <c r="A138" i="15"/>
  <c r="D137" i="15"/>
  <c r="B137" i="15"/>
  <c r="A137" i="15"/>
  <c r="G137" i="15" s="1"/>
  <c r="H137" i="15" s="1"/>
  <c r="D136" i="15"/>
  <c r="B136" i="15"/>
  <c r="A136" i="15"/>
  <c r="G136" i="15" s="1"/>
  <c r="H136" i="15" s="1"/>
  <c r="G135" i="15"/>
  <c r="H135" i="15" s="1"/>
  <c r="D135" i="15"/>
  <c r="B135" i="15"/>
  <c r="A135" i="15"/>
  <c r="D134" i="15"/>
  <c r="B134" i="15"/>
  <c r="A134" i="15"/>
  <c r="G134" i="15" s="1"/>
  <c r="H134" i="15" s="1"/>
  <c r="D133" i="15"/>
  <c r="B133" i="15"/>
  <c r="A133" i="15"/>
  <c r="G133" i="15" s="1"/>
  <c r="H133" i="15" s="1"/>
  <c r="G132" i="15"/>
  <c r="H132" i="15" s="1"/>
  <c r="D132" i="15"/>
  <c r="B132" i="15"/>
  <c r="A132" i="15"/>
  <c r="D131" i="15"/>
  <c r="B131" i="15"/>
  <c r="A131" i="15"/>
  <c r="G131" i="15" s="1"/>
  <c r="H131" i="15" s="1"/>
  <c r="H130" i="15"/>
  <c r="G130" i="15"/>
  <c r="D130" i="15"/>
  <c r="B130" i="15"/>
  <c r="A130" i="15"/>
  <c r="D129" i="15"/>
  <c r="B129" i="15"/>
  <c r="A129" i="15"/>
  <c r="G129" i="15" s="1"/>
  <c r="H129" i="15" s="1"/>
  <c r="D128" i="15"/>
  <c r="B128" i="15"/>
  <c r="A128" i="15"/>
  <c r="G128" i="15" s="1"/>
  <c r="H128" i="15" s="1"/>
  <c r="G127" i="15"/>
  <c r="H127" i="15" s="1"/>
  <c r="D127" i="15"/>
  <c r="B127" i="15"/>
  <c r="A127" i="15"/>
  <c r="D126" i="15"/>
  <c r="B126" i="15"/>
  <c r="A126" i="15"/>
  <c r="G126" i="15" s="1"/>
  <c r="H126" i="15" s="1"/>
  <c r="D125" i="15"/>
  <c r="B125" i="15"/>
  <c r="A125" i="15"/>
  <c r="G125" i="15" s="1"/>
  <c r="H125" i="15" s="1"/>
  <c r="G124" i="15"/>
  <c r="H124" i="15" s="1"/>
  <c r="D124" i="15"/>
  <c r="B124" i="15"/>
  <c r="A124" i="15"/>
  <c r="D123" i="15"/>
  <c r="B123" i="15"/>
  <c r="A123" i="15"/>
  <c r="G123" i="15" s="1"/>
  <c r="H123" i="15" s="1"/>
  <c r="H122" i="15"/>
  <c r="G122" i="15"/>
  <c r="D122" i="15"/>
  <c r="B122" i="15"/>
  <c r="A122" i="15"/>
  <c r="D121" i="15"/>
  <c r="B121" i="15"/>
  <c r="A121" i="15"/>
  <c r="G121" i="15" s="1"/>
  <c r="H121" i="15" s="1"/>
  <c r="D120" i="15"/>
  <c r="B120" i="15"/>
  <c r="A120" i="15"/>
  <c r="G120" i="15" s="1"/>
  <c r="H120" i="15" s="1"/>
  <c r="H119" i="15"/>
  <c r="G119" i="15"/>
  <c r="D119" i="15"/>
  <c r="B119" i="15"/>
  <c r="A119" i="15"/>
  <c r="D118" i="15"/>
  <c r="B118" i="15"/>
  <c r="A118" i="15"/>
  <c r="G118" i="15" s="1"/>
  <c r="H118" i="15" s="1"/>
  <c r="D117" i="15"/>
  <c r="B117" i="15"/>
  <c r="A117" i="15"/>
  <c r="G117" i="15" s="1"/>
  <c r="H117" i="15" s="1"/>
  <c r="G116" i="15"/>
  <c r="H116" i="15" s="1"/>
  <c r="D116" i="15"/>
  <c r="B116" i="15"/>
  <c r="A116" i="15"/>
  <c r="D115" i="15"/>
  <c r="B115" i="15"/>
  <c r="A115" i="15"/>
  <c r="G115" i="15" s="1"/>
  <c r="H115" i="15" s="1"/>
  <c r="H114" i="15"/>
  <c r="G114" i="15"/>
  <c r="D114" i="15"/>
  <c r="B114" i="15"/>
  <c r="A114" i="15"/>
  <c r="D113" i="15"/>
  <c r="B113" i="15"/>
  <c r="A113" i="15"/>
  <c r="G113" i="15" s="1"/>
  <c r="H113" i="15" s="1"/>
  <c r="D112" i="15"/>
  <c r="B112" i="15"/>
  <c r="A112" i="15"/>
  <c r="G112" i="15" s="1"/>
  <c r="H112" i="15" s="1"/>
  <c r="G111" i="15"/>
  <c r="H111" i="15" s="1"/>
  <c r="D111" i="15"/>
  <c r="B111" i="15"/>
  <c r="A111" i="15"/>
  <c r="D110" i="15"/>
  <c r="B110" i="15"/>
  <c r="A110" i="15"/>
  <c r="G110" i="15" s="1"/>
  <c r="H110" i="15" s="1"/>
  <c r="D109" i="15"/>
  <c r="B109" i="15"/>
  <c r="A109" i="15"/>
  <c r="G109" i="15" s="1"/>
  <c r="H109" i="15" s="1"/>
  <c r="G108" i="15"/>
  <c r="H108" i="15" s="1"/>
  <c r="D108" i="15"/>
  <c r="B108" i="15"/>
  <c r="A108" i="15"/>
  <c r="D107" i="15"/>
  <c r="B107" i="15"/>
  <c r="A107" i="15"/>
  <c r="G107" i="15" s="1"/>
  <c r="H107" i="15" s="1"/>
  <c r="G106" i="15"/>
  <c r="H106" i="15" s="1"/>
  <c r="D106" i="15"/>
  <c r="B106" i="15"/>
  <c r="A106" i="15"/>
  <c r="D105" i="15"/>
  <c r="B105" i="15"/>
  <c r="A105" i="15"/>
  <c r="G105" i="15" s="1"/>
  <c r="H105" i="15" s="1"/>
  <c r="D104" i="15"/>
  <c r="B104" i="15"/>
  <c r="A104" i="15"/>
  <c r="G104" i="15" s="1"/>
  <c r="H104" i="15" s="1"/>
  <c r="H103" i="15"/>
  <c r="G103" i="15"/>
  <c r="D103" i="15"/>
  <c r="B103" i="15"/>
  <c r="A103" i="15"/>
  <c r="D102" i="15"/>
  <c r="B102" i="15"/>
  <c r="A102" i="15"/>
  <c r="G102" i="15" s="1"/>
  <c r="H102" i="15" s="1"/>
  <c r="H101" i="15"/>
  <c r="D101" i="15"/>
  <c r="B101" i="15"/>
  <c r="A101" i="15"/>
  <c r="G101" i="15" s="1"/>
  <c r="G100" i="15"/>
  <c r="H100" i="15" s="1"/>
  <c r="D100" i="15"/>
  <c r="B100" i="15"/>
  <c r="A100" i="15"/>
  <c r="D99" i="15"/>
  <c r="B99" i="15"/>
  <c r="A99" i="15"/>
  <c r="G99" i="15" s="1"/>
  <c r="H99" i="15" s="1"/>
  <c r="H98" i="15"/>
  <c r="G98" i="15"/>
  <c r="D98" i="15"/>
  <c r="B98" i="15"/>
  <c r="A98" i="15"/>
  <c r="D97" i="15"/>
  <c r="B97" i="15"/>
  <c r="A97" i="15"/>
  <c r="G97" i="15" s="1"/>
  <c r="H97" i="15" s="1"/>
  <c r="D96" i="15"/>
  <c r="B96" i="15"/>
  <c r="A96" i="15"/>
  <c r="G96" i="15" s="1"/>
  <c r="H96" i="15" s="1"/>
  <c r="G95" i="15"/>
  <c r="H95" i="15" s="1"/>
  <c r="D95" i="15"/>
  <c r="B95" i="15"/>
  <c r="A95" i="15"/>
  <c r="D94" i="15"/>
  <c r="B94" i="15"/>
  <c r="A94" i="15"/>
  <c r="G94" i="15" s="1"/>
  <c r="H94" i="15" s="1"/>
  <c r="H93" i="15"/>
  <c r="D93" i="15"/>
  <c r="B93" i="15"/>
  <c r="A93" i="15"/>
  <c r="G93" i="15" s="1"/>
  <c r="G92" i="15"/>
  <c r="H92" i="15" s="1"/>
  <c r="D92" i="15"/>
  <c r="B92" i="15"/>
  <c r="A92" i="15"/>
  <c r="D91" i="15"/>
  <c r="B91" i="15"/>
  <c r="A91" i="15"/>
  <c r="G91" i="15" s="1"/>
  <c r="H91" i="15" s="1"/>
  <c r="H90" i="15"/>
  <c r="G90" i="15"/>
  <c r="D90" i="15"/>
  <c r="B90" i="15"/>
  <c r="A90" i="15"/>
  <c r="D89" i="15"/>
  <c r="B89" i="15"/>
  <c r="A89" i="15"/>
  <c r="G89" i="15" s="1"/>
  <c r="H89" i="15" s="1"/>
  <c r="D88" i="15"/>
  <c r="B88" i="15"/>
  <c r="A88" i="15"/>
  <c r="G88" i="15" s="1"/>
  <c r="H88" i="15" s="1"/>
  <c r="G87" i="15"/>
  <c r="H87" i="15" s="1"/>
  <c r="D87" i="15"/>
  <c r="B87" i="15"/>
  <c r="A87" i="15"/>
  <c r="D86" i="15"/>
  <c r="B86" i="15"/>
  <c r="A86" i="15"/>
  <c r="G86" i="15" s="1"/>
  <c r="H86" i="15" s="1"/>
  <c r="D85" i="15"/>
  <c r="B85" i="15"/>
  <c r="A85" i="15"/>
  <c r="G85" i="15" s="1"/>
  <c r="H85" i="15" s="1"/>
  <c r="G84" i="15"/>
  <c r="H84" i="15" s="1"/>
  <c r="D84" i="15"/>
  <c r="B84" i="15"/>
  <c r="A84" i="15"/>
  <c r="D83" i="15"/>
  <c r="B83" i="15"/>
  <c r="A83" i="15"/>
  <c r="G83" i="15" s="1"/>
  <c r="H83" i="15" s="1"/>
  <c r="H82" i="15"/>
  <c r="G82" i="15"/>
  <c r="D82" i="15"/>
  <c r="B82" i="15"/>
  <c r="A82" i="15"/>
  <c r="D81" i="15"/>
  <c r="B81" i="15"/>
  <c r="A81" i="15"/>
  <c r="G81" i="15" s="1"/>
  <c r="H81" i="15" s="1"/>
  <c r="D80" i="15"/>
  <c r="B80" i="15"/>
  <c r="A80" i="15"/>
  <c r="G80" i="15" s="1"/>
  <c r="H80" i="15" s="1"/>
  <c r="G79" i="15"/>
  <c r="H79" i="15" s="1"/>
  <c r="D79" i="15"/>
  <c r="B79" i="15"/>
  <c r="A79" i="15"/>
  <c r="D78" i="15"/>
  <c r="B78" i="15"/>
  <c r="A78" i="15"/>
  <c r="G78" i="15" s="1"/>
  <c r="H78" i="15" s="1"/>
  <c r="D77" i="15"/>
  <c r="B77" i="15"/>
  <c r="A77" i="15"/>
  <c r="G77" i="15" s="1"/>
  <c r="H77" i="15" s="1"/>
  <c r="G76" i="15"/>
  <c r="H76" i="15" s="1"/>
  <c r="D76" i="15"/>
  <c r="B76" i="15"/>
  <c r="A76" i="15"/>
  <c r="D75" i="15"/>
  <c r="B75" i="15"/>
  <c r="A75" i="15"/>
  <c r="G75" i="15" s="1"/>
  <c r="H75" i="15" s="1"/>
  <c r="G74" i="15"/>
  <c r="H74" i="15" s="1"/>
  <c r="D74" i="15"/>
  <c r="B74" i="15"/>
  <c r="A74" i="15"/>
  <c r="D73" i="15"/>
  <c r="B73" i="15"/>
  <c r="A73" i="15"/>
  <c r="G73" i="15" s="1"/>
  <c r="H73" i="15" s="1"/>
  <c r="D72" i="15"/>
  <c r="B72" i="15"/>
  <c r="A72" i="15"/>
  <c r="G72" i="15" s="1"/>
  <c r="H72" i="15" s="1"/>
  <c r="H71" i="15"/>
  <c r="G71" i="15"/>
  <c r="D71" i="15"/>
  <c r="B71" i="15"/>
  <c r="A71" i="15"/>
  <c r="D70" i="15"/>
  <c r="B70" i="15"/>
  <c r="A70" i="15"/>
  <c r="G70" i="15" s="1"/>
  <c r="H70" i="15" s="1"/>
  <c r="H69" i="15"/>
  <c r="D69" i="15"/>
  <c r="B69" i="15"/>
  <c r="A69" i="15"/>
  <c r="G69" i="15" s="1"/>
  <c r="G68" i="15"/>
  <c r="H68" i="15" s="1"/>
  <c r="D68" i="15"/>
  <c r="B68" i="15"/>
  <c r="A68" i="15"/>
  <c r="D67" i="15"/>
  <c r="B67" i="15"/>
  <c r="A67" i="15"/>
  <c r="G67" i="15" s="1"/>
  <c r="H67" i="15" s="1"/>
  <c r="H66" i="15"/>
  <c r="G66" i="15"/>
  <c r="D66" i="15"/>
  <c r="B66" i="15"/>
  <c r="A66" i="15"/>
  <c r="D65" i="15"/>
  <c r="B65" i="15"/>
  <c r="A65" i="15"/>
  <c r="G65" i="15" s="1"/>
  <c r="H65" i="15" s="1"/>
  <c r="D64" i="15"/>
  <c r="B64" i="15"/>
  <c r="A64" i="15"/>
  <c r="G64" i="15" s="1"/>
  <c r="H64" i="15" s="1"/>
  <c r="G63" i="15"/>
  <c r="H63" i="15" s="1"/>
  <c r="D63" i="15"/>
  <c r="B63" i="15"/>
  <c r="A63" i="15"/>
  <c r="D62" i="15"/>
  <c r="B62" i="15"/>
  <c r="A62" i="15"/>
  <c r="G62" i="15" s="1"/>
  <c r="H62" i="15" s="1"/>
  <c r="H61" i="15"/>
  <c r="D61" i="15"/>
  <c r="B61" i="15"/>
  <c r="A61" i="15"/>
  <c r="G61" i="15" s="1"/>
  <c r="G60" i="15"/>
  <c r="H60" i="15" s="1"/>
  <c r="D60" i="15"/>
  <c r="B60" i="15"/>
  <c r="A60" i="15"/>
  <c r="D59" i="15"/>
  <c r="B59" i="15"/>
  <c r="A59" i="15"/>
  <c r="G59" i="15" s="1"/>
  <c r="H59" i="15" s="1"/>
  <c r="H58" i="15"/>
  <c r="G58" i="15"/>
  <c r="D58" i="15"/>
  <c r="B58" i="15"/>
  <c r="A58" i="15"/>
  <c r="D57" i="15"/>
  <c r="B57" i="15"/>
  <c r="A57" i="15"/>
  <c r="G57" i="15" s="1"/>
  <c r="H57" i="15" s="1"/>
  <c r="D56" i="15"/>
  <c r="B56" i="15"/>
  <c r="A56" i="15"/>
  <c r="G56" i="15" s="1"/>
  <c r="H56" i="15" s="1"/>
  <c r="G55" i="15"/>
  <c r="H55" i="15" s="1"/>
  <c r="D55" i="15"/>
  <c r="B55" i="15"/>
  <c r="A55" i="15"/>
  <c r="D54" i="15"/>
  <c r="B54" i="15"/>
  <c r="A54" i="15"/>
  <c r="G54" i="15" s="1"/>
  <c r="H54" i="15" s="1"/>
  <c r="D53" i="15"/>
  <c r="B53" i="15"/>
  <c r="A53" i="15"/>
  <c r="G53" i="15" s="1"/>
  <c r="H53" i="15" s="1"/>
  <c r="G52" i="15"/>
  <c r="H52" i="15" s="1"/>
  <c r="D52" i="15"/>
  <c r="B52" i="15"/>
  <c r="A52" i="15"/>
  <c r="D51" i="15"/>
  <c r="B51" i="15"/>
  <c r="A51" i="15"/>
  <c r="G51" i="15" s="1"/>
  <c r="H51" i="15" s="1"/>
  <c r="H50" i="15"/>
  <c r="G50" i="15"/>
  <c r="D50" i="15"/>
  <c r="B50" i="15"/>
  <c r="A50" i="15"/>
  <c r="D49" i="15"/>
  <c r="B49" i="15"/>
  <c r="A49" i="15"/>
  <c r="G49" i="15" s="1"/>
  <c r="H49" i="15" s="1"/>
  <c r="H48" i="15"/>
  <c r="G48" i="15"/>
  <c r="D48" i="15"/>
  <c r="B48" i="15"/>
  <c r="A48" i="15"/>
  <c r="B4" i="15"/>
  <c r="E3" i="15"/>
  <c r="B3" i="15"/>
  <c r="H1" i="15"/>
  <c r="A312" i="18"/>
  <c r="A311" i="18"/>
  <c r="A310" i="18"/>
  <c r="B310" i="18" s="1"/>
  <c r="A309" i="18"/>
  <c r="A308" i="18"/>
  <c r="A307" i="18"/>
  <c r="A306" i="18"/>
  <c r="A305" i="18"/>
  <c r="A304" i="18"/>
  <c r="A303" i="18"/>
  <c r="A302" i="18"/>
  <c r="B302" i="18" s="1"/>
  <c r="A301" i="18"/>
  <c r="D300" i="18"/>
  <c r="C300" i="18"/>
  <c r="A300" i="18"/>
  <c r="A299" i="18"/>
  <c r="B299" i="18" s="1"/>
  <c r="A298" i="18"/>
  <c r="A297" i="18"/>
  <c r="A296" i="18"/>
  <c r="A295" i="18"/>
  <c r="A294" i="18"/>
  <c r="B294" i="18" s="1"/>
  <c r="A293" i="18"/>
  <c r="A292" i="18"/>
  <c r="A291" i="18"/>
  <c r="A290" i="18"/>
  <c r="A289" i="18"/>
  <c r="A288" i="18"/>
  <c r="A287" i="18"/>
  <c r="A286" i="18"/>
  <c r="A285" i="18"/>
  <c r="A284" i="18"/>
  <c r="A283" i="18"/>
  <c r="B283" i="18" s="1"/>
  <c r="A282" i="18"/>
  <c r="A281" i="18"/>
  <c r="A280" i="18"/>
  <c r="A279" i="18"/>
  <c r="A278" i="18"/>
  <c r="B278" i="18" s="1"/>
  <c r="A277" i="18"/>
  <c r="A276" i="18"/>
  <c r="A275" i="18"/>
  <c r="A274" i="18"/>
  <c r="A273" i="18"/>
  <c r="A272" i="18"/>
  <c r="A271" i="18"/>
  <c r="A270" i="18"/>
  <c r="A269" i="18"/>
  <c r="D268" i="18"/>
  <c r="C268" i="18"/>
  <c r="A268" i="18"/>
  <c r="A267" i="18"/>
  <c r="A266" i="18"/>
  <c r="A265" i="18"/>
  <c r="A264" i="18"/>
  <c r="A263" i="18"/>
  <c r="B263" i="18" s="1"/>
  <c r="A262" i="18"/>
  <c r="A261" i="18"/>
  <c r="A260" i="18"/>
  <c r="A259" i="18"/>
  <c r="D258" i="18"/>
  <c r="C258" i="18"/>
  <c r="A258" i="18"/>
  <c r="A257" i="18"/>
  <c r="A256" i="18"/>
  <c r="A255" i="18"/>
  <c r="A254" i="18"/>
  <c r="D253" i="18"/>
  <c r="C253" i="18"/>
  <c r="A253" i="18"/>
  <c r="A252" i="18"/>
  <c r="A251" i="18"/>
  <c r="A250" i="18"/>
  <c r="A249" i="18"/>
  <c r="A248" i="18"/>
  <c r="D247" i="18"/>
  <c r="C247" i="18"/>
  <c r="A247" i="18"/>
  <c r="A246" i="18"/>
  <c r="A245" i="18"/>
  <c r="B245" i="18" s="1"/>
  <c r="D244" i="18"/>
  <c r="C244" i="18"/>
  <c r="A244" i="18"/>
  <c r="A243" i="18"/>
  <c r="A242" i="18"/>
  <c r="A241" i="18"/>
  <c r="B241" i="18" s="1"/>
  <c r="A240" i="18"/>
  <c r="A239" i="18"/>
  <c r="A238" i="18"/>
  <c r="A237" i="18"/>
  <c r="B237" i="18" s="1"/>
  <c r="A236" i="18"/>
  <c r="A235" i="18"/>
  <c r="A234" i="18"/>
  <c r="A233" i="18"/>
  <c r="A232" i="18"/>
  <c r="A231" i="18"/>
  <c r="A230" i="18"/>
  <c r="A229" i="18"/>
  <c r="B229" i="18" s="1"/>
  <c r="A228" i="18"/>
  <c r="A227" i="18"/>
  <c r="A226" i="18"/>
  <c r="A225" i="18"/>
  <c r="B225" i="18" s="1"/>
  <c r="A224" i="18"/>
  <c r="D223" i="18"/>
  <c r="C223" i="18"/>
  <c r="A223" i="18"/>
  <c r="A222" i="18"/>
  <c r="A221" i="18"/>
  <c r="B221" i="18" s="1"/>
  <c r="A220" i="18"/>
  <c r="A219" i="18"/>
  <c r="A218" i="18"/>
  <c r="D217" i="18"/>
  <c r="C217" i="18"/>
  <c r="A217" i="18"/>
  <c r="A216" i="18"/>
  <c r="A215" i="18"/>
  <c r="A214" i="18"/>
  <c r="A213" i="18"/>
  <c r="A212" i="18"/>
  <c r="A211" i="18"/>
  <c r="A210" i="18"/>
  <c r="B210" i="18" s="1"/>
  <c r="A209" i="18"/>
  <c r="A208" i="18"/>
  <c r="A207" i="18"/>
  <c r="A206" i="18"/>
  <c r="B206" i="18" s="1"/>
  <c r="D205" i="18"/>
  <c r="C205" i="18"/>
  <c r="A205" i="18"/>
  <c r="A204" i="18"/>
  <c r="A203" i="18"/>
  <c r="B203" i="18" s="1"/>
  <c r="A202" i="18"/>
  <c r="B202" i="18" s="1"/>
  <c r="A201" i="18"/>
  <c r="A200" i="18"/>
  <c r="A199" i="18"/>
  <c r="A198" i="18"/>
  <c r="B198" i="18" s="1"/>
  <c r="A197" i="18"/>
  <c r="A196" i="18"/>
  <c r="A195" i="18"/>
  <c r="B195" i="18" s="1"/>
  <c r="A194" i="18"/>
  <c r="A193" i="18"/>
  <c r="D192" i="18"/>
  <c r="C192" i="18"/>
  <c r="A192" i="18"/>
  <c r="A191" i="18"/>
  <c r="B191" i="18" s="1"/>
  <c r="A190" i="18"/>
  <c r="A189" i="18"/>
  <c r="A188" i="18"/>
  <c r="A187" i="18"/>
  <c r="B187" i="18" s="1"/>
  <c r="A186" i="18"/>
  <c r="A185" i="18"/>
  <c r="A184" i="18"/>
  <c r="A183" i="18"/>
  <c r="B183" i="18" s="1"/>
  <c r="A182" i="18"/>
  <c r="A181" i="18"/>
  <c r="A180" i="18"/>
  <c r="A179" i="18"/>
  <c r="D178" i="18"/>
  <c r="C178" i="18"/>
  <c r="A178" i="18"/>
  <c r="A177" i="18"/>
  <c r="A176" i="18"/>
  <c r="B176" i="18" s="1"/>
  <c r="A175" i="18"/>
  <c r="A174" i="18"/>
  <c r="A173" i="18"/>
  <c r="A172" i="18"/>
  <c r="B172" i="18" s="1"/>
  <c r="A171" i="18"/>
  <c r="B171" i="18" s="1"/>
  <c r="A170" i="18"/>
  <c r="A169" i="18"/>
  <c r="A168" i="18"/>
  <c r="B168" i="18" s="1"/>
  <c r="A167" i="18"/>
  <c r="B167" i="18" s="1"/>
  <c r="A166" i="18"/>
  <c r="A165" i="18"/>
  <c r="A164" i="18"/>
  <c r="A163" i="18"/>
  <c r="B163" i="18" s="1"/>
  <c r="A162" i="18"/>
  <c r="A161" i="18"/>
  <c r="A160" i="18"/>
  <c r="B160" i="18" s="1"/>
  <c r="A159" i="18"/>
  <c r="D158" i="18"/>
  <c r="C158" i="18"/>
  <c r="A158" i="18"/>
  <c r="A157" i="18"/>
  <c r="A156" i="18"/>
  <c r="B156" i="18" s="1"/>
  <c r="D155" i="18"/>
  <c r="C155" i="18"/>
  <c r="A155" i="18"/>
  <c r="A154" i="18"/>
  <c r="A153" i="18"/>
  <c r="B153" i="18" s="1"/>
  <c r="A152" i="18"/>
  <c r="B152" i="18" s="1"/>
  <c r="A151" i="18"/>
  <c r="A150" i="18"/>
  <c r="A149" i="18"/>
  <c r="B149" i="18" s="1"/>
  <c r="A148" i="18"/>
  <c r="B148" i="18" s="1"/>
  <c r="A147" i="18"/>
  <c r="A146" i="18"/>
  <c r="B146" i="18" s="1"/>
  <c r="A145" i="18"/>
  <c r="A144" i="18"/>
  <c r="B144" i="18" s="1"/>
  <c r="A143" i="18"/>
  <c r="A142" i="18"/>
  <c r="A141" i="18"/>
  <c r="B141" i="18" s="1"/>
  <c r="A140" i="18"/>
  <c r="A139" i="18"/>
  <c r="A138" i="18"/>
  <c r="A137" i="18"/>
  <c r="B137" i="18" s="1"/>
  <c r="A136" i="18"/>
  <c r="B136" i="18" s="1"/>
  <c r="A135" i="18"/>
  <c r="A134" i="18"/>
  <c r="A133" i="18"/>
  <c r="B133" i="18" s="1"/>
  <c r="A132" i="18"/>
  <c r="B132" i="18" s="1"/>
  <c r="A131" i="18"/>
  <c r="A130" i="18"/>
  <c r="B130" i="18" s="1"/>
  <c r="A129" i="18"/>
  <c r="A128" i="18"/>
  <c r="B128" i="18" s="1"/>
  <c r="A127" i="18"/>
  <c r="D126" i="18"/>
  <c r="C126" i="18"/>
  <c r="A126" i="18"/>
  <c r="A125" i="18"/>
  <c r="A124" i="18"/>
  <c r="A123" i="18"/>
  <c r="A122" i="18"/>
  <c r="A121" i="18"/>
  <c r="B121" i="18" s="1"/>
  <c r="A120" i="18"/>
  <c r="A119" i="18"/>
  <c r="A118" i="18"/>
  <c r="A117" i="18"/>
  <c r="B117" i="18" s="1"/>
  <c r="A116" i="18"/>
  <c r="A115" i="18"/>
  <c r="A114" i="18"/>
  <c r="A113" i="18"/>
  <c r="B113" i="18" s="1"/>
  <c r="A112" i="18"/>
  <c r="A111" i="18"/>
  <c r="D110" i="18"/>
  <c r="C110" i="18"/>
  <c r="A110" i="18"/>
  <c r="A109" i="18"/>
  <c r="B109" i="18" s="1"/>
  <c r="A108" i="18"/>
  <c r="A107" i="18"/>
  <c r="A106" i="18"/>
  <c r="B106" i="18" s="1"/>
  <c r="A105" i="18"/>
  <c r="A104" i="18"/>
  <c r="A103" i="18"/>
  <c r="A102" i="18"/>
  <c r="B102" i="18" s="1"/>
  <c r="A101" i="18"/>
  <c r="B101" i="18" s="1"/>
  <c r="A100" i="18"/>
  <c r="A99" i="18"/>
  <c r="A98" i="18"/>
  <c r="B98" i="18" s="1"/>
  <c r="D97" i="18"/>
  <c r="C97" i="18"/>
  <c r="A97" i="18"/>
  <c r="A96" i="18"/>
  <c r="B96" i="18" s="1"/>
  <c r="A95" i="18"/>
  <c r="A94" i="18"/>
  <c r="A93" i="18"/>
  <c r="A92" i="18"/>
  <c r="A91" i="18"/>
  <c r="B90" i="18"/>
  <c r="A90" i="18"/>
  <c r="A89" i="18"/>
  <c r="A88" i="18"/>
  <c r="A87" i="18"/>
  <c r="A86" i="18"/>
  <c r="B86" i="18" s="1"/>
  <c r="B85" i="18"/>
  <c r="A85" i="18"/>
  <c r="A84" i="18"/>
  <c r="A83" i="18"/>
  <c r="A82" i="18"/>
  <c r="A81" i="18"/>
  <c r="A80" i="18"/>
  <c r="B80" i="18" s="1"/>
  <c r="D79" i="18"/>
  <c r="C79" i="18"/>
  <c r="A79" i="18"/>
  <c r="A78" i="18"/>
  <c r="A77" i="18"/>
  <c r="A76" i="18"/>
  <c r="B75" i="18"/>
  <c r="A75" i="18"/>
  <c r="A74" i="18"/>
  <c r="A73" i="18"/>
  <c r="A72" i="18"/>
  <c r="A71" i="18"/>
  <c r="B70" i="18"/>
  <c r="A70" i="18"/>
  <c r="A69" i="18"/>
  <c r="A68" i="18"/>
  <c r="A67" i="18"/>
  <c r="A66" i="18"/>
  <c r="A65" i="18"/>
  <c r="B65" i="18" s="1"/>
  <c r="A64" i="18"/>
  <c r="A63" i="18"/>
  <c r="A62" i="18"/>
  <c r="D61" i="18"/>
  <c r="C61" i="18"/>
  <c r="A61" i="18"/>
  <c r="A60" i="18"/>
  <c r="A59" i="18"/>
  <c r="A58" i="18"/>
  <c r="A57" i="18"/>
  <c r="A56" i="18"/>
  <c r="B55" i="18"/>
  <c r="A55" i="18"/>
  <c r="A54" i="18"/>
  <c r="A53" i="18"/>
  <c r="A52" i="18"/>
  <c r="D51" i="18"/>
  <c r="C51" i="18"/>
  <c r="A51" i="18"/>
  <c r="A50" i="18"/>
  <c r="B50" i="18" s="1"/>
  <c r="A49" i="18"/>
  <c r="B49" i="18" s="1"/>
  <c r="A48" i="18"/>
  <c r="B48" i="18" s="1"/>
  <c r="A47" i="18"/>
  <c r="B47" i="18" s="1"/>
  <c r="D46" i="18"/>
  <c r="C46" i="18"/>
  <c r="A46" i="18"/>
  <c r="A45" i="18"/>
  <c r="B45" i="18" s="1"/>
  <c r="A44" i="18"/>
  <c r="B44" i="18" s="1"/>
  <c r="B43" i="18"/>
  <c r="A43" i="18"/>
  <c r="A42" i="18"/>
  <c r="B42" i="18" s="1"/>
  <c r="A41" i="18"/>
  <c r="B41" i="18" s="1"/>
  <c r="B40" i="18"/>
  <c r="A40" i="18"/>
  <c r="B39" i="18"/>
  <c r="A39" i="18"/>
  <c r="D38" i="18"/>
  <c r="C38" i="18"/>
  <c r="A37" i="18"/>
  <c r="B37" i="18" s="1"/>
  <c r="B36" i="18"/>
  <c r="A36" i="18"/>
  <c r="B35" i="18"/>
  <c r="A35" i="18"/>
  <c r="A34" i="18"/>
  <c r="B34" i="18" s="1"/>
  <c r="A33" i="18"/>
  <c r="B33" i="18" s="1"/>
  <c r="A32" i="18"/>
  <c r="B32" i="18" s="1"/>
  <c r="D31" i="18"/>
  <c r="C31" i="18"/>
  <c r="A30" i="18"/>
  <c r="B30" i="18" s="1"/>
  <c r="A29" i="18"/>
  <c r="B29" i="18" s="1"/>
  <c r="B28" i="18"/>
  <c r="A28" i="18"/>
  <c r="B27" i="18"/>
  <c r="A27" i="18"/>
  <c r="A26" i="18"/>
  <c r="B26" i="18" s="1"/>
  <c r="A25" i="18"/>
  <c r="B25" i="18" s="1"/>
  <c r="B24" i="18"/>
  <c r="A24" i="18"/>
  <c r="D88" i="14"/>
  <c r="B88" i="14"/>
  <c r="A88" i="14"/>
  <c r="D87" i="14"/>
  <c r="B87" i="14"/>
  <c r="A87" i="14"/>
  <c r="D86" i="14"/>
  <c r="B86" i="14"/>
  <c r="A86" i="14"/>
  <c r="D85" i="14"/>
  <c r="B85" i="14"/>
  <c r="A85" i="14"/>
  <c r="B84" i="14"/>
  <c r="H86" i="14" s="1"/>
  <c r="D83" i="14"/>
  <c r="B83" i="14"/>
  <c r="A83" i="14"/>
  <c r="H82" i="14"/>
  <c r="D82" i="14"/>
  <c r="B82" i="14"/>
  <c r="A82" i="14"/>
  <c r="B81" i="14"/>
  <c r="H83" i="14" s="1"/>
  <c r="D80" i="14"/>
  <c r="B80" i="14"/>
  <c r="A80" i="14"/>
  <c r="B79" i="14"/>
  <c r="H80" i="14" s="1"/>
  <c r="H78" i="14"/>
  <c r="D78" i="14"/>
  <c r="B78" i="14"/>
  <c r="A78" i="14"/>
  <c r="D77" i="14"/>
  <c r="B77" i="14"/>
  <c r="A77" i="14"/>
  <c r="H76" i="14"/>
  <c r="D76" i="14"/>
  <c r="B76" i="14"/>
  <c r="A76" i="14"/>
  <c r="D75" i="14"/>
  <c r="B75" i="14"/>
  <c r="A75" i="14"/>
  <c r="B74" i="14"/>
  <c r="H73" i="14"/>
  <c r="D73" i="14"/>
  <c r="B73" i="14"/>
  <c r="A73" i="14"/>
  <c r="D72" i="14"/>
  <c r="B72" i="14"/>
  <c r="A72" i="14"/>
  <c r="D71" i="14"/>
  <c r="B71" i="14"/>
  <c r="A71" i="14"/>
  <c r="D70" i="14"/>
  <c r="B70" i="14"/>
  <c r="A70" i="14"/>
  <c r="B69" i="14"/>
  <c r="H70" i="14" s="1"/>
  <c r="D68" i="14"/>
  <c r="B68" i="14"/>
  <c r="A68" i="14"/>
  <c r="B67" i="14"/>
  <c r="H68" i="14" s="1"/>
  <c r="H66" i="14"/>
  <c r="D66" i="14"/>
  <c r="B66" i="14"/>
  <c r="A66" i="14"/>
  <c r="H65" i="14"/>
  <c r="D65" i="14"/>
  <c r="B65" i="14"/>
  <c r="A65" i="14"/>
  <c r="H64" i="14"/>
  <c r="D64" i="14"/>
  <c r="B64" i="14"/>
  <c r="A64" i="14"/>
  <c r="H63" i="14"/>
  <c r="D63" i="14"/>
  <c r="B63" i="14"/>
  <c r="A63" i="14"/>
  <c r="H62" i="14"/>
  <c r="D62" i="14"/>
  <c r="B62" i="14"/>
  <c r="A62" i="14"/>
  <c r="H61" i="14"/>
  <c r="D61" i="14"/>
  <c r="B61" i="14"/>
  <c r="A61" i="14"/>
  <c r="H60" i="14"/>
  <c r="D60" i="14"/>
  <c r="B60" i="14"/>
  <c r="A60" i="14"/>
  <c r="H59" i="14"/>
  <c r="D59" i="14"/>
  <c r="B59" i="14"/>
  <c r="A59" i="14"/>
  <c r="H58" i="14"/>
  <c r="D58" i="14"/>
  <c r="B58" i="14"/>
  <c r="A58" i="14"/>
  <c r="H57" i="14"/>
  <c r="D57" i="14"/>
  <c r="B57" i="14"/>
  <c r="A57" i="14"/>
  <c r="H56" i="14"/>
  <c r="D56" i="14"/>
  <c r="B56" i="14"/>
  <c r="A56" i="14"/>
  <c r="H55" i="14"/>
  <c r="D55" i="14"/>
  <c r="B55" i="14"/>
  <c r="A55" i="14"/>
  <c r="H54" i="14"/>
  <c r="D54" i="14"/>
  <c r="B54" i="14"/>
  <c r="A54" i="14"/>
  <c r="H53" i="14"/>
  <c r="D53" i="14"/>
  <c r="B53" i="14"/>
  <c r="A53" i="14"/>
  <c r="H52" i="14"/>
  <c r="D52" i="14"/>
  <c r="B52" i="14"/>
  <c r="A52" i="14"/>
  <c r="H51" i="14"/>
  <c r="D51" i="14"/>
  <c r="B51" i="14"/>
  <c r="A51" i="14"/>
  <c r="H50" i="14"/>
  <c r="D50" i="14"/>
  <c r="B50" i="14"/>
  <c r="A50" i="14"/>
  <c r="H49" i="14"/>
  <c r="D49" i="14"/>
  <c r="B49" i="14"/>
  <c r="A49" i="14"/>
  <c r="H48" i="14"/>
  <c r="D48" i="14"/>
  <c r="B48" i="14"/>
  <c r="A48" i="14"/>
  <c r="H47" i="14"/>
  <c r="D47" i="14"/>
  <c r="B47" i="14"/>
  <c r="A47" i="14"/>
  <c r="H46" i="14"/>
  <c r="D46" i="14"/>
  <c r="B46" i="14"/>
  <c r="A46" i="14"/>
  <c r="H45" i="14"/>
  <c r="D45" i="14"/>
  <c r="B45" i="14"/>
  <c r="A45" i="14"/>
  <c r="H44" i="14"/>
  <c r="D44" i="14"/>
  <c r="B44" i="14"/>
  <c r="A44" i="14"/>
  <c r="H43" i="14"/>
  <c r="D43" i="14"/>
  <c r="B43" i="14"/>
  <c r="A43" i="14"/>
  <c r="H42" i="14"/>
  <c r="D42" i="14"/>
  <c r="B42" i="14"/>
  <c r="A42" i="14"/>
  <c r="H41" i="14"/>
  <c r="D41" i="14"/>
  <c r="B41" i="14"/>
  <c r="A41" i="14"/>
  <c r="H40" i="14"/>
  <c r="D40" i="14"/>
  <c r="B40" i="14"/>
  <c r="A40" i="14"/>
  <c r="H39" i="14"/>
  <c r="D39" i="14"/>
  <c r="B39" i="14"/>
  <c r="A39" i="14"/>
  <c r="H38" i="14"/>
  <c r="D38" i="14"/>
  <c r="B38" i="14"/>
  <c r="A38" i="14"/>
  <c r="C25" i="14"/>
  <c r="C24" i="14"/>
  <c r="C23" i="14"/>
  <c r="C22" i="14"/>
  <c r="C21" i="14"/>
  <c r="C20" i="14"/>
  <c r="C19" i="14"/>
  <c r="C18" i="14"/>
  <c r="C17" i="14"/>
  <c r="C16" i="14"/>
  <c r="C15" i="14"/>
  <c r="C14" i="14"/>
  <c r="C13" i="14"/>
  <c r="C10" i="14"/>
  <c r="F8" i="14"/>
  <c r="B8" i="14"/>
  <c r="B7" i="14"/>
  <c r="F6" i="14"/>
  <c r="B6" i="14"/>
  <c r="F5" i="14"/>
  <c r="B5" i="14"/>
  <c r="H1" i="14"/>
  <c r="H300" i="10"/>
  <c r="G300" i="10"/>
  <c r="F300" i="10"/>
  <c r="E300" i="10"/>
  <c r="D300" i="10"/>
  <c r="C300" i="10"/>
  <c r="A300" i="10"/>
  <c r="B296" i="10"/>
  <c r="B285" i="10"/>
  <c r="B271" i="10"/>
  <c r="H268" i="10"/>
  <c r="G268" i="10"/>
  <c r="F268" i="10"/>
  <c r="E268" i="10"/>
  <c r="D268" i="10"/>
  <c r="C268" i="10"/>
  <c r="A268" i="10"/>
  <c r="H258" i="10"/>
  <c r="G258" i="10"/>
  <c r="F258" i="10"/>
  <c r="E258" i="10"/>
  <c r="D258" i="10"/>
  <c r="C258" i="10"/>
  <c r="A258" i="10"/>
  <c r="B254" i="10"/>
  <c r="H253" i="10"/>
  <c r="G253" i="10"/>
  <c r="F253" i="10"/>
  <c r="E253" i="10"/>
  <c r="D253" i="10"/>
  <c r="C253" i="10"/>
  <c r="A253" i="10"/>
  <c r="B252" i="10"/>
  <c r="H247" i="10"/>
  <c r="G247" i="10"/>
  <c r="F247" i="10"/>
  <c r="E247" i="10"/>
  <c r="D247" i="10"/>
  <c r="C247" i="10"/>
  <c r="A247" i="10"/>
  <c r="H244" i="10"/>
  <c r="G244" i="10"/>
  <c r="F244" i="10"/>
  <c r="E244" i="10"/>
  <c r="D244" i="10"/>
  <c r="C244" i="10"/>
  <c r="A244" i="10"/>
  <c r="B238" i="10"/>
  <c r="B228" i="10"/>
  <c r="H223" i="10"/>
  <c r="G223" i="10"/>
  <c r="F223" i="10"/>
  <c r="E223" i="10"/>
  <c r="D223" i="10"/>
  <c r="C223" i="10"/>
  <c r="A223" i="10"/>
  <c r="H217" i="10"/>
  <c r="G217" i="10"/>
  <c r="F217" i="10"/>
  <c r="E217" i="10"/>
  <c r="D217" i="10"/>
  <c r="C217" i="10"/>
  <c r="A217" i="10"/>
  <c r="B212" i="10"/>
  <c r="H205" i="10"/>
  <c r="G205" i="10"/>
  <c r="F205" i="10"/>
  <c r="E205" i="10"/>
  <c r="D205" i="10"/>
  <c r="C205" i="10"/>
  <c r="A205" i="10"/>
  <c r="B199" i="10"/>
  <c r="H192" i="10"/>
  <c r="G192" i="10"/>
  <c r="F192" i="10"/>
  <c r="E192" i="10"/>
  <c r="D192" i="10"/>
  <c r="C192" i="10"/>
  <c r="A192" i="10"/>
  <c r="B187" i="10"/>
  <c r="H178" i="10"/>
  <c r="G178" i="10"/>
  <c r="F178" i="10"/>
  <c r="E178" i="10"/>
  <c r="D178" i="10"/>
  <c r="C178" i="10"/>
  <c r="A178" i="10"/>
  <c r="B174" i="10"/>
  <c r="B165" i="10"/>
  <c r="H158" i="10"/>
  <c r="G158" i="10"/>
  <c r="F158" i="10"/>
  <c r="E158" i="10"/>
  <c r="D158" i="10"/>
  <c r="C158" i="10"/>
  <c r="A158" i="10"/>
  <c r="H155" i="10"/>
  <c r="G155" i="10"/>
  <c r="F155" i="10"/>
  <c r="E155" i="10"/>
  <c r="D155" i="10"/>
  <c r="C155" i="10"/>
  <c r="A155" i="10"/>
  <c r="B152" i="10"/>
  <c r="B143" i="10"/>
  <c r="B134" i="10"/>
  <c r="H126" i="10"/>
  <c r="G126" i="10"/>
  <c r="F126" i="10"/>
  <c r="E126" i="10"/>
  <c r="D126" i="10"/>
  <c r="C126" i="10"/>
  <c r="A126" i="10"/>
  <c r="B123" i="10"/>
  <c r="B113" i="10"/>
  <c r="H110" i="10"/>
  <c r="G110" i="10"/>
  <c r="F110" i="10"/>
  <c r="E110" i="10"/>
  <c r="D110" i="10"/>
  <c r="C110" i="10"/>
  <c r="A110" i="10"/>
  <c r="B102" i="10"/>
  <c r="H97" i="10"/>
  <c r="G97" i="10"/>
  <c r="F97" i="10"/>
  <c r="E97" i="10"/>
  <c r="D97" i="10"/>
  <c r="C97" i="10"/>
  <c r="A97" i="10"/>
  <c r="B91" i="10"/>
  <c r="B82" i="10"/>
  <c r="H79" i="10"/>
  <c r="G79" i="10"/>
  <c r="F79" i="10"/>
  <c r="E79" i="10"/>
  <c r="D79" i="10"/>
  <c r="C79" i="10"/>
  <c r="A79" i="10"/>
  <c r="B72" i="10"/>
  <c r="B64" i="10"/>
  <c r="H61" i="10"/>
  <c r="G61" i="10"/>
  <c r="F61" i="10"/>
  <c r="E61" i="10"/>
  <c r="D61" i="10"/>
  <c r="C61" i="10"/>
  <c r="A61" i="10"/>
  <c r="B54" i="10"/>
  <c r="B53" i="10"/>
  <c r="B52" i="10"/>
  <c r="H51" i="10"/>
  <c r="G51" i="10"/>
  <c r="F51" i="10"/>
  <c r="E51" i="10"/>
  <c r="D51" i="10"/>
  <c r="C51" i="10"/>
  <c r="A51" i="10"/>
  <c r="H46" i="10"/>
  <c r="G46" i="10"/>
  <c r="F46" i="10"/>
  <c r="E46" i="10"/>
  <c r="D46" i="10"/>
  <c r="C46" i="10"/>
  <c r="A46" i="10"/>
  <c r="B45" i="10"/>
  <c r="B44" i="10"/>
  <c r="B43" i="10"/>
  <c r="B42" i="10"/>
  <c r="B41" i="10"/>
  <c r="B40" i="10"/>
  <c r="B39" i="10"/>
  <c r="H38" i="10"/>
  <c r="G38" i="10"/>
  <c r="F38" i="10"/>
  <c r="E38" i="10"/>
  <c r="D38" i="10"/>
  <c r="C38" i="10"/>
  <c r="B37" i="10"/>
  <c r="B36" i="10"/>
  <c r="B35" i="10"/>
  <c r="B34" i="10"/>
  <c r="B33" i="10"/>
  <c r="B32" i="10"/>
  <c r="H31" i="10"/>
  <c r="G31" i="10"/>
  <c r="F31" i="10"/>
  <c r="E31" i="10"/>
  <c r="D31" i="10"/>
  <c r="C31" i="10"/>
  <c r="B30" i="10"/>
  <c r="B29" i="10"/>
  <c r="B28" i="10"/>
  <c r="B27" i="10"/>
  <c r="B26" i="10"/>
  <c r="B25" i="10"/>
  <c r="B24" i="10"/>
  <c r="A300" i="1"/>
  <c r="A268" i="1"/>
  <c r="E267" i="1"/>
  <c r="E265" i="1"/>
  <c r="E263" i="1"/>
  <c r="E262" i="1"/>
  <c r="E261" i="1"/>
  <c r="E260" i="1"/>
  <c r="E259" i="1"/>
  <c r="A258" i="1"/>
  <c r="E257" i="1"/>
  <c r="E256" i="1"/>
  <c r="E255" i="1"/>
  <c r="E254" i="1"/>
  <c r="A253" i="1"/>
  <c r="E252" i="1"/>
  <c r="E251" i="1"/>
  <c r="E250" i="1"/>
  <c r="E249" i="1"/>
  <c r="A247" i="1"/>
  <c r="E246" i="1"/>
  <c r="E245" i="1"/>
  <c r="A244" i="1"/>
  <c r="E243" i="1"/>
  <c r="E242" i="1"/>
  <c r="E241" i="1"/>
  <c r="E240" i="1"/>
  <c r="E239" i="1"/>
  <c r="E238" i="1"/>
  <c r="E237" i="1"/>
  <c r="E236" i="1"/>
  <c r="E235" i="1"/>
  <c r="E234" i="1"/>
  <c r="E233" i="1"/>
  <c r="E232" i="1"/>
  <c r="E231" i="1"/>
  <c r="E230" i="1"/>
  <c r="E229" i="1"/>
  <c r="E228" i="1"/>
  <c r="E227" i="1"/>
  <c r="E226" i="1"/>
  <c r="E225" i="1"/>
  <c r="E224" i="1"/>
  <c r="A223" i="1"/>
  <c r="E222" i="1"/>
  <c r="E221" i="1"/>
  <c r="E220" i="1"/>
  <c r="E219" i="1"/>
  <c r="E218" i="1"/>
  <c r="A217" i="1"/>
  <c r="E215" i="1"/>
  <c r="E214" i="1"/>
  <c r="E213" i="1"/>
  <c r="E212" i="1"/>
  <c r="E211" i="1"/>
  <c r="E210" i="1"/>
  <c r="E209" i="1"/>
  <c r="E208" i="1"/>
  <c r="A205" i="1"/>
  <c r="E204" i="1"/>
  <c r="E202" i="1"/>
  <c r="E201" i="1"/>
  <c r="E200" i="1"/>
  <c r="E199" i="1"/>
  <c r="E198" i="1"/>
  <c r="E197" i="1"/>
  <c r="E196" i="1"/>
  <c r="E194" i="1"/>
  <c r="E193" i="1"/>
  <c r="A192" i="1"/>
  <c r="E191" i="1"/>
  <c r="E190" i="1"/>
  <c r="E189" i="1"/>
  <c r="E188" i="1"/>
  <c r="E186" i="1"/>
  <c r="E185" i="1"/>
  <c r="E184" i="1"/>
  <c r="E183" i="1"/>
  <c r="E182" i="1"/>
  <c r="E181" i="1"/>
  <c r="E180" i="1"/>
  <c r="A178" i="1"/>
  <c r="E177" i="1"/>
  <c r="E174" i="1"/>
  <c r="E173" i="1"/>
  <c r="E172" i="1"/>
  <c r="E170" i="1"/>
  <c r="E169" i="1"/>
  <c r="E167" i="1"/>
  <c r="E166" i="1"/>
  <c r="E164" i="1"/>
  <c r="E163" i="1"/>
  <c r="E162" i="1"/>
  <c r="E161" i="1"/>
  <c r="E160" i="1"/>
  <c r="E159" i="1"/>
  <c r="A158" i="1"/>
  <c r="B267" i="18" s="1"/>
  <c r="E157" i="1"/>
  <c r="E156" i="1"/>
  <c r="A155" i="1"/>
  <c r="E154" i="1"/>
  <c r="E153" i="1"/>
  <c r="E152" i="1"/>
  <c r="E151" i="1"/>
  <c r="E150" i="1"/>
  <c r="E149" i="1"/>
  <c r="E148" i="1"/>
  <c r="E147" i="1"/>
  <c r="E146" i="1"/>
  <c r="E145" i="1"/>
  <c r="E144" i="1"/>
  <c r="E143" i="1"/>
  <c r="E141" i="1"/>
  <c r="E139" i="1"/>
  <c r="E138" i="1"/>
  <c r="E137" i="1"/>
  <c r="E136" i="1"/>
  <c r="E135" i="1"/>
  <c r="E134" i="1"/>
  <c r="E132" i="1"/>
  <c r="E131" i="1"/>
  <c r="E130" i="1"/>
  <c r="E129" i="1"/>
  <c r="E128" i="1"/>
  <c r="E127" i="1"/>
  <c r="A126" i="1"/>
  <c r="E125" i="1"/>
  <c r="E124" i="1"/>
  <c r="E123" i="1"/>
  <c r="E122" i="1"/>
  <c r="E121" i="1"/>
  <c r="E120" i="1"/>
  <c r="E119" i="1"/>
  <c r="E118" i="1"/>
  <c r="E117" i="1"/>
  <c r="E114" i="1"/>
  <c r="E113" i="1"/>
  <c r="E111" i="1"/>
  <c r="A110" i="1"/>
  <c r="E109" i="1"/>
  <c r="E108" i="1"/>
  <c r="E107" i="1"/>
  <c r="E106" i="1"/>
  <c r="E105" i="1"/>
  <c r="E104" i="1"/>
  <c r="E103" i="1"/>
  <c r="E102" i="1"/>
  <c r="E101" i="1"/>
  <c r="E100" i="1"/>
  <c r="E99" i="1"/>
  <c r="A97" i="1"/>
  <c r="E94" i="1"/>
  <c r="E93" i="1"/>
  <c r="E92" i="1"/>
  <c r="E91" i="1"/>
  <c r="E90" i="1"/>
  <c r="E89" i="1"/>
  <c r="E88" i="1"/>
  <c r="E87" i="1"/>
  <c r="E86" i="1"/>
  <c r="E85" i="1"/>
  <c r="E84" i="1"/>
  <c r="E83" i="1"/>
  <c r="E82" i="1"/>
  <c r="E81" i="1"/>
  <c r="E80" i="1"/>
  <c r="A79" i="1"/>
  <c r="E75" i="1"/>
  <c r="E74" i="1"/>
  <c r="E72" i="1"/>
  <c r="E69" i="1"/>
  <c r="E67" i="1"/>
  <c r="E66" i="1"/>
  <c r="E65" i="1"/>
  <c r="E64" i="1"/>
  <c r="E63" i="1"/>
  <c r="E62" i="1"/>
  <c r="A61" i="1"/>
  <c r="B133" i="10" s="1"/>
  <c r="E60" i="1"/>
  <c r="E59" i="1"/>
  <c r="E58" i="1"/>
  <c r="E57" i="1"/>
  <c r="E56" i="1"/>
  <c r="E55" i="1"/>
  <c r="E54" i="1"/>
  <c r="E53" i="1"/>
  <c r="E52" i="1"/>
  <c r="A51" i="1"/>
  <c r="B179" i="18" s="1"/>
  <c r="A46" i="1"/>
  <c r="B81" i="18" s="1"/>
  <c r="E44" i="1"/>
  <c r="E43" i="1"/>
  <c r="E42" i="1"/>
  <c r="E41" i="1"/>
  <c r="E37" i="1"/>
  <c r="E36" i="1"/>
  <c r="E35" i="1"/>
  <c r="E34" i="1"/>
  <c r="E33" i="1"/>
  <c r="E32" i="1"/>
  <c r="E30" i="1"/>
  <c r="E29" i="1"/>
  <c r="E28" i="1"/>
  <c r="E27" i="1"/>
  <c r="E26" i="1"/>
  <c r="E25" i="1"/>
  <c r="E24" i="1"/>
  <c r="B165" i="18" l="1"/>
  <c r="B200" i="18"/>
  <c r="B248" i="18"/>
  <c r="B55" i="10"/>
  <c r="B83" i="10"/>
  <c r="B124" i="10"/>
  <c r="B153" i="10"/>
  <c r="B175" i="10"/>
  <c r="B188" i="10"/>
  <c r="B200" i="10"/>
  <c r="B215" i="10"/>
  <c r="B229" i="10"/>
  <c r="B239" i="10"/>
  <c r="B257" i="10"/>
  <c r="B259" i="10"/>
  <c r="B272" i="10"/>
  <c r="B286" i="10"/>
  <c r="B297" i="10"/>
  <c r="B303" i="10"/>
  <c r="B56" i="18"/>
  <c r="B76" i="18"/>
  <c r="B91" i="18"/>
  <c r="B111" i="18"/>
  <c r="B116" i="18"/>
  <c r="B131" i="18"/>
  <c r="B147" i="18"/>
  <c r="B166" i="18"/>
  <c r="B181" i="18"/>
  <c r="B186" i="18"/>
  <c r="B201" i="18"/>
  <c r="B216" i="18"/>
  <c r="B224" i="18"/>
  <c r="B235" i="18"/>
  <c r="B240" i="18"/>
  <c r="B249" i="18"/>
  <c r="B272" i="18"/>
  <c r="B288" i="18"/>
  <c r="B308" i="18"/>
  <c r="B220" i="18"/>
  <c r="B293" i="18"/>
  <c r="B65" i="10"/>
  <c r="B92" i="10"/>
  <c r="B144" i="10"/>
  <c r="B74" i="10"/>
  <c r="B105" i="10"/>
  <c r="B127" i="10"/>
  <c r="B154" i="10"/>
  <c r="B179" i="10"/>
  <c r="B201" i="10"/>
  <c r="B230" i="10"/>
  <c r="B287" i="10"/>
  <c r="B57" i="18"/>
  <c r="B71" i="18"/>
  <c r="B77" i="18"/>
  <c r="B92" i="18"/>
  <c r="B107" i="18"/>
  <c r="B122" i="18"/>
  <c r="B142" i="18"/>
  <c r="B157" i="18"/>
  <c r="B161" i="18"/>
  <c r="B177" i="18"/>
  <c r="B196" i="18"/>
  <c r="B211" i="18"/>
  <c r="B230" i="18"/>
  <c r="B250" i="18"/>
  <c r="B254" i="18"/>
  <c r="B273" i="18"/>
  <c r="B289" i="18"/>
  <c r="B303" i="18"/>
  <c r="N261" i="13"/>
  <c r="M260" i="13"/>
  <c r="S259" i="13"/>
  <c r="P258" i="13"/>
  <c r="M257" i="13"/>
  <c r="S255" i="13"/>
  <c r="R254" i="13"/>
  <c r="O253" i="13"/>
  <c r="M252" i="13"/>
  <c r="R251" i="13"/>
  <c r="O250" i="13"/>
  <c r="R248" i="13"/>
  <c r="O247" i="13"/>
  <c r="Q245" i="13"/>
  <c r="O244" i="13"/>
  <c r="Q242" i="13"/>
  <c r="N241" i="13"/>
  <c r="M240" i="13"/>
  <c r="R239" i="13"/>
  <c r="O238" i="13"/>
  <c r="R236" i="13"/>
  <c r="P235" i="13"/>
  <c r="M234" i="13"/>
  <c r="R233" i="13"/>
  <c r="P232" i="13"/>
  <c r="M231" i="13"/>
  <c r="R230" i="13"/>
  <c r="O229" i="13"/>
  <c r="M228" i="13"/>
  <c r="S227" i="13"/>
  <c r="P226" i="13"/>
  <c r="M225" i="13"/>
  <c r="S224" i="13"/>
  <c r="P223" i="13"/>
  <c r="M222" i="13"/>
  <c r="R221" i="13"/>
  <c r="P220" i="13"/>
  <c r="N219" i="13"/>
  <c r="S218" i="13"/>
  <c r="P217" i="13"/>
  <c r="O216" i="13"/>
  <c r="S214" i="13"/>
  <c r="P213" i="13"/>
  <c r="M261" i="13"/>
  <c r="R259" i="13"/>
  <c r="O258" i="13"/>
  <c r="S256" i="13"/>
  <c r="R255" i="13"/>
  <c r="Q254" i="13"/>
  <c r="N253" i="13"/>
  <c r="Q251" i="13"/>
  <c r="N250" i="13"/>
  <c r="S249" i="13"/>
  <c r="Q248" i="13"/>
  <c r="N247" i="13"/>
  <c r="S246" i="13"/>
  <c r="P245" i="13"/>
  <c r="N244" i="13"/>
  <c r="S243" i="13"/>
  <c r="P242" i="13"/>
  <c r="M241" i="13"/>
  <c r="Q239" i="13"/>
  <c r="N238" i="13"/>
  <c r="S237" i="13"/>
  <c r="Q236" i="13"/>
  <c r="O235" i="13"/>
  <c r="Q233" i="13"/>
  <c r="O232" i="13"/>
  <c r="Q230" i="13"/>
  <c r="N229" i="13"/>
  <c r="R227" i="13"/>
  <c r="O226" i="13"/>
  <c r="R224" i="13"/>
  <c r="O223" i="13"/>
  <c r="Q221" i="13"/>
  <c r="O220" i="13"/>
  <c r="M219" i="13"/>
  <c r="R218" i="13"/>
  <c r="O217" i="13"/>
  <c r="N216" i="13"/>
  <c r="S215" i="13"/>
  <c r="R214" i="13"/>
  <c r="O213" i="13"/>
  <c r="M212" i="13"/>
  <c r="S211" i="13"/>
  <c r="N210" i="13"/>
  <c r="S209" i="13"/>
  <c r="P208" i="13"/>
  <c r="N207" i="13"/>
  <c r="S260" i="13"/>
  <c r="Q259" i="13"/>
  <c r="N258" i="13"/>
  <c r="S257" i="13"/>
  <c r="R256" i="13"/>
  <c r="Q255" i="13"/>
  <c r="P254" i="13"/>
  <c r="M253" i="13"/>
  <c r="S252" i="13"/>
  <c r="P251" i="13"/>
  <c r="M250" i="13"/>
  <c r="R249" i="13"/>
  <c r="P248" i="13"/>
  <c r="M247" i="13"/>
  <c r="R246" i="13"/>
  <c r="O245" i="13"/>
  <c r="M244" i="13"/>
  <c r="R243" i="13"/>
  <c r="O242" i="13"/>
  <c r="S240" i="13"/>
  <c r="P239" i="13"/>
  <c r="M238" i="13"/>
  <c r="R237" i="13"/>
  <c r="P236" i="13"/>
  <c r="N235" i="13"/>
  <c r="S234" i="13"/>
  <c r="P233" i="13"/>
  <c r="N232" i="13"/>
  <c r="S231" i="13"/>
  <c r="P230" i="13"/>
  <c r="M229" i="13"/>
  <c r="S228" i="13"/>
  <c r="Q227" i="13"/>
  <c r="N226" i="13"/>
  <c r="S225" i="13"/>
  <c r="Q224" i="13"/>
  <c r="N223" i="13"/>
  <c r="S222" i="13"/>
  <c r="P221" i="13"/>
  <c r="N220" i="13"/>
  <c r="Q218" i="13"/>
  <c r="S261" i="13"/>
  <c r="R260" i="13"/>
  <c r="P259" i="13"/>
  <c r="M258" i="13"/>
  <c r="R257" i="13"/>
  <c r="Q256" i="13"/>
  <c r="P255" i="13"/>
  <c r="O254" i="13"/>
  <c r="R252" i="13"/>
  <c r="O251" i="13"/>
  <c r="Q249" i="13"/>
  <c r="O248" i="13"/>
  <c r="Q246" i="13"/>
  <c r="N245" i="13"/>
  <c r="Q243" i="13"/>
  <c r="N242" i="13"/>
  <c r="S241" i="13"/>
  <c r="R240" i="13"/>
  <c r="O239" i="13"/>
  <c r="Q237" i="13"/>
  <c r="O236" i="13"/>
  <c r="M235" i="13"/>
  <c r="R234" i="13"/>
  <c r="O233" i="13"/>
  <c r="M232" i="13"/>
  <c r="R231" i="13"/>
  <c r="O230" i="13"/>
  <c r="R228" i="13"/>
  <c r="P227" i="13"/>
  <c r="M226" i="13"/>
  <c r="R225" i="13"/>
  <c r="P224" i="13"/>
  <c r="M223" i="13"/>
  <c r="R222" i="13"/>
  <c r="O221" i="13"/>
  <c r="M220" i="13"/>
  <c r="S219" i="13"/>
  <c r="P218" i="13"/>
  <c r="M217" i="13"/>
  <c r="Q215" i="13"/>
  <c r="P214" i="13"/>
  <c r="M213" i="13"/>
  <c r="S212" i="13"/>
  <c r="Q211" i="13"/>
  <c r="Q209" i="13"/>
  <c r="R261" i="13"/>
  <c r="Q260" i="13"/>
  <c r="O259" i="13"/>
  <c r="Q257" i="13"/>
  <c r="P256" i="13"/>
  <c r="O255" i="13"/>
  <c r="N254" i="13"/>
  <c r="S253" i="13"/>
  <c r="Q252" i="13"/>
  <c r="N251" i="13"/>
  <c r="S250" i="13"/>
  <c r="P249" i="13"/>
  <c r="N248" i="13"/>
  <c r="S247" i="13"/>
  <c r="P246" i="13"/>
  <c r="M245" i="13"/>
  <c r="S244" i="13"/>
  <c r="P243" i="13"/>
  <c r="M242" i="13"/>
  <c r="R241" i="13"/>
  <c r="Q240" i="13"/>
  <c r="N239" i="13"/>
  <c r="S238" i="13"/>
  <c r="P237" i="13"/>
  <c r="N236" i="13"/>
  <c r="Q234" i="13"/>
  <c r="N233" i="13"/>
  <c r="Q231" i="13"/>
  <c r="N230" i="13"/>
  <c r="S229" i="13"/>
  <c r="Q228" i="13"/>
  <c r="O227" i="13"/>
  <c r="Q225" i="13"/>
  <c r="O224" i="13"/>
  <c r="Q222" i="13"/>
  <c r="N221" i="13"/>
  <c r="R219" i="13"/>
  <c r="O218" i="13"/>
  <c r="S216" i="13"/>
  <c r="P215" i="13"/>
  <c r="O214" i="13"/>
  <c r="R212" i="13"/>
  <c r="P211" i="13"/>
  <c r="S210" i="13"/>
  <c r="P209" i="13"/>
  <c r="Q261" i="13"/>
  <c r="P260" i="13"/>
  <c r="N259" i="13"/>
  <c r="S258" i="13"/>
  <c r="P257" i="13"/>
  <c r="O256" i="13"/>
  <c r="N255" i="13"/>
  <c r="M254" i="13"/>
  <c r="R253" i="13"/>
  <c r="P252" i="13"/>
  <c r="M251" i="13"/>
  <c r="R250" i="13"/>
  <c r="O249" i="13"/>
  <c r="M248" i="13"/>
  <c r="R247" i="13"/>
  <c r="O246" i="13"/>
  <c r="R244" i="13"/>
  <c r="O243" i="13"/>
  <c r="Q241" i="13"/>
  <c r="P240" i="13"/>
  <c r="M239" i="13"/>
  <c r="R238" i="13"/>
  <c r="O237" i="13"/>
  <c r="M236" i="13"/>
  <c r="S235" i="13"/>
  <c r="P234" i="13"/>
  <c r="M233" i="13"/>
  <c r="S232" i="13"/>
  <c r="P231" i="13"/>
  <c r="M230" i="13"/>
  <c r="R229" i="13"/>
  <c r="P228" i="13"/>
  <c r="N227" i="13"/>
  <c r="S226" i="13"/>
  <c r="P225" i="13"/>
  <c r="N224" i="13"/>
  <c r="S223" i="13"/>
  <c r="P222" i="13"/>
  <c r="M221" i="13"/>
  <c r="S220" i="13"/>
  <c r="Q219" i="13"/>
  <c r="N218" i="13"/>
  <c r="P261" i="13"/>
  <c r="O260" i="13"/>
  <c r="M259" i="13"/>
  <c r="R258" i="13"/>
  <c r="O257" i="13"/>
  <c r="N256" i="13"/>
  <c r="M255" i="13"/>
  <c r="Q253" i="13"/>
  <c r="O252" i="13"/>
  <c r="Q250" i="13"/>
  <c r="N249" i="13"/>
  <c r="Q247" i="13"/>
  <c r="N246" i="13"/>
  <c r="S245" i="13"/>
  <c r="Q244" i="13"/>
  <c r="N243" i="13"/>
  <c r="S242" i="13"/>
  <c r="P241" i="13"/>
  <c r="O240" i="13"/>
  <c r="Q238" i="13"/>
  <c r="N237" i="13"/>
  <c r="R235" i="13"/>
  <c r="O234" i="13"/>
  <c r="R232" i="13"/>
  <c r="O231" i="13"/>
  <c r="Q229" i="13"/>
  <c r="O228" i="13"/>
  <c r="M227" i="13"/>
  <c r="R226" i="13"/>
  <c r="O225" i="13"/>
  <c r="M224" i="13"/>
  <c r="R223" i="13"/>
  <c r="O222" i="13"/>
  <c r="R220" i="13"/>
  <c r="P219" i="13"/>
  <c r="M218" i="13"/>
  <c r="R217" i="13"/>
  <c r="Q216" i="13"/>
  <c r="N215" i="13"/>
  <c r="M214" i="13"/>
  <c r="R213" i="13"/>
  <c r="P212" i="13"/>
  <c r="N211" i="13"/>
  <c r="Q210" i="13"/>
  <c r="O261" i="13"/>
  <c r="N260" i="13"/>
  <c r="Q258" i="13"/>
  <c r="N257" i="13"/>
  <c r="M256" i="13"/>
  <c r="S254" i="13"/>
  <c r="P253" i="13"/>
  <c r="N252" i="13"/>
  <c r="S251" i="13"/>
  <c r="P250" i="13"/>
  <c r="M249" i="13"/>
  <c r="S248" i="13"/>
  <c r="P247" i="13"/>
  <c r="M246" i="13"/>
  <c r="R245" i="13"/>
  <c r="P244" i="13"/>
  <c r="M243" i="13"/>
  <c r="R242" i="13"/>
  <c r="O241" i="13"/>
  <c r="N240" i="13"/>
  <c r="S239" i="13"/>
  <c r="P238" i="13"/>
  <c r="M237" i="13"/>
  <c r="S236" i="13"/>
  <c r="Q235" i="13"/>
  <c r="N234" i="13"/>
  <c r="S233" i="13"/>
  <c r="Q232" i="13"/>
  <c r="N231" i="13"/>
  <c r="S230" i="13"/>
  <c r="P229" i="13"/>
  <c r="N228" i="13"/>
  <c r="Q226" i="13"/>
  <c r="N225" i="13"/>
  <c r="Q223" i="13"/>
  <c r="N222" i="13"/>
  <c r="S221" i="13"/>
  <c r="Q220" i="13"/>
  <c r="O219" i="13"/>
  <c r="Q217" i="13"/>
  <c r="P216" i="13"/>
  <c r="M215" i="13"/>
  <c r="Q213" i="13"/>
  <c r="M216" i="13"/>
  <c r="R210" i="13"/>
  <c r="R209" i="13"/>
  <c r="R208" i="13"/>
  <c r="M207" i="13"/>
  <c r="R206" i="13"/>
  <c r="O205" i="13"/>
  <c r="R203" i="13"/>
  <c r="P202" i="13"/>
  <c r="M201" i="13"/>
  <c r="R199" i="13"/>
  <c r="O198" i="13"/>
  <c r="Q196" i="13"/>
  <c r="O195" i="13"/>
  <c r="M194" i="13"/>
  <c r="R193" i="13"/>
  <c r="O192" i="13"/>
  <c r="M191" i="13"/>
  <c r="R190" i="13"/>
  <c r="O189" i="13"/>
  <c r="R187" i="13"/>
  <c r="P186" i="13"/>
  <c r="M184" i="13"/>
  <c r="R183" i="13"/>
  <c r="O182" i="13"/>
  <c r="M181" i="13"/>
  <c r="R180" i="13"/>
  <c r="O179" i="13"/>
  <c r="R177" i="13"/>
  <c r="P176" i="13"/>
  <c r="M175" i="13"/>
  <c r="R174" i="13"/>
  <c r="P173" i="13"/>
  <c r="O172" i="13"/>
  <c r="Q170" i="13"/>
  <c r="P169" i="13"/>
  <c r="N168" i="13"/>
  <c r="S167" i="13"/>
  <c r="P166" i="13"/>
  <c r="N165" i="13"/>
  <c r="S164" i="13"/>
  <c r="R163" i="13"/>
  <c r="Q162" i="13"/>
  <c r="O161" i="13"/>
  <c r="S160" i="13"/>
  <c r="Q159" i="13"/>
  <c r="N158" i="13"/>
  <c r="S157" i="13"/>
  <c r="Q214" i="13"/>
  <c r="P210" i="13"/>
  <c r="O209" i="13"/>
  <c r="Q208" i="13"/>
  <c r="Q206" i="13"/>
  <c r="N205" i="13"/>
  <c r="S204" i="13"/>
  <c r="Q203" i="13"/>
  <c r="O202" i="13"/>
  <c r="S200" i="13"/>
  <c r="Q199" i="13"/>
  <c r="N198" i="13"/>
  <c r="S197" i="13"/>
  <c r="P196" i="13"/>
  <c r="N195" i="13"/>
  <c r="Q193" i="13"/>
  <c r="N192" i="13"/>
  <c r="Q190" i="13"/>
  <c r="N189" i="13"/>
  <c r="S188" i="13"/>
  <c r="Q187" i="13"/>
  <c r="O186" i="13"/>
  <c r="Q183" i="13"/>
  <c r="N182" i="13"/>
  <c r="Q180" i="13"/>
  <c r="N179" i="13"/>
  <c r="S178" i="13"/>
  <c r="Q177" i="13"/>
  <c r="O176" i="13"/>
  <c r="Q174" i="13"/>
  <c r="O173" i="13"/>
  <c r="N172" i="13"/>
  <c r="S171" i="13"/>
  <c r="P170" i="13"/>
  <c r="O169" i="13"/>
  <c r="M168" i="13"/>
  <c r="R167" i="13"/>
  <c r="O166" i="13"/>
  <c r="M165" i="13"/>
  <c r="R164" i="13"/>
  <c r="Q163" i="13"/>
  <c r="P162" i="13"/>
  <c r="N161" i="13"/>
  <c r="R160" i="13"/>
  <c r="P159" i="13"/>
  <c r="M158" i="13"/>
  <c r="R157" i="13"/>
  <c r="N214" i="13"/>
  <c r="O210" i="13"/>
  <c r="N209" i="13"/>
  <c r="O208" i="13"/>
  <c r="P206" i="13"/>
  <c r="M205" i="13"/>
  <c r="R204" i="13"/>
  <c r="P203" i="13"/>
  <c r="N202" i="13"/>
  <c r="S201" i="13"/>
  <c r="R200" i="13"/>
  <c r="P199" i="13"/>
  <c r="M198" i="13"/>
  <c r="R197" i="13"/>
  <c r="O196" i="13"/>
  <c r="M195" i="13"/>
  <c r="S194" i="13"/>
  <c r="P193" i="13"/>
  <c r="M192" i="13"/>
  <c r="S191" i="13"/>
  <c r="P190" i="13"/>
  <c r="M189" i="13"/>
  <c r="R188" i="13"/>
  <c r="P187" i="13"/>
  <c r="N186" i="13"/>
  <c r="S185" i="13"/>
  <c r="S184" i="13"/>
  <c r="P183" i="13"/>
  <c r="M182" i="13"/>
  <c r="S181" i="13"/>
  <c r="P180" i="13"/>
  <c r="M179" i="13"/>
  <c r="R178" i="13"/>
  <c r="P177" i="13"/>
  <c r="N176" i="13"/>
  <c r="S175" i="13"/>
  <c r="P174" i="13"/>
  <c r="N173" i="13"/>
  <c r="M172" i="13"/>
  <c r="R171" i="13"/>
  <c r="O170" i="13"/>
  <c r="N169" i="13"/>
  <c r="Q167" i="13"/>
  <c r="S217" i="13"/>
  <c r="R215" i="13"/>
  <c r="R211" i="13"/>
  <c r="M210" i="13"/>
  <c r="M209" i="13"/>
  <c r="N208" i="13"/>
  <c r="S207" i="13"/>
  <c r="O206" i="13"/>
  <c r="Q204" i="13"/>
  <c r="O203" i="13"/>
  <c r="M202" i="13"/>
  <c r="R201" i="13"/>
  <c r="Q200" i="13"/>
  <c r="O199" i="13"/>
  <c r="Q197" i="13"/>
  <c r="N196" i="13"/>
  <c r="R194" i="13"/>
  <c r="O193" i="13"/>
  <c r="R191" i="13"/>
  <c r="O190" i="13"/>
  <c r="Q188" i="13"/>
  <c r="O187" i="13"/>
  <c r="M186" i="13"/>
  <c r="R184" i="13"/>
  <c r="O183" i="13"/>
  <c r="R181" i="13"/>
  <c r="O180" i="13"/>
  <c r="Q178" i="13"/>
  <c r="O177" i="13"/>
  <c r="M176" i="13"/>
  <c r="R175" i="13"/>
  <c r="O174" i="13"/>
  <c r="M173" i="13"/>
  <c r="Q171" i="13"/>
  <c r="N170" i="13"/>
  <c r="M169" i="13"/>
  <c r="S168" i="13"/>
  <c r="P167" i="13"/>
  <c r="M166" i="13"/>
  <c r="S165" i="13"/>
  <c r="P164" i="13"/>
  <c r="O163" i="13"/>
  <c r="N162" i="13"/>
  <c r="P160" i="13"/>
  <c r="N159" i="13"/>
  <c r="S158" i="13"/>
  <c r="P157" i="13"/>
  <c r="Q155" i="13"/>
  <c r="O154" i="13"/>
  <c r="S153" i="13"/>
  <c r="N217" i="13"/>
  <c r="O215" i="13"/>
  <c r="Q212" i="13"/>
  <c r="O211" i="13"/>
  <c r="M208" i="13"/>
  <c r="R207" i="13"/>
  <c r="N206" i="13"/>
  <c r="S205" i="13"/>
  <c r="P204" i="13"/>
  <c r="N203" i="13"/>
  <c r="Q201" i="13"/>
  <c r="P200" i="13"/>
  <c r="N199" i="13"/>
  <c r="S198" i="13"/>
  <c r="P197" i="13"/>
  <c r="M196" i="13"/>
  <c r="S195" i="13"/>
  <c r="Q194" i="13"/>
  <c r="N193" i="13"/>
  <c r="S192" i="13"/>
  <c r="Q191" i="13"/>
  <c r="N190" i="13"/>
  <c r="S189" i="13"/>
  <c r="P188" i="13"/>
  <c r="N187" i="13"/>
  <c r="Q184" i="13"/>
  <c r="N183" i="13"/>
  <c r="S182" i="13"/>
  <c r="Q181" i="13"/>
  <c r="N180" i="13"/>
  <c r="S179" i="13"/>
  <c r="P178" i="13"/>
  <c r="N177" i="13"/>
  <c r="Q175" i="13"/>
  <c r="N174" i="13"/>
  <c r="S172" i="13"/>
  <c r="P171" i="13"/>
  <c r="M170" i="13"/>
  <c r="R168" i="13"/>
  <c r="O167" i="13"/>
  <c r="R165" i="13"/>
  <c r="O164" i="13"/>
  <c r="N163" i="13"/>
  <c r="M162" i="13"/>
  <c r="S161" i="13"/>
  <c r="O160" i="13"/>
  <c r="M159" i="13"/>
  <c r="R158" i="13"/>
  <c r="O157" i="13"/>
  <c r="S156" i="13"/>
  <c r="P155" i="13"/>
  <c r="N154" i="13"/>
  <c r="R153" i="13"/>
  <c r="Q152" i="13"/>
  <c r="M151" i="13"/>
  <c r="Q150" i="13"/>
  <c r="O149" i="13"/>
  <c r="M148" i="13"/>
  <c r="P147" i="13"/>
  <c r="M146" i="13"/>
  <c r="R144" i="13"/>
  <c r="N143" i="13"/>
  <c r="R142" i="13"/>
  <c r="O141" i="13"/>
  <c r="M140" i="13"/>
  <c r="S139" i="13"/>
  <c r="P138" i="13"/>
  <c r="O137" i="13"/>
  <c r="M136" i="13"/>
  <c r="S134" i="13"/>
  <c r="O133" i="13"/>
  <c r="R131" i="13"/>
  <c r="Q130" i="13"/>
  <c r="S213" i="13"/>
  <c r="O212" i="13"/>
  <c r="M211" i="13"/>
  <c r="Q207" i="13"/>
  <c r="M206" i="13"/>
  <c r="R205" i="13"/>
  <c r="O204" i="13"/>
  <c r="M203" i="13"/>
  <c r="S202" i="13"/>
  <c r="P201" i="13"/>
  <c r="O200" i="13"/>
  <c r="M199" i="13"/>
  <c r="R198" i="13"/>
  <c r="O197" i="13"/>
  <c r="R195" i="13"/>
  <c r="P194" i="13"/>
  <c r="M193" i="13"/>
  <c r="R192" i="13"/>
  <c r="P191" i="13"/>
  <c r="M190" i="13"/>
  <c r="R189" i="13"/>
  <c r="O188" i="13"/>
  <c r="M187" i="13"/>
  <c r="S186" i="13"/>
  <c r="P184" i="13"/>
  <c r="M183" i="13"/>
  <c r="R182" i="13"/>
  <c r="P181" i="13"/>
  <c r="M180" i="13"/>
  <c r="R179" i="13"/>
  <c r="O178" i="13"/>
  <c r="M177" i="13"/>
  <c r="S176" i="13"/>
  <c r="P175" i="13"/>
  <c r="M174" i="13"/>
  <c r="S173" i="13"/>
  <c r="R172" i="13"/>
  <c r="O171" i="13"/>
  <c r="S169" i="13"/>
  <c r="Q168" i="13"/>
  <c r="N167" i="13"/>
  <c r="S166" i="13"/>
  <c r="N213" i="13"/>
  <c r="N212" i="13"/>
  <c r="P207" i="13"/>
  <c r="Q205" i="13"/>
  <c r="N204" i="13"/>
  <c r="R202" i="13"/>
  <c r="O201" i="13"/>
  <c r="N200" i="13"/>
  <c r="Q198" i="13"/>
  <c r="N197" i="13"/>
  <c r="S196" i="13"/>
  <c r="Q195" i="13"/>
  <c r="O194" i="13"/>
  <c r="Q192" i="13"/>
  <c r="O191" i="13"/>
  <c r="Q189" i="13"/>
  <c r="N188" i="13"/>
  <c r="R186" i="13"/>
  <c r="O184" i="13"/>
  <c r="Q182" i="13"/>
  <c r="O181" i="13"/>
  <c r="Q179" i="13"/>
  <c r="N178" i="13"/>
  <c r="R176" i="13"/>
  <c r="O175" i="13"/>
  <c r="R173" i="13"/>
  <c r="Q172" i="13"/>
  <c r="N171" i="13"/>
  <c r="S170" i="13"/>
  <c r="R169" i="13"/>
  <c r="P168" i="13"/>
  <c r="M167" i="13"/>
  <c r="R166" i="13"/>
  <c r="P165" i="13"/>
  <c r="M164" i="13"/>
  <c r="S162" i="13"/>
  <c r="Q161" i="13"/>
  <c r="M160" i="13"/>
  <c r="S159" i="13"/>
  <c r="P158" i="13"/>
  <c r="M157" i="13"/>
  <c r="M204" i="13"/>
  <c r="M197" i="13"/>
  <c r="P189" i="13"/>
  <c r="N184" i="13"/>
  <c r="Q173" i="13"/>
  <c r="O168" i="13"/>
  <c r="N164" i="13"/>
  <c r="R161" i="13"/>
  <c r="O158" i="13"/>
  <c r="N155" i="13"/>
  <c r="S154" i="13"/>
  <c r="P152" i="13"/>
  <c r="S151" i="13"/>
  <c r="M150" i="13"/>
  <c r="R149" i="13"/>
  <c r="N148" i="13"/>
  <c r="O147" i="13"/>
  <c r="S146" i="13"/>
  <c r="P145" i="13"/>
  <c r="M144" i="13"/>
  <c r="P143" i="13"/>
  <c r="S142" i="13"/>
  <c r="M141" i="13"/>
  <c r="R140" i="13"/>
  <c r="N139" i="13"/>
  <c r="R138" i="13"/>
  <c r="N137" i="13"/>
  <c r="S136" i="13"/>
  <c r="P135" i="13"/>
  <c r="M134" i="13"/>
  <c r="P133" i="13"/>
  <c r="S132" i="13"/>
  <c r="P131" i="13"/>
  <c r="M130" i="13"/>
  <c r="R129" i="13"/>
  <c r="R127" i="13"/>
  <c r="O126" i="13"/>
  <c r="S124" i="13"/>
  <c r="P123" i="13"/>
  <c r="M122" i="13"/>
  <c r="S121" i="13"/>
  <c r="Q120" i="13"/>
  <c r="N119" i="13"/>
  <c r="S118" i="13"/>
  <c r="Q117" i="13"/>
  <c r="N116" i="13"/>
  <c r="S115" i="13"/>
  <c r="P114" i="13"/>
  <c r="N113" i="13"/>
  <c r="Q111" i="13"/>
  <c r="N110" i="13"/>
  <c r="Q108" i="13"/>
  <c r="N107" i="13"/>
  <c r="S106" i="13"/>
  <c r="Q105" i="13"/>
  <c r="P104" i="13"/>
  <c r="M103" i="13"/>
  <c r="R101" i="13"/>
  <c r="M100" i="13"/>
  <c r="S206" i="13"/>
  <c r="S199" i="13"/>
  <c r="Q186" i="13"/>
  <c r="N181" i="13"/>
  <c r="P161" i="13"/>
  <c r="M155" i="13"/>
  <c r="R154" i="13"/>
  <c r="O152" i="13"/>
  <c r="R151" i="13"/>
  <c r="Q149" i="13"/>
  <c r="N147" i="13"/>
  <c r="R146" i="13"/>
  <c r="O145" i="13"/>
  <c r="O143" i="13"/>
  <c r="Q142" i="13"/>
  <c r="Q140" i="13"/>
  <c r="M139" i="13"/>
  <c r="Q138" i="13"/>
  <c r="M137" i="13"/>
  <c r="R136" i="13"/>
  <c r="O135" i="13"/>
  <c r="N133" i="13"/>
  <c r="R132" i="13"/>
  <c r="O131" i="13"/>
  <c r="Q129" i="13"/>
  <c r="Q127" i="13"/>
  <c r="N126" i="13"/>
  <c r="S125" i="13"/>
  <c r="R124" i="13"/>
  <c r="O123" i="13"/>
  <c r="R121" i="13"/>
  <c r="P120" i="13"/>
  <c r="M119" i="13"/>
  <c r="R118" i="13"/>
  <c r="P117" i="13"/>
  <c r="M116" i="13"/>
  <c r="R115" i="13"/>
  <c r="O114" i="13"/>
  <c r="M113" i="13"/>
  <c r="S112" i="13"/>
  <c r="P111" i="13"/>
  <c r="M110" i="13"/>
  <c r="S109" i="13"/>
  <c r="P108" i="13"/>
  <c r="M107" i="13"/>
  <c r="R106" i="13"/>
  <c r="N201" i="13"/>
  <c r="N194" i="13"/>
  <c r="S183" i="13"/>
  <c r="M178" i="13"/>
  <c r="R170" i="13"/>
  <c r="Q165" i="13"/>
  <c r="M161" i="13"/>
  <c r="R159" i="13"/>
  <c r="R156" i="13"/>
  <c r="Q154" i="13"/>
  <c r="Q153" i="13"/>
  <c r="N152" i="13"/>
  <c r="Q151" i="13"/>
  <c r="P149" i="13"/>
  <c r="M147" i="13"/>
  <c r="Q146" i="13"/>
  <c r="N145" i="13"/>
  <c r="M143" i="13"/>
  <c r="P142" i="13"/>
  <c r="P140" i="13"/>
  <c r="O138" i="13"/>
  <c r="Q136" i="13"/>
  <c r="N135" i="13"/>
  <c r="M133" i="13"/>
  <c r="Q132" i="13"/>
  <c r="N131" i="13"/>
  <c r="P129" i="13"/>
  <c r="S208" i="13"/>
  <c r="S203" i="13"/>
  <c r="R196" i="13"/>
  <c r="N191" i="13"/>
  <c r="S180" i="13"/>
  <c r="N175" i="13"/>
  <c r="P172" i="13"/>
  <c r="O165" i="13"/>
  <c r="R162" i="13"/>
  <c r="O159" i="13"/>
  <c r="Q156" i="13"/>
  <c r="P154" i="13"/>
  <c r="P153" i="13"/>
  <c r="M152" i="13"/>
  <c r="P151" i="13"/>
  <c r="S150" i="13"/>
  <c r="N149" i="13"/>
  <c r="S148" i="13"/>
  <c r="P146" i="13"/>
  <c r="M145" i="13"/>
  <c r="S144" i="13"/>
  <c r="O142" i="13"/>
  <c r="S141" i="13"/>
  <c r="O140" i="13"/>
  <c r="N138" i="13"/>
  <c r="P136" i="13"/>
  <c r="R216" i="13"/>
  <c r="P205" i="13"/>
  <c r="P198" i="13"/>
  <c r="S193" i="13"/>
  <c r="M188" i="13"/>
  <c r="S177" i="13"/>
  <c r="Q166" i="13"/>
  <c r="O162" i="13"/>
  <c r="Q157" i="13"/>
  <c r="P156" i="13"/>
  <c r="M154" i="13"/>
  <c r="O153" i="13"/>
  <c r="O151" i="13"/>
  <c r="R150" i="13"/>
  <c r="M149" i="13"/>
  <c r="R148" i="13"/>
  <c r="O146" i="13"/>
  <c r="Q144" i="13"/>
  <c r="N142" i="13"/>
  <c r="R141" i="13"/>
  <c r="N140" i="13"/>
  <c r="R139" i="13"/>
  <c r="M138" i="13"/>
  <c r="S137" i="13"/>
  <c r="O136" i="13"/>
  <c r="Q134" i="13"/>
  <c r="O132" i="13"/>
  <c r="R130" i="13"/>
  <c r="N129" i="13"/>
  <c r="N127" i="13"/>
  <c r="S126" i="13"/>
  <c r="P125" i="13"/>
  <c r="O124" i="13"/>
  <c r="Q122" i="13"/>
  <c r="O121" i="13"/>
  <c r="M120" i="13"/>
  <c r="R119" i="13"/>
  <c r="O118" i="13"/>
  <c r="M117" i="13"/>
  <c r="R116" i="13"/>
  <c r="O115" i="13"/>
  <c r="R113" i="13"/>
  <c r="P112" i="13"/>
  <c r="P182" i="13"/>
  <c r="S174" i="13"/>
  <c r="N166" i="13"/>
  <c r="S152" i="13"/>
  <c r="P150" i="13"/>
  <c r="R145" i="13"/>
  <c r="N144" i="13"/>
  <c r="M142" i="13"/>
  <c r="O139" i="13"/>
  <c r="N136" i="13"/>
  <c r="P132" i="13"/>
  <c r="Q131" i="13"/>
  <c r="N130" i="13"/>
  <c r="M125" i="13"/>
  <c r="Q124" i="13"/>
  <c r="R123" i="13"/>
  <c r="R122" i="13"/>
  <c r="O113" i="13"/>
  <c r="O112" i="13"/>
  <c r="S111" i="13"/>
  <c r="N109" i="13"/>
  <c r="R108" i="13"/>
  <c r="S107" i="13"/>
  <c r="P105" i="13"/>
  <c r="M104" i="13"/>
  <c r="Q103" i="13"/>
  <c r="N102" i="13"/>
  <c r="Q99" i="13"/>
  <c r="N98" i="13"/>
  <c r="S97" i="13"/>
  <c r="Q96" i="13"/>
  <c r="P95" i="13"/>
  <c r="M94" i="13"/>
  <c r="R93" i="13"/>
  <c r="P92" i="13"/>
  <c r="M91" i="13"/>
  <c r="R90" i="13"/>
  <c r="O89" i="13"/>
  <c r="M88" i="13"/>
  <c r="S87" i="13"/>
  <c r="P86" i="13"/>
  <c r="M85" i="13"/>
  <c r="S84" i="13"/>
  <c r="P83" i="13"/>
  <c r="M82" i="13"/>
  <c r="R81" i="13"/>
  <c r="P80" i="13"/>
  <c r="O79" i="13"/>
  <c r="S190" i="13"/>
  <c r="S163" i="13"/>
  <c r="Q160" i="13"/>
  <c r="N157" i="13"/>
  <c r="S155" i="13"/>
  <c r="R152" i="13"/>
  <c r="O150" i="13"/>
  <c r="Q145" i="13"/>
  <c r="R137" i="13"/>
  <c r="S133" i="13"/>
  <c r="N132" i="13"/>
  <c r="M131" i="13"/>
  <c r="P124" i="13"/>
  <c r="Q123" i="13"/>
  <c r="P122" i="13"/>
  <c r="N112" i="13"/>
  <c r="R111" i="13"/>
  <c r="S110" i="13"/>
  <c r="M109" i="13"/>
  <c r="O108" i="13"/>
  <c r="R107" i="13"/>
  <c r="O105" i="13"/>
  <c r="P103" i="13"/>
  <c r="M102" i="13"/>
  <c r="S101" i="13"/>
  <c r="P99" i="13"/>
  <c r="M98" i="13"/>
  <c r="R97" i="13"/>
  <c r="P96" i="13"/>
  <c r="O95" i="13"/>
  <c r="Q93" i="13"/>
  <c r="O92" i="13"/>
  <c r="Q90" i="13"/>
  <c r="N89" i="13"/>
  <c r="R87" i="13"/>
  <c r="O86" i="13"/>
  <c r="R84" i="13"/>
  <c r="O83" i="13"/>
  <c r="Q81" i="13"/>
  <c r="O80" i="13"/>
  <c r="N79" i="13"/>
  <c r="M78" i="13"/>
  <c r="R77" i="13"/>
  <c r="P76" i="13"/>
  <c r="P163" i="13"/>
  <c r="N160" i="13"/>
  <c r="R155" i="13"/>
  <c r="N153" i="13"/>
  <c r="N150" i="13"/>
  <c r="Q148" i="13"/>
  <c r="S143" i="13"/>
  <c r="S140" i="13"/>
  <c r="Q137" i="13"/>
  <c r="R133" i="13"/>
  <c r="M132" i="13"/>
  <c r="N124" i="13"/>
  <c r="N123" i="13"/>
  <c r="O122" i="13"/>
  <c r="Q121" i="13"/>
  <c r="S120" i="13"/>
  <c r="S119" i="13"/>
  <c r="M112" i="13"/>
  <c r="O111" i="13"/>
  <c r="R110" i="13"/>
  <c r="N108" i="13"/>
  <c r="Q107" i="13"/>
  <c r="N105" i="13"/>
  <c r="O103" i="13"/>
  <c r="Q101" i="13"/>
  <c r="S100" i="13"/>
  <c r="O99" i="13"/>
  <c r="Q97" i="13"/>
  <c r="O96" i="13"/>
  <c r="N95" i="13"/>
  <c r="S94" i="13"/>
  <c r="P93" i="13"/>
  <c r="N92" i="13"/>
  <c r="S91" i="13"/>
  <c r="P90" i="13"/>
  <c r="M89" i="13"/>
  <c r="S88" i="13"/>
  <c r="Q87" i="13"/>
  <c r="N86" i="13"/>
  <c r="S85" i="13"/>
  <c r="Q84" i="13"/>
  <c r="N83" i="13"/>
  <c r="S82" i="13"/>
  <c r="P81" i="13"/>
  <c r="N80" i="13"/>
  <c r="M79" i="13"/>
  <c r="O207" i="13"/>
  <c r="Q169" i="13"/>
  <c r="M163" i="13"/>
  <c r="O155" i="13"/>
  <c r="M153" i="13"/>
  <c r="P148" i="13"/>
  <c r="R143" i="13"/>
  <c r="Q141" i="13"/>
  <c r="P137" i="13"/>
  <c r="Q133" i="13"/>
  <c r="S127" i="13"/>
  <c r="M124" i="13"/>
  <c r="M123" i="13"/>
  <c r="N122" i="13"/>
  <c r="P121" i="13"/>
  <c r="R120" i="13"/>
  <c r="Q119" i="13"/>
  <c r="Q118" i="13"/>
  <c r="S117" i="13"/>
  <c r="S116" i="13"/>
  <c r="S114" i="13"/>
  <c r="N111" i="13"/>
  <c r="Q110" i="13"/>
  <c r="M108" i="13"/>
  <c r="P107" i="13"/>
  <c r="Q106" i="13"/>
  <c r="M105" i="13"/>
  <c r="S104" i="13"/>
  <c r="N103" i="13"/>
  <c r="S102" i="13"/>
  <c r="P101" i="13"/>
  <c r="R100" i="13"/>
  <c r="N99" i="13"/>
  <c r="S98" i="13"/>
  <c r="P97" i="13"/>
  <c r="N96" i="13"/>
  <c r="M95" i="13"/>
  <c r="R94" i="13"/>
  <c r="O93" i="13"/>
  <c r="M92" i="13"/>
  <c r="R91" i="13"/>
  <c r="O90" i="13"/>
  <c r="R88" i="13"/>
  <c r="P87" i="13"/>
  <c r="M86" i="13"/>
  <c r="R85" i="13"/>
  <c r="P84" i="13"/>
  <c r="M83" i="13"/>
  <c r="M200" i="13"/>
  <c r="Q176" i="13"/>
  <c r="O156" i="13"/>
  <c r="O148" i="13"/>
  <c r="N146" i="13"/>
  <c r="Q143" i="13"/>
  <c r="P141" i="13"/>
  <c r="S135" i="13"/>
  <c r="R134" i="13"/>
  <c r="P127" i="13"/>
  <c r="R126" i="13"/>
  <c r="R125" i="13"/>
  <c r="N121" i="13"/>
  <c r="O120" i="13"/>
  <c r="P119" i="13"/>
  <c r="P118" i="13"/>
  <c r="R117" i="13"/>
  <c r="Q116" i="13"/>
  <c r="Q115" i="13"/>
  <c r="R114" i="13"/>
  <c r="M111" i="13"/>
  <c r="P110" i="13"/>
  <c r="R109" i="13"/>
  <c r="O107" i="13"/>
  <c r="P106" i="13"/>
  <c r="R104" i="13"/>
  <c r="R102" i="13"/>
  <c r="O101" i="13"/>
  <c r="Q100" i="13"/>
  <c r="M99" i="13"/>
  <c r="R98" i="13"/>
  <c r="O97" i="13"/>
  <c r="M96" i="13"/>
  <c r="Q94" i="13"/>
  <c r="N93" i="13"/>
  <c r="Q91" i="13"/>
  <c r="N90" i="13"/>
  <c r="S89" i="13"/>
  <c r="Q88" i="13"/>
  <c r="P192" i="13"/>
  <c r="N156" i="13"/>
  <c r="Q202" i="13"/>
  <c r="P179" i="13"/>
  <c r="M156" i="13"/>
  <c r="S149" i="13"/>
  <c r="R147" i="13"/>
  <c r="P144" i="13"/>
  <c r="Q139" i="13"/>
  <c r="Q135" i="13"/>
  <c r="O134" i="13"/>
  <c r="P130" i="13"/>
  <c r="O129" i="13"/>
  <c r="M127" i="13"/>
  <c r="P126" i="13"/>
  <c r="O125" i="13"/>
  <c r="M118" i="13"/>
  <c r="N117" i="13"/>
  <c r="O116" i="13"/>
  <c r="N115" i="13"/>
  <c r="N114" i="13"/>
  <c r="Q113" i="13"/>
  <c r="R112" i="13"/>
  <c r="P109" i="13"/>
  <c r="N106" i="13"/>
  <c r="S105" i="13"/>
  <c r="O104" i="13"/>
  <c r="S103" i="13"/>
  <c r="P102" i="13"/>
  <c r="M101" i="13"/>
  <c r="O100" i="13"/>
  <c r="S99" i="13"/>
  <c r="M171" i="13"/>
  <c r="N151" i="13"/>
  <c r="P139" i="13"/>
  <c r="O130" i="13"/>
  <c r="O127" i="13"/>
  <c r="N125" i="13"/>
  <c r="S122" i="13"/>
  <c r="S96" i="13"/>
  <c r="R92" i="13"/>
  <c r="N91" i="13"/>
  <c r="P88" i="13"/>
  <c r="O87" i="13"/>
  <c r="Q78" i="13"/>
  <c r="Q76" i="13"/>
  <c r="O75" i="13"/>
  <c r="Q73" i="13"/>
  <c r="N72" i="13"/>
  <c r="Q70" i="13"/>
  <c r="N69" i="13"/>
  <c r="Q67" i="13"/>
  <c r="N66" i="13"/>
  <c r="S65" i="13"/>
  <c r="Q64" i="13"/>
  <c r="O63" i="13"/>
  <c r="N62" i="13"/>
  <c r="S61" i="13"/>
  <c r="R60" i="13"/>
  <c r="O59" i="13"/>
  <c r="S58" i="13"/>
  <c r="O57" i="13"/>
  <c r="P55" i="13"/>
  <c r="M54" i="13"/>
  <c r="S53" i="13"/>
  <c r="Q52" i="13"/>
  <c r="N51" i="13"/>
  <c r="S50" i="13"/>
  <c r="Q49" i="13"/>
  <c r="N48" i="13"/>
  <c r="S47" i="13"/>
  <c r="P46" i="13"/>
  <c r="N45" i="13"/>
  <c r="M44" i="13"/>
  <c r="S42" i="13"/>
  <c r="Q41" i="13"/>
  <c r="P40" i="13"/>
  <c r="O39" i="13"/>
  <c r="S37" i="13"/>
  <c r="R36" i="13"/>
  <c r="O35" i="13"/>
  <c r="S187" i="13"/>
  <c r="R135" i="13"/>
  <c r="P116" i="13"/>
  <c r="Q109" i="13"/>
  <c r="R99" i="13"/>
  <c r="R96" i="13"/>
  <c r="Q92" i="13"/>
  <c r="R89" i="13"/>
  <c r="O88" i="13"/>
  <c r="N87" i="13"/>
  <c r="R82" i="13"/>
  <c r="P78" i="13"/>
  <c r="O76" i="13"/>
  <c r="N75" i="13"/>
  <c r="S74" i="13"/>
  <c r="P73" i="13"/>
  <c r="M72" i="13"/>
  <c r="S71" i="13"/>
  <c r="P70" i="13"/>
  <c r="M69" i="13"/>
  <c r="S68" i="13"/>
  <c r="P67" i="13"/>
  <c r="M66" i="13"/>
  <c r="R65" i="13"/>
  <c r="P64" i="13"/>
  <c r="N63" i="13"/>
  <c r="M62" i="13"/>
  <c r="R61" i="13"/>
  <c r="Q60" i="13"/>
  <c r="N59" i="13"/>
  <c r="R58" i="13"/>
  <c r="N57" i="13"/>
  <c r="S56" i="13"/>
  <c r="O55" i="13"/>
  <c r="R53" i="13"/>
  <c r="P52" i="13"/>
  <c r="M51" i="13"/>
  <c r="R50" i="13"/>
  <c r="P49" i="13"/>
  <c r="M48" i="13"/>
  <c r="R47" i="13"/>
  <c r="O46" i="13"/>
  <c r="M45" i="13"/>
  <c r="S43" i="13"/>
  <c r="R42" i="13"/>
  <c r="P41" i="13"/>
  <c r="O40" i="13"/>
  <c r="N39" i="13"/>
  <c r="S38" i="13"/>
  <c r="R37" i="13"/>
  <c r="Q36" i="13"/>
  <c r="N35" i="13"/>
  <c r="M135" i="13"/>
  <c r="O119" i="13"/>
  <c r="S113" i="13"/>
  <c r="O109" i="13"/>
  <c r="R105" i="13"/>
  <c r="R103" i="13"/>
  <c r="N101" i="13"/>
  <c r="Q89" i="13"/>
  <c r="N88" i="13"/>
  <c r="M87" i="13"/>
  <c r="S83" i="13"/>
  <c r="Q82" i="13"/>
  <c r="O78" i="13"/>
  <c r="S77" i="13"/>
  <c r="N76" i="13"/>
  <c r="M75" i="13"/>
  <c r="R74" i="13"/>
  <c r="O73" i="13"/>
  <c r="R71" i="13"/>
  <c r="O70" i="13"/>
  <c r="R68" i="13"/>
  <c r="O67" i="13"/>
  <c r="Q65" i="13"/>
  <c r="O64" i="13"/>
  <c r="M63" i="13"/>
  <c r="Q61" i="13"/>
  <c r="P60" i="13"/>
  <c r="M59" i="13"/>
  <c r="Q58" i="13"/>
  <c r="M57" i="13"/>
  <c r="R56" i="13"/>
  <c r="N55" i="13"/>
  <c r="S54" i="13"/>
  <c r="Q53" i="13"/>
  <c r="O52" i="13"/>
  <c r="Q50" i="13"/>
  <c r="O49" i="13"/>
  <c r="Q47" i="13"/>
  <c r="N46" i="13"/>
  <c r="S44" i="13"/>
  <c r="R43" i="13"/>
  <c r="Q42" i="13"/>
  <c r="O41" i="13"/>
  <c r="N40" i="13"/>
  <c r="M39" i="13"/>
  <c r="R38" i="13"/>
  <c r="Q37" i="13"/>
  <c r="P36" i="13"/>
  <c r="M35" i="13"/>
  <c r="R33" i="13"/>
  <c r="O32" i="13"/>
  <c r="R30" i="13"/>
  <c r="P29" i="13"/>
  <c r="N28" i="13"/>
  <c r="Q27" i="13"/>
  <c r="N26" i="13"/>
  <c r="S25" i="13"/>
  <c r="Q24" i="13"/>
  <c r="O23" i="13"/>
  <c r="M22" i="13"/>
  <c r="S21" i="13"/>
  <c r="Q164" i="13"/>
  <c r="S145" i="13"/>
  <c r="N141" i="13"/>
  <c r="S138" i="13"/>
  <c r="S129" i="13"/>
  <c r="Q126" i="13"/>
  <c r="P115" i="13"/>
  <c r="P113" i="13"/>
  <c r="S93" i="13"/>
  <c r="P89" i="13"/>
  <c r="R83" i="13"/>
  <c r="P82" i="13"/>
  <c r="S81" i="13"/>
  <c r="S80" i="13"/>
  <c r="N78" i="13"/>
  <c r="Q77" i="13"/>
  <c r="M76" i="13"/>
  <c r="Q74" i="13"/>
  <c r="N73" i="13"/>
  <c r="S72" i="13"/>
  <c r="Q71" i="13"/>
  <c r="N70" i="13"/>
  <c r="S69" i="13"/>
  <c r="Q68" i="13"/>
  <c r="N67" i="13"/>
  <c r="S66" i="13"/>
  <c r="P65" i="13"/>
  <c r="N64" i="13"/>
  <c r="S62" i="13"/>
  <c r="P61" i="13"/>
  <c r="O60" i="13"/>
  <c r="P58" i="13"/>
  <c r="Q56" i="13"/>
  <c r="M55" i="13"/>
  <c r="R54" i="13"/>
  <c r="P53" i="13"/>
  <c r="N52" i="13"/>
  <c r="S51" i="13"/>
  <c r="P50" i="13"/>
  <c r="N49" i="13"/>
  <c r="S48" i="13"/>
  <c r="P47" i="13"/>
  <c r="M46" i="13"/>
  <c r="S45" i="13"/>
  <c r="R44" i="13"/>
  <c r="Q43" i="13"/>
  <c r="P42" i="13"/>
  <c r="Q158" i="13"/>
  <c r="M129" i="13"/>
  <c r="M126" i="13"/>
  <c r="M121" i="13"/>
  <c r="M115" i="13"/>
  <c r="P100" i="13"/>
  <c r="Q98" i="13"/>
  <c r="N97" i="13"/>
  <c r="P94" i="13"/>
  <c r="M93" i="13"/>
  <c r="Q85" i="13"/>
  <c r="Q83" i="13"/>
  <c r="O82" i="13"/>
  <c r="O81" i="13"/>
  <c r="R80" i="13"/>
  <c r="S79" i="13"/>
  <c r="P77" i="13"/>
  <c r="S75" i="13"/>
  <c r="P74" i="13"/>
  <c r="M73" i="13"/>
  <c r="R72" i="13"/>
  <c r="P71" i="13"/>
  <c r="M70" i="13"/>
  <c r="R69" i="13"/>
  <c r="P68" i="13"/>
  <c r="M67" i="13"/>
  <c r="R66" i="13"/>
  <c r="O65" i="13"/>
  <c r="M64" i="13"/>
  <c r="S63" i="13"/>
  <c r="R62" i="13"/>
  <c r="O61" i="13"/>
  <c r="N60" i="13"/>
  <c r="S59" i="13"/>
  <c r="O58" i="13"/>
  <c r="S57" i="13"/>
  <c r="P56" i="13"/>
  <c r="Q54" i="13"/>
  <c r="O53" i="13"/>
  <c r="M52" i="13"/>
  <c r="R51" i="13"/>
  <c r="O50" i="13"/>
  <c r="M49" i="13"/>
  <c r="R48" i="13"/>
  <c r="O47" i="13"/>
  <c r="R45" i="13"/>
  <c r="Q44" i="13"/>
  <c r="P43" i="13"/>
  <c r="O42" i="13"/>
  <c r="M41" i="13"/>
  <c r="P195" i="13"/>
  <c r="S147" i="13"/>
  <c r="P134" i="13"/>
  <c r="S131" i="13"/>
  <c r="N118" i="13"/>
  <c r="O106" i="13"/>
  <c r="Q104" i="13"/>
  <c r="Q102" i="13"/>
  <c r="N100" i="13"/>
  <c r="P98" i="13"/>
  <c r="M97" i="13"/>
  <c r="S95" i="13"/>
  <c r="O94" i="13"/>
  <c r="S90" i="13"/>
  <c r="S86" i="13"/>
  <c r="P85" i="13"/>
  <c r="O84" i="13"/>
  <c r="N82" i="13"/>
  <c r="N81" i="13"/>
  <c r="Q80" i="13"/>
  <c r="R79" i="13"/>
  <c r="O77" i="13"/>
  <c r="R75" i="13"/>
  <c r="O74" i="13"/>
  <c r="Q72" i="13"/>
  <c r="O71" i="13"/>
  <c r="Q69" i="13"/>
  <c r="O68" i="13"/>
  <c r="Q66" i="13"/>
  <c r="N65" i="13"/>
  <c r="R63" i="13"/>
  <c r="Q62" i="13"/>
  <c r="N61" i="13"/>
  <c r="M60" i="13"/>
  <c r="R59" i="13"/>
  <c r="N58" i="13"/>
  <c r="R57" i="13"/>
  <c r="O56" i="13"/>
  <c r="S55" i="13"/>
  <c r="P54" i="13"/>
  <c r="N53" i="13"/>
  <c r="Q51" i="13"/>
  <c r="N50" i="13"/>
  <c r="Q48" i="13"/>
  <c r="S130" i="13"/>
  <c r="Q112" i="13"/>
  <c r="N94" i="13"/>
  <c r="P91" i="13"/>
  <c r="P72" i="13"/>
  <c r="R67" i="13"/>
  <c r="M58" i="13"/>
  <c r="N56" i="13"/>
  <c r="N54" i="13"/>
  <c r="R52" i="13"/>
  <c r="N47" i="13"/>
  <c r="O43" i="13"/>
  <c r="N42" i="13"/>
  <c r="M38" i="13"/>
  <c r="O37" i="13"/>
  <c r="S35" i="13"/>
  <c r="Q33" i="13"/>
  <c r="P31" i="13"/>
  <c r="Q29" i="13"/>
  <c r="N27" i="13"/>
  <c r="R26" i="13"/>
  <c r="M25" i="13"/>
  <c r="S24" i="13"/>
  <c r="N23" i="13"/>
  <c r="S22" i="13"/>
  <c r="O21" i="13"/>
  <c r="M20" i="13"/>
  <c r="S17" i="13"/>
  <c r="R16" i="13"/>
  <c r="Q125" i="13"/>
  <c r="N120" i="13"/>
  <c r="Q114" i="13"/>
  <c r="S108" i="13"/>
  <c r="O91" i="13"/>
  <c r="O85" i="13"/>
  <c r="N74" i="13"/>
  <c r="O72" i="13"/>
  <c r="S70" i="13"/>
  <c r="Q63" i="13"/>
  <c r="S60" i="13"/>
  <c r="M56" i="13"/>
  <c r="P48" i="13"/>
  <c r="M47" i="13"/>
  <c r="P44" i="13"/>
  <c r="N43" i="13"/>
  <c r="M42" i="13"/>
  <c r="N37" i="13"/>
  <c r="S36" i="13"/>
  <c r="R35" i="13"/>
  <c r="S34" i="13"/>
  <c r="P33" i="13"/>
  <c r="O31" i="13"/>
  <c r="O29" i="13"/>
  <c r="M27" i="13"/>
  <c r="Q26" i="13"/>
  <c r="R24" i="13"/>
  <c r="M23" i="13"/>
  <c r="R22" i="13"/>
  <c r="N21" i="13"/>
  <c r="S19" i="13"/>
  <c r="S18" i="13"/>
  <c r="R17" i="13"/>
  <c r="Q16" i="13"/>
  <c r="O144" i="13"/>
  <c r="N134" i="13"/>
  <c r="M114" i="13"/>
  <c r="N85" i="13"/>
  <c r="Q79" i="13"/>
  <c r="M74" i="13"/>
  <c r="R70" i="13"/>
  <c r="M65" i="13"/>
  <c r="P63" i="13"/>
  <c r="Q57" i="13"/>
  <c r="R55" i="13"/>
  <c r="M50" i="13"/>
  <c r="O48" i="13"/>
  <c r="Q45" i="13"/>
  <c r="O44" i="13"/>
  <c r="M43" i="13"/>
  <c r="M37" i="13"/>
  <c r="O36" i="13"/>
  <c r="Q35" i="13"/>
  <c r="R34" i="13"/>
  <c r="O33" i="13"/>
  <c r="S32" i="13"/>
  <c r="N31" i="13"/>
  <c r="S30" i="13"/>
  <c r="N29" i="13"/>
  <c r="S28" i="13"/>
  <c r="P26" i="13"/>
  <c r="P24" i="13"/>
  <c r="Q22" i="13"/>
  <c r="M21" i="13"/>
  <c r="S20" i="13"/>
  <c r="R19" i="13"/>
  <c r="R18" i="13"/>
  <c r="Q17" i="13"/>
  <c r="P16" i="13"/>
  <c r="N104" i="13"/>
  <c r="P79" i="13"/>
  <c r="N77" i="13"/>
  <c r="Q75" i="13"/>
  <c r="P57" i="13"/>
  <c r="Q55" i="13"/>
  <c r="S46" i="13"/>
  <c r="P45" i="13"/>
  <c r="N44" i="13"/>
  <c r="S40" i="13"/>
  <c r="S39" i="13"/>
  <c r="N36" i="13"/>
  <c r="P35" i="13"/>
  <c r="Q34" i="13"/>
  <c r="N33" i="13"/>
  <c r="R32" i="13"/>
  <c r="M31" i="13"/>
  <c r="Q30" i="13"/>
  <c r="M29" i="13"/>
  <c r="R28" i="13"/>
  <c r="O26" i="13"/>
  <c r="R25" i="13"/>
  <c r="O24" i="13"/>
  <c r="P22" i="13"/>
  <c r="R20" i="13"/>
  <c r="Q19" i="13"/>
  <c r="Q18" i="13"/>
  <c r="P17" i="13"/>
  <c r="O16" i="13"/>
  <c r="Q147" i="13"/>
  <c r="S123" i="13"/>
  <c r="R95" i="13"/>
  <c r="M90" i="13"/>
  <c r="M77" i="13"/>
  <c r="P75" i="13"/>
  <c r="S73" i="13"/>
  <c r="N68" i="13"/>
  <c r="P66" i="13"/>
  <c r="S64" i="13"/>
  <c r="M61" i="13"/>
  <c r="Q59" i="13"/>
  <c r="P51" i="13"/>
  <c r="S49" i="13"/>
  <c r="R46" i="13"/>
  <c r="O45" i="13"/>
  <c r="S41" i="13"/>
  <c r="R40" i="13"/>
  <c r="R39" i="13"/>
  <c r="Q38" i="13"/>
  <c r="M36" i="13"/>
  <c r="P34" i="13"/>
  <c r="M33" i="13"/>
  <c r="Q32" i="13"/>
  <c r="P30" i="13"/>
  <c r="Q28" i="13"/>
  <c r="S27" i="13"/>
  <c r="M26" i="13"/>
  <c r="Q25" i="13"/>
  <c r="N24" i="13"/>
  <c r="S23" i="13"/>
  <c r="O22" i="13"/>
  <c r="Q20" i="13"/>
  <c r="P19" i="13"/>
  <c r="P18" i="13"/>
  <c r="O17" i="13"/>
  <c r="N16" i="13"/>
  <c r="O117" i="13"/>
  <c r="O110" i="13"/>
  <c r="Q95" i="13"/>
  <c r="S92" i="13"/>
  <c r="N84" i="13"/>
  <c r="M81" i="13"/>
  <c r="R73" i="13"/>
  <c r="M68" i="13"/>
  <c r="O66" i="13"/>
  <c r="R64" i="13"/>
  <c r="P59" i="13"/>
  <c r="M53" i="13"/>
  <c r="O51" i="13"/>
  <c r="R49" i="13"/>
  <c r="Q46" i="13"/>
  <c r="R41" i="13"/>
  <c r="Q40" i="13"/>
  <c r="Q39" i="13"/>
  <c r="P38" i="13"/>
  <c r="O34" i="13"/>
  <c r="P32" i="13"/>
  <c r="S31" i="13"/>
  <c r="O30" i="13"/>
  <c r="P28" i="13"/>
  <c r="R27" i="13"/>
  <c r="P25" i="13"/>
  <c r="M24" i="13"/>
  <c r="R23" i="13"/>
  <c r="N22" i="13"/>
  <c r="R21" i="13"/>
  <c r="P20" i="13"/>
  <c r="O19" i="13"/>
  <c r="O18" i="13"/>
  <c r="N17" i="13"/>
  <c r="M16" i="13"/>
  <c r="M106" i="13"/>
  <c r="O98" i="13"/>
  <c r="R86" i="13"/>
  <c r="M84" i="13"/>
  <c r="S78" i="13"/>
  <c r="S76" i="13"/>
  <c r="N71" i="13"/>
  <c r="P69" i="13"/>
  <c r="P62" i="13"/>
  <c r="N41" i="13"/>
  <c r="M40" i="13"/>
  <c r="P39" i="13"/>
  <c r="O38" i="13"/>
  <c r="N34" i="13"/>
  <c r="N32" i="13"/>
  <c r="R31" i="13"/>
  <c r="N30" i="13"/>
  <c r="S29" i="13"/>
  <c r="O28" i="13"/>
  <c r="P27" i="13"/>
  <c r="O25" i="13"/>
  <c r="Q23" i="13"/>
  <c r="Q21" i="13"/>
  <c r="O20" i="13"/>
  <c r="N19" i="13"/>
  <c r="N18" i="13"/>
  <c r="M17" i="13"/>
  <c r="O102" i="13"/>
  <c r="Q86" i="13"/>
  <c r="M80" i="13"/>
  <c r="R78" i="13"/>
  <c r="R76" i="13"/>
  <c r="M71" i="13"/>
  <c r="O69" i="13"/>
  <c r="S67" i="13"/>
  <c r="O62" i="13"/>
  <c r="O54" i="13"/>
  <c r="S52" i="13"/>
  <c r="N38" i="13"/>
  <c r="P37" i="13"/>
  <c r="M34" i="13"/>
  <c r="S33" i="13"/>
  <c r="M32" i="13"/>
  <c r="Q31" i="13"/>
  <c r="M30" i="13"/>
  <c r="R29" i="13"/>
  <c r="M28" i="13"/>
  <c r="O27" i="13"/>
  <c r="S26" i="13"/>
  <c r="N25" i="13"/>
  <c r="P23" i="13"/>
  <c r="P21" i="13"/>
  <c r="N20" i="13"/>
  <c r="M19" i="13"/>
  <c r="M18" i="13"/>
  <c r="S16" i="13"/>
  <c r="B180" i="18"/>
  <c r="B234" i="18"/>
  <c r="B262" i="18"/>
  <c r="B271" i="18"/>
  <c r="B277" i="18"/>
  <c r="B282" i="18"/>
  <c r="B307" i="18"/>
  <c r="B73" i="10"/>
  <c r="B103" i="10"/>
  <c r="B115" i="10"/>
  <c r="B135" i="10"/>
  <c r="B166" i="10"/>
  <c r="B56" i="10"/>
  <c r="B66" i="10"/>
  <c r="B84" i="10"/>
  <c r="B93" i="10"/>
  <c r="B116" i="10"/>
  <c r="B125" i="10"/>
  <c r="B136" i="10"/>
  <c r="B145" i="10"/>
  <c r="B156" i="10"/>
  <c r="B167" i="10"/>
  <c r="B177" i="10"/>
  <c r="B189" i="10"/>
  <c r="B216" i="10"/>
  <c r="B218" i="10"/>
  <c r="B240" i="10"/>
  <c r="B260" i="10"/>
  <c r="B273" i="10"/>
  <c r="B304" i="10"/>
  <c r="B66" i="18"/>
  <c r="C261" i="13"/>
  <c r="I259" i="13"/>
  <c r="J259" i="13" s="1"/>
  <c r="L259" i="13" s="1"/>
  <c r="C258" i="13"/>
  <c r="C253" i="13"/>
  <c r="D242" i="13"/>
  <c r="C241" i="13"/>
  <c r="I236" i="13"/>
  <c r="J236" i="13" s="1"/>
  <c r="L236" i="13" s="1"/>
  <c r="C235" i="13"/>
  <c r="I233" i="13"/>
  <c r="J233" i="13" s="1"/>
  <c r="L233" i="13" s="1"/>
  <c r="C232" i="13"/>
  <c r="C229" i="13"/>
  <c r="I227" i="13"/>
  <c r="J227" i="13" s="1"/>
  <c r="L227" i="13" s="1"/>
  <c r="C226" i="13"/>
  <c r="I224" i="13"/>
  <c r="J224" i="13" s="1"/>
  <c r="L224" i="13" s="1"/>
  <c r="C223" i="13"/>
  <c r="I221" i="13"/>
  <c r="J221" i="13" s="1"/>
  <c r="L221" i="13" s="1"/>
  <c r="D220" i="13"/>
  <c r="I218" i="13"/>
  <c r="J218" i="13" s="1"/>
  <c r="L218" i="13" s="1"/>
  <c r="I214" i="13"/>
  <c r="J214" i="13" s="1"/>
  <c r="L214" i="13" s="1"/>
  <c r="D254" i="13"/>
  <c r="D251" i="13"/>
  <c r="D248" i="13"/>
  <c r="I246" i="13"/>
  <c r="J246" i="13" s="1"/>
  <c r="L246" i="13" s="1"/>
  <c r="D245" i="13"/>
  <c r="I243" i="13"/>
  <c r="J243" i="13" s="1"/>
  <c r="L243" i="13" s="1"/>
  <c r="C242" i="13"/>
  <c r="D239" i="13"/>
  <c r="D230" i="13"/>
  <c r="C220" i="13"/>
  <c r="D217" i="13"/>
  <c r="C213" i="13"/>
  <c r="D211" i="13"/>
  <c r="I209" i="13"/>
  <c r="J209" i="13" s="1"/>
  <c r="L209" i="13" s="1"/>
  <c r="D208" i="13"/>
  <c r="D259" i="13"/>
  <c r="I255" i="13"/>
  <c r="C254" i="13"/>
  <c r="I252" i="13"/>
  <c r="J252" i="13" s="1"/>
  <c r="L252" i="13" s="1"/>
  <c r="C251" i="13"/>
  <c r="I249" i="13"/>
  <c r="J249" i="13" s="1"/>
  <c r="L249" i="13" s="1"/>
  <c r="C248" i="13"/>
  <c r="C245" i="13"/>
  <c r="I240" i="13"/>
  <c r="J240" i="13" s="1"/>
  <c r="L240" i="13" s="1"/>
  <c r="C239" i="13"/>
  <c r="I237" i="13"/>
  <c r="J237" i="13" s="1"/>
  <c r="L237" i="13" s="1"/>
  <c r="D236" i="13"/>
  <c r="I234" i="13"/>
  <c r="J234" i="13" s="1"/>
  <c r="L234" i="13" s="1"/>
  <c r="D233" i="13"/>
  <c r="I231" i="13"/>
  <c r="J231" i="13" s="1"/>
  <c r="L231" i="13" s="1"/>
  <c r="C230" i="13"/>
  <c r="D227" i="13"/>
  <c r="D224" i="13"/>
  <c r="I222" i="13"/>
  <c r="J222" i="13" s="1"/>
  <c r="L222" i="13" s="1"/>
  <c r="D221" i="13"/>
  <c r="D218" i="13"/>
  <c r="I260" i="13"/>
  <c r="J260" i="13" s="1"/>
  <c r="L260" i="13" s="1"/>
  <c r="C259" i="13"/>
  <c r="I256" i="13"/>
  <c r="D246" i="13"/>
  <c r="D243" i="13"/>
  <c r="C236" i="13"/>
  <c r="C233" i="13"/>
  <c r="I228" i="13"/>
  <c r="J228" i="13" s="1"/>
  <c r="L228" i="13" s="1"/>
  <c r="C227" i="13"/>
  <c r="I225" i="13"/>
  <c r="J225" i="13" s="1"/>
  <c r="L225" i="13" s="1"/>
  <c r="C224" i="13"/>
  <c r="C221" i="13"/>
  <c r="I219" i="13"/>
  <c r="J219" i="13" s="1"/>
  <c r="L219" i="13" s="1"/>
  <c r="C218" i="13"/>
  <c r="I215" i="13"/>
  <c r="C214" i="13"/>
  <c r="D209" i="13"/>
  <c r="I257" i="13"/>
  <c r="D255" i="13"/>
  <c r="D252" i="13"/>
  <c r="I250" i="13"/>
  <c r="J250" i="13" s="1"/>
  <c r="L250" i="13" s="1"/>
  <c r="D249" i="13"/>
  <c r="I247" i="13"/>
  <c r="J247" i="13" s="1"/>
  <c r="L247" i="13" s="1"/>
  <c r="C246" i="13"/>
  <c r="I244" i="13"/>
  <c r="J244" i="13" s="1"/>
  <c r="L244" i="13" s="1"/>
  <c r="C243" i="13"/>
  <c r="D240" i="13"/>
  <c r="I238" i="13"/>
  <c r="J238" i="13" s="1"/>
  <c r="L238" i="13" s="1"/>
  <c r="D237" i="13"/>
  <c r="D234" i="13"/>
  <c r="D231" i="13"/>
  <c r="D222" i="13"/>
  <c r="I216" i="13"/>
  <c r="J216" i="13" s="1"/>
  <c r="L216" i="13" s="1"/>
  <c r="I212" i="13"/>
  <c r="J212" i="13" s="1"/>
  <c r="L212" i="13" s="1"/>
  <c r="I210" i="13"/>
  <c r="J210" i="13" s="1"/>
  <c r="L210" i="13" s="1"/>
  <c r="C209" i="13"/>
  <c r="I261" i="13"/>
  <c r="D260" i="13"/>
  <c r="I258" i="13"/>
  <c r="J258" i="13" s="1"/>
  <c r="L258" i="13" s="1"/>
  <c r="D256" i="13"/>
  <c r="C255" i="13"/>
  <c r="I253" i="13"/>
  <c r="J253" i="13" s="1"/>
  <c r="L253" i="13" s="1"/>
  <c r="C252" i="13"/>
  <c r="C249" i="13"/>
  <c r="I241" i="13"/>
  <c r="C240" i="13"/>
  <c r="C237" i="13"/>
  <c r="I235" i="13"/>
  <c r="J235" i="13" s="1"/>
  <c r="L235" i="13" s="1"/>
  <c r="C234" i="13"/>
  <c r="I232" i="13"/>
  <c r="J232" i="13" s="1"/>
  <c r="L232" i="13" s="1"/>
  <c r="C231" i="13"/>
  <c r="I229" i="13"/>
  <c r="J229" i="13" s="1"/>
  <c r="L229" i="13" s="1"/>
  <c r="D228" i="13"/>
  <c r="I226" i="13"/>
  <c r="J226" i="13" s="1"/>
  <c r="L226" i="13" s="1"/>
  <c r="D225" i="13"/>
  <c r="I223" i="13"/>
  <c r="J223" i="13" s="1"/>
  <c r="L223" i="13" s="1"/>
  <c r="C222" i="13"/>
  <c r="D219" i="13"/>
  <c r="C260" i="13"/>
  <c r="D257" i="13"/>
  <c r="C256" i="13"/>
  <c r="D250" i="13"/>
  <c r="D247" i="13"/>
  <c r="D244" i="13"/>
  <c r="I242" i="13"/>
  <c r="J242" i="13" s="1"/>
  <c r="L242" i="13" s="1"/>
  <c r="D238" i="13"/>
  <c r="C228" i="13"/>
  <c r="C225" i="13"/>
  <c r="I220" i="13"/>
  <c r="J220" i="13" s="1"/>
  <c r="L220" i="13" s="1"/>
  <c r="C219" i="13"/>
  <c r="D216" i="13"/>
  <c r="C215" i="13"/>
  <c r="I213" i="13"/>
  <c r="J213" i="13" s="1"/>
  <c r="L213" i="13" s="1"/>
  <c r="D212" i="13"/>
  <c r="D210" i="13"/>
  <c r="D261" i="13"/>
  <c r="D258" i="13"/>
  <c r="C257" i="13"/>
  <c r="I254" i="13"/>
  <c r="J254" i="13" s="1"/>
  <c r="L254" i="13" s="1"/>
  <c r="D253" i="13"/>
  <c r="I251" i="13"/>
  <c r="J251" i="13" s="1"/>
  <c r="L251" i="13" s="1"/>
  <c r="C250" i="13"/>
  <c r="I248" i="13"/>
  <c r="J248" i="13" s="1"/>
  <c r="L248" i="13" s="1"/>
  <c r="C247" i="13"/>
  <c r="I245" i="13"/>
  <c r="J245" i="13" s="1"/>
  <c r="L245" i="13" s="1"/>
  <c r="C244" i="13"/>
  <c r="D241" i="13"/>
  <c r="I239" i="13"/>
  <c r="J239" i="13" s="1"/>
  <c r="L239" i="13" s="1"/>
  <c r="C238" i="13"/>
  <c r="D235" i="13"/>
  <c r="D232" i="13"/>
  <c r="I230" i="13"/>
  <c r="J230" i="13" s="1"/>
  <c r="L230" i="13" s="1"/>
  <c r="D229" i="13"/>
  <c r="D226" i="13"/>
  <c r="D223" i="13"/>
  <c r="I217" i="13"/>
  <c r="C216" i="13"/>
  <c r="D215" i="13"/>
  <c r="I203" i="13"/>
  <c r="J203" i="13" s="1"/>
  <c r="L203" i="13" s="1"/>
  <c r="C202" i="13"/>
  <c r="C195" i="13"/>
  <c r="C192" i="13"/>
  <c r="I187" i="13"/>
  <c r="J187" i="13" s="1"/>
  <c r="L187" i="13" s="1"/>
  <c r="C186" i="13"/>
  <c r="C185" i="13"/>
  <c r="C182" i="13"/>
  <c r="I177" i="13"/>
  <c r="J177" i="13" s="1"/>
  <c r="L177" i="13" s="1"/>
  <c r="C176" i="13"/>
  <c r="I174" i="13"/>
  <c r="J174" i="13" s="1"/>
  <c r="L174" i="13" s="1"/>
  <c r="I170" i="13"/>
  <c r="D169" i="13"/>
  <c r="I167" i="13"/>
  <c r="J167" i="13" s="1"/>
  <c r="L167" i="13" s="1"/>
  <c r="D166" i="13"/>
  <c r="D159" i="13"/>
  <c r="C212" i="13"/>
  <c r="C208" i="13"/>
  <c r="D206" i="13"/>
  <c r="D199" i="13"/>
  <c r="I197" i="13"/>
  <c r="J197" i="13" s="1"/>
  <c r="L197" i="13" s="1"/>
  <c r="D196" i="13"/>
  <c r="D193" i="13"/>
  <c r="D190" i="13"/>
  <c r="D183" i="13"/>
  <c r="D180" i="13"/>
  <c r="D173" i="13"/>
  <c r="I171" i="13"/>
  <c r="J171" i="13" s="1"/>
  <c r="L171" i="13" s="1"/>
  <c r="C169" i="13"/>
  <c r="C166" i="13"/>
  <c r="I163" i="13"/>
  <c r="D162" i="13"/>
  <c r="I160" i="13"/>
  <c r="C159" i="13"/>
  <c r="D213" i="13"/>
  <c r="I207" i="13"/>
  <c r="J207" i="13" s="1"/>
  <c r="L207" i="13" s="1"/>
  <c r="C206" i="13"/>
  <c r="I204" i="13"/>
  <c r="J204" i="13" s="1"/>
  <c r="L204" i="13" s="1"/>
  <c r="D203" i="13"/>
  <c r="I200" i="13"/>
  <c r="J200" i="13" s="1"/>
  <c r="L200" i="13" s="1"/>
  <c r="C199" i="13"/>
  <c r="C196" i="13"/>
  <c r="I194" i="13"/>
  <c r="J194" i="13" s="1"/>
  <c r="L194" i="13" s="1"/>
  <c r="C193" i="13"/>
  <c r="I191" i="13"/>
  <c r="J191" i="13" s="1"/>
  <c r="L191" i="13" s="1"/>
  <c r="C190" i="13"/>
  <c r="I188" i="13"/>
  <c r="J188" i="13" s="1"/>
  <c r="L188" i="13" s="1"/>
  <c r="D187" i="13"/>
  <c r="I184" i="13"/>
  <c r="J184" i="13" s="1"/>
  <c r="L184" i="13" s="1"/>
  <c r="C183" i="13"/>
  <c r="I181" i="13"/>
  <c r="J181" i="13" s="1"/>
  <c r="L181" i="13" s="1"/>
  <c r="C180" i="13"/>
  <c r="I178" i="13"/>
  <c r="J178" i="13" s="1"/>
  <c r="L178" i="13" s="1"/>
  <c r="D177" i="13"/>
  <c r="I175" i="13"/>
  <c r="J175" i="13" s="1"/>
  <c r="L175" i="13" s="1"/>
  <c r="D174" i="13"/>
  <c r="C173" i="13"/>
  <c r="D170" i="13"/>
  <c r="D167" i="13"/>
  <c r="C203" i="13"/>
  <c r="D197" i="13"/>
  <c r="C187" i="13"/>
  <c r="C177" i="13"/>
  <c r="C174" i="13"/>
  <c r="D171" i="13"/>
  <c r="C170" i="13"/>
  <c r="I168" i="13"/>
  <c r="J168" i="13" s="1"/>
  <c r="L168" i="13" s="1"/>
  <c r="C167" i="13"/>
  <c r="I165" i="13"/>
  <c r="J165" i="13" s="1"/>
  <c r="L165" i="13" s="1"/>
  <c r="D163" i="13"/>
  <c r="D160" i="13"/>
  <c r="I158" i="13"/>
  <c r="J158" i="13" s="1"/>
  <c r="L158" i="13" s="1"/>
  <c r="D214" i="13"/>
  <c r="D207" i="13"/>
  <c r="I205" i="13"/>
  <c r="J205" i="13" s="1"/>
  <c r="L205" i="13" s="1"/>
  <c r="D204" i="13"/>
  <c r="I201" i="13"/>
  <c r="D200" i="13"/>
  <c r="I198" i="13"/>
  <c r="J198" i="13" s="1"/>
  <c r="L198" i="13" s="1"/>
  <c r="C197" i="13"/>
  <c r="D194" i="13"/>
  <c r="D191" i="13"/>
  <c r="I189" i="13"/>
  <c r="J189" i="13" s="1"/>
  <c r="L189" i="13" s="1"/>
  <c r="D188" i="13"/>
  <c r="D184" i="13"/>
  <c r="D181" i="13"/>
  <c r="I179" i="13"/>
  <c r="J179" i="13" s="1"/>
  <c r="L179" i="13" s="1"/>
  <c r="D178" i="13"/>
  <c r="D175" i="13"/>
  <c r="I172" i="13"/>
  <c r="J172" i="13" s="1"/>
  <c r="L172" i="13" s="1"/>
  <c r="C171" i="13"/>
  <c r="D164" i="13"/>
  <c r="C163" i="13"/>
  <c r="I161" i="13"/>
  <c r="C160" i="13"/>
  <c r="I156" i="13"/>
  <c r="J156" i="13" s="1"/>
  <c r="L156" i="13" s="1"/>
  <c r="D155" i="13"/>
  <c r="C152" i="13"/>
  <c r="C149" i="13"/>
  <c r="C147" i="13"/>
  <c r="D144" i="13"/>
  <c r="C141" i="13"/>
  <c r="I139" i="13"/>
  <c r="J139" i="13" s="1"/>
  <c r="L139" i="13" s="1"/>
  <c r="C137" i="13"/>
  <c r="C207" i="13"/>
  <c r="C204" i="13"/>
  <c r="I202" i="13"/>
  <c r="J202" i="13" s="1"/>
  <c r="L202" i="13" s="1"/>
  <c r="C200" i="13"/>
  <c r="I195" i="13"/>
  <c r="J195" i="13" s="1"/>
  <c r="L195" i="13" s="1"/>
  <c r="C194" i="13"/>
  <c r="I192" i="13"/>
  <c r="J192" i="13" s="1"/>
  <c r="L192" i="13" s="1"/>
  <c r="C191" i="13"/>
  <c r="C188" i="13"/>
  <c r="I186" i="13"/>
  <c r="J186" i="13" s="1"/>
  <c r="L186" i="13" s="1"/>
  <c r="I185" i="13"/>
  <c r="J185" i="13" s="1"/>
  <c r="L185" i="13" s="1"/>
  <c r="C184" i="13"/>
  <c r="I182" i="13"/>
  <c r="J182" i="13" s="1"/>
  <c r="L182" i="13" s="1"/>
  <c r="C181" i="13"/>
  <c r="C178" i="13"/>
  <c r="I176" i="13"/>
  <c r="J176" i="13" s="1"/>
  <c r="L176" i="13" s="1"/>
  <c r="C175" i="13"/>
  <c r="D168" i="13"/>
  <c r="C217" i="13"/>
  <c r="I211" i="13"/>
  <c r="J211" i="13" s="1"/>
  <c r="C210" i="13"/>
  <c r="D205" i="13"/>
  <c r="D201" i="13"/>
  <c r="D198" i="13"/>
  <c r="D189" i="13"/>
  <c r="D179" i="13"/>
  <c r="D172" i="13"/>
  <c r="I169" i="13"/>
  <c r="J169" i="13" s="1"/>
  <c r="L169" i="13" s="1"/>
  <c r="C168" i="13"/>
  <c r="I166" i="13"/>
  <c r="J166" i="13" s="1"/>
  <c r="L166" i="13" s="1"/>
  <c r="C165" i="13"/>
  <c r="C161" i="13"/>
  <c r="I159" i="13"/>
  <c r="J159" i="13" s="1"/>
  <c r="L159" i="13" s="1"/>
  <c r="C158" i="13"/>
  <c r="D182" i="13"/>
  <c r="D157" i="13"/>
  <c r="C154" i="13"/>
  <c r="D151" i="13"/>
  <c r="D145" i="13"/>
  <c r="D142" i="13"/>
  <c r="I138" i="13"/>
  <c r="D135" i="13"/>
  <c r="D131" i="13"/>
  <c r="I124" i="13"/>
  <c r="J124" i="13" s="1"/>
  <c r="C123" i="13"/>
  <c r="D120" i="13"/>
  <c r="D117" i="13"/>
  <c r="I115" i="13"/>
  <c r="J115" i="13" s="1"/>
  <c r="L115" i="13" s="1"/>
  <c r="D114" i="13"/>
  <c r="D111" i="13"/>
  <c r="D108" i="13"/>
  <c r="I105" i="13"/>
  <c r="C104" i="13"/>
  <c r="C101" i="13"/>
  <c r="D202" i="13"/>
  <c r="D195" i="13"/>
  <c r="C179" i="13"/>
  <c r="C157" i="13"/>
  <c r="I153" i="13"/>
  <c r="C151" i="13"/>
  <c r="D149" i="13"/>
  <c r="I148" i="13"/>
  <c r="J148" i="13" s="1"/>
  <c r="I146" i="13"/>
  <c r="C145" i="13"/>
  <c r="I144" i="13"/>
  <c r="J144" i="13" s="1"/>
  <c r="L144" i="13" s="1"/>
  <c r="C142" i="13"/>
  <c r="D140" i="13"/>
  <c r="D138" i="13"/>
  <c r="I136" i="13"/>
  <c r="C135" i="13"/>
  <c r="I134" i="13"/>
  <c r="J134" i="13" s="1"/>
  <c r="I132" i="13"/>
  <c r="J132" i="13" s="1"/>
  <c r="L132" i="13" s="1"/>
  <c r="C131" i="13"/>
  <c r="D129" i="13"/>
  <c r="D127" i="13"/>
  <c r="I121" i="13"/>
  <c r="J121" i="13" s="1"/>
  <c r="L121" i="13" s="1"/>
  <c r="C120" i="13"/>
  <c r="I118" i="13"/>
  <c r="J118" i="13" s="1"/>
  <c r="L118" i="13" s="1"/>
  <c r="C117" i="13"/>
  <c r="C114" i="13"/>
  <c r="I112" i="13"/>
  <c r="J112" i="13" s="1"/>
  <c r="L112" i="13" s="1"/>
  <c r="C111" i="13"/>
  <c r="I109" i="13"/>
  <c r="J109" i="13" s="1"/>
  <c r="L109" i="13" s="1"/>
  <c r="C108" i="13"/>
  <c r="D192" i="13"/>
  <c r="D176" i="13"/>
  <c r="I173" i="13"/>
  <c r="D158" i="13"/>
  <c r="D156" i="13"/>
  <c r="D148" i="13"/>
  <c r="C140" i="13"/>
  <c r="C138" i="13"/>
  <c r="D134" i="13"/>
  <c r="I130" i="13"/>
  <c r="J130" i="13" s="1"/>
  <c r="L130" i="13" s="1"/>
  <c r="I206" i="13"/>
  <c r="J206" i="13" s="1"/>
  <c r="L206" i="13" s="1"/>
  <c r="I199" i="13"/>
  <c r="J199" i="13" s="1"/>
  <c r="L199" i="13" s="1"/>
  <c r="C189" i="13"/>
  <c r="I164" i="13"/>
  <c r="D161" i="13"/>
  <c r="C156" i="13"/>
  <c r="D153" i="13"/>
  <c r="I150" i="13"/>
  <c r="J150" i="13" s="1"/>
  <c r="L150" i="13" s="1"/>
  <c r="C148" i="13"/>
  <c r="D146" i="13"/>
  <c r="C144" i="13"/>
  <c r="I143" i="13"/>
  <c r="J143" i="13" s="1"/>
  <c r="I141" i="13"/>
  <c r="J141" i="13" s="1"/>
  <c r="L141" i="13" s="1"/>
  <c r="D186" i="13"/>
  <c r="I183" i="13"/>
  <c r="J183" i="13" s="1"/>
  <c r="L183" i="13" s="1"/>
  <c r="C164" i="13"/>
  <c r="I155" i="13"/>
  <c r="J155" i="13" s="1"/>
  <c r="L155" i="13" s="1"/>
  <c r="C153" i="13"/>
  <c r="I152" i="13"/>
  <c r="J152" i="13" s="1"/>
  <c r="L152" i="13" s="1"/>
  <c r="D150" i="13"/>
  <c r="I147" i="13"/>
  <c r="J147" i="13" s="1"/>
  <c r="L147" i="13" s="1"/>
  <c r="C146" i="13"/>
  <c r="D139" i="13"/>
  <c r="I137" i="13"/>
  <c r="J137" i="13" s="1"/>
  <c r="L137" i="13" s="1"/>
  <c r="C136" i="13"/>
  <c r="I133" i="13"/>
  <c r="C132" i="13"/>
  <c r="D130" i="13"/>
  <c r="I126" i="13"/>
  <c r="J126" i="13" s="1"/>
  <c r="L126" i="13" s="1"/>
  <c r="C121" i="13"/>
  <c r="C118" i="13"/>
  <c r="I113" i="13"/>
  <c r="J113" i="13" s="1"/>
  <c r="L113" i="13" s="1"/>
  <c r="C162" i="13"/>
  <c r="D141" i="13"/>
  <c r="C134" i="13"/>
  <c r="I127" i="13"/>
  <c r="C122" i="13"/>
  <c r="D121" i="13"/>
  <c r="D119" i="13"/>
  <c r="I117" i="13"/>
  <c r="J117" i="13" s="1"/>
  <c r="I116" i="13"/>
  <c r="J116" i="13" s="1"/>
  <c r="L116" i="13" s="1"/>
  <c r="I110" i="13"/>
  <c r="J110" i="13" s="1"/>
  <c r="L110" i="13" s="1"/>
  <c r="D107" i="13"/>
  <c r="D105" i="13"/>
  <c r="D101" i="13"/>
  <c r="D99" i="13"/>
  <c r="I96" i="13"/>
  <c r="C95" i="13"/>
  <c r="I93" i="13"/>
  <c r="J93" i="13" s="1"/>
  <c r="L93" i="13" s="1"/>
  <c r="C92" i="13"/>
  <c r="C89" i="13"/>
  <c r="I87" i="13"/>
  <c r="J87" i="13" s="1"/>
  <c r="L87" i="13" s="1"/>
  <c r="C86" i="13"/>
  <c r="I84" i="13"/>
  <c r="J84" i="13" s="1"/>
  <c r="L84" i="13" s="1"/>
  <c r="C83" i="13"/>
  <c r="I81" i="13"/>
  <c r="J81" i="13" s="1"/>
  <c r="L81" i="13" s="1"/>
  <c r="D79" i="13"/>
  <c r="C205" i="13"/>
  <c r="D154" i="13"/>
  <c r="I149" i="13"/>
  <c r="J149" i="13" s="1"/>
  <c r="L149" i="13" s="1"/>
  <c r="I129" i="13"/>
  <c r="J129" i="13" s="1"/>
  <c r="L129" i="13" s="1"/>
  <c r="C119" i="13"/>
  <c r="D118" i="13"/>
  <c r="D116" i="13"/>
  <c r="D115" i="13"/>
  <c r="C107" i="13"/>
  <c r="I106" i="13"/>
  <c r="J106" i="13" s="1"/>
  <c r="L106" i="13" s="1"/>
  <c r="C105" i="13"/>
  <c r="D103" i="13"/>
  <c r="I100" i="13"/>
  <c r="H101" i="13" s="1"/>
  <c r="C99" i="13"/>
  <c r="I97" i="13"/>
  <c r="J97" i="13" s="1"/>
  <c r="L97" i="13" s="1"/>
  <c r="D90" i="13"/>
  <c r="D80" i="13"/>
  <c r="C79" i="13"/>
  <c r="I77" i="13"/>
  <c r="J77" i="13" s="1"/>
  <c r="L77" i="13" s="1"/>
  <c r="I208" i="13"/>
  <c r="J208" i="13" s="1"/>
  <c r="L208" i="13" s="1"/>
  <c r="C198" i="13"/>
  <c r="I157" i="13"/>
  <c r="J157" i="13" s="1"/>
  <c r="L157" i="13" s="1"/>
  <c r="D147" i="13"/>
  <c r="I142" i="13"/>
  <c r="I135" i="13"/>
  <c r="C129" i="13"/>
  <c r="C127" i="13"/>
  <c r="D126" i="13"/>
  <c r="C116" i="13"/>
  <c r="C115" i="13"/>
  <c r="I114" i="13"/>
  <c r="J114" i="13" s="1"/>
  <c r="L114" i="13" s="1"/>
  <c r="D110" i="13"/>
  <c r="I104" i="13"/>
  <c r="J104" i="13" s="1"/>
  <c r="L104" i="13" s="1"/>
  <c r="C103" i="13"/>
  <c r="D96" i="13"/>
  <c r="I94" i="13"/>
  <c r="J94" i="13" s="1"/>
  <c r="L94" i="13" s="1"/>
  <c r="D93" i="13"/>
  <c r="I91" i="13"/>
  <c r="J91" i="13" s="1"/>
  <c r="L91" i="13" s="1"/>
  <c r="C90" i="13"/>
  <c r="D87" i="13"/>
  <c r="D84" i="13"/>
  <c r="I82" i="13"/>
  <c r="J82" i="13" s="1"/>
  <c r="L82" i="13" s="1"/>
  <c r="D81" i="13"/>
  <c r="C80" i="13"/>
  <c r="C201" i="13"/>
  <c r="I190" i="13"/>
  <c r="J190" i="13" s="1"/>
  <c r="L190" i="13" s="1"/>
  <c r="D152" i="13"/>
  <c r="C139" i="13"/>
  <c r="D136" i="13"/>
  <c r="I131" i="13"/>
  <c r="C130" i="13"/>
  <c r="C126" i="13"/>
  <c r="I125" i="13"/>
  <c r="C110" i="13"/>
  <c r="D106" i="13"/>
  <c r="D100" i="13"/>
  <c r="I98" i="13"/>
  <c r="J98" i="13" s="1"/>
  <c r="L98" i="13" s="1"/>
  <c r="D97" i="13"/>
  <c r="C96" i="13"/>
  <c r="C93" i="13"/>
  <c r="I88" i="13"/>
  <c r="J88" i="13" s="1"/>
  <c r="L88" i="13" s="1"/>
  <c r="C87" i="13"/>
  <c r="I85" i="13"/>
  <c r="J85" i="13" s="1"/>
  <c r="L85" i="13" s="1"/>
  <c r="C84" i="13"/>
  <c r="C211" i="13"/>
  <c r="I193" i="13"/>
  <c r="J193" i="13" s="1"/>
  <c r="L193" i="13" s="1"/>
  <c r="C150" i="13"/>
  <c r="I145" i="13"/>
  <c r="J145" i="13" s="1"/>
  <c r="L145" i="13" s="1"/>
  <c r="I123" i="13"/>
  <c r="J123" i="13" s="1"/>
  <c r="D113" i="13"/>
  <c r="D109" i="13"/>
  <c r="C106" i="13"/>
  <c r="D104" i="13"/>
  <c r="I102" i="13"/>
  <c r="J102" i="13" s="1"/>
  <c r="L102" i="13" s="1"/>
  <c r="C100" i="13"/>
  <c r="C97" i="13"/>
  <c r="D94" i="13"/>
  <c r="D91" i="13"/>
  <c r="D185" i="13"/>
  <c r="I180" i="13"/>
  <c r="J180" i="13" s="1"/>
  <c r="L180" i="13" s="1"/>
  <c r="D165" i="13"/>
  <c r="C155" i="13"/>
  <c r="I196" i="13"/>
  <c r="J196" i="13" s="1"/>
  <c r="L196" i="13" s="1"/>
  <c r="C172" i="13"/>
  <c r="I151" i="13"/>
  <c r="J151" i="13" s="1"/>
  <c r="L151" i="13" s="1"/>
  <c r="C143" i="13"/>
  <c r="D137" i="13"/>
  <c r="D133" i="13"/>
  <c r="C125" i="13"/>
  <c r="C124" i="13"/>
  <c r="D123" i="13"/>
  <c r="C112" i="13"/>
  <c r="I111" i="13"/>
  <c r="J111" i="13" s="1"/>
  <c r="L111" i="13" s="1"/>
  <c r="I107" i="13"/>
  <c r="J107" i="13" s="1"/>
  <c r="L107" i="13" s="1"/>
  <c r="D102" i="13"/>
  <c r="I99" i="13"/>
  <c r="J99" i="13" s="1"/>
  <c r="L99" i="13" s="1"/>
  <c r="I162" i="13"/>
  <c r="J162" i="13" s="1"/>
  <c r="L162" i="13" s="1"/>
  <c r="D143" i="13"/>
  <c r="I108" i="13"/>
  <c r="J108" i="13" s="1"/>
  <c r="L108" i="13" s="1"/>
  <c r="I90" i="13"/>
  <c r="J90" i="13" s="1"/>
  <c r="L90" i="13" s="1"/>
  <c r="D83" i="13"/>
  <c r="D82" i="13"/>
  <c r="C78" i="13"/>
  <c r="D73" i="13"/>
  <c r="D70" i="13"/>
  <c r="D67" i="13"/>
  <c r="D63" i="13"/>
  <c r="I56" i="13"/>
  <c r="J56" i="13" s="1"/>
  <c r="C55" i="13"/>
  <c r="D52" i="13"/>
  <c r="D49" i="13"/>
  <c r="I47" i="13"/>
  <c r="J47" i="13" s="1"/>
  <c r="D46" i="13"/>
  <c r="C45" i="13"/>
  <c r="I41" i="13"/>
  <c r="D35" i="13"/>
  <c r="C133" i="13"/>
  <c r="I122" i="13"/>
  <c r="I120" i="13"/>
  <c r="J120" i="13" s="1"/>
  <c r="L120" i="13" s="1"/>
  <c r="C102" i="13"/>
  <c r="D98" i="13"/>
  <c r="I95" i="13"/>
  <c r="J95" i="13" s="1"/>
  <c r="L95" i="13" s="1"/>
  <c r="C94" i="13"/>
  <c r="I86" i="13"/>
  <c r="J86" i="13" s="1"/>
  <c r="L86" i="13" s="1"/>
  <c r="C82" i="13"/>
  <c r="C81" i="13"/>
  <c r="D76" i="13"/>
  <c r="I74" i="13"/>
  <c r="J74" i="13" s="1"/>
  <c r="L74" i="13" s="1"/>
  <c r="C73" i="13"/>
  <c r="I71" i="13"/>
  <c r="J71" i="13" s="1"/>
  <c r="L71" i="13" s="1"/>
  <c r="C70" i="13"/>
  <c r="I68" i="13"/>
  <c r="J68" i="13" s="1"/>
  <c r="L68" i="13" s="1"/>
  <c r="C67" i="13"/>
  <c r="I65" i="13"/>
  <c r="J65" i="13" s="1"/>
  <c r="L65" i="13" s="1"/>
  <c r="D64" i="13"/>
  <c r="C63" i="13"/>
  <c r="D60" i="13"/>
  <c r="D58" i="13"/>
  <c r="I53" i="13"/>
  <c r="J53" i="13" s="1"/>
  <c r="L53" i="13" s="1"/>
  <c r="C52" i="13"/>
  <c r="I50" i="13"/>
  <c r="J50" i="13" s="1"/>
  <c r="L50" i="13" s="1"/>
  <c r="C49" i="13"/>
  <c r="C46" i="13"/>
  <c r="I42" i="13"/>
  <c r="J42" i="13" s="1"/>
  <c r="L42" i="13" s="1"/>
  <c r="D40" i="13"/>
  <c r="D36" i="13"/>
  <c r="C35" i="13"/>
  <c r="I154" i="13"/>
  <c r="J154" i="13" s="1"/>
  <c r="L154" i="13" s="1"/>
  <c r="D112" i="13"/>
  <c r="C98" i="13"/>
  <c r="D85" i="13"/>
  <c r="I80" i="13"/>
  <c r="C76" i="13"/>
  <c r="C64" i="13"/>
  <c r="I61" i="13"/>
  <c r="C60" i="13"/>
  <c r="C58" i="13"/>
  <c r="D56" i="13"/>
  <c r="D47" i="13"/>
  <c r="D41" i="13"/>
  <c r="C40" i="13"/>
  <c r="I37" i="13"/>
  <c r="C36" i="13"/>
  <c r="I30" i="13"/>
  <c r="J30" i="13" s="1"/>
  <c r="L30" i="13" s="1"/>
  <c r="D29" i="13"/>
  <c r="D27" i="13"/>
  <c r="C23" i="13"/>
  <c r="D125" i="13"/>
  <c r="D122" i="13"/>
  <c r="I101" i="13"/>
  <c r="J101" i="13" s="1"/>
  <c r="D95" i="13"/>
  <c r="I92" i="13"/>
  <c r="J92" i="13" s="1"/>
  <c r="L92" i="13" s="1"/>
  <c r="C91" i="13"/>
  <c r="D86" i="13"/>
  <c r="C85" i="13"/>
  <c r="I79" i="13"/>
  <c r="D77" i="13"/>
  <c r="D74" i="13"/>
  <c r="D71" i="13"/>
  <c r="D68" i="13"/>
  <c r="I66" i="13"/>
  <c r="J66" i="13" s="1"/>
  <c r="L66" i="13" s="1"/>
  <c r="D65" i="13"/>
  <c r="I62" i="13"/>
  <c r="J62" i="13" s="1"/>
  <c r="L62" i="13" s="1"/>
  <c r="I59" i="13"/>
  <c r="J59" i="13" s="1"/>
  <c r="C56" i="13"/>
  <c r="I54" i="13"/>
  <c r="J54" i="13" s="1"/>
  <c r="L54" i="13" s="1"/>
  <c r="D53" i="13"/>
  <c r="I51" i="13"/>
  <c r="J51" i="13" s="1"/>
  <c r="L51" i="13" s="1"/>
  <c r="D50" i="13"/>
  <c r="I48" i="13"/>
  <c r="J48" i="13" s="1"/>
  <c r="L48" i="13" s="1"/>
  <c r="C47" i="13"/>
  <c r="I43" i="13"/>
  <c r="D42" i="13"/>
  <c r="D132" i="13"/>
  <c r="I119" i="13"/>
  <c r="J119" i="13" s="1"/>
  <c r="I103" i="13"/>
  <c r="C77" i="13"/>
  <c r="I75" i="13"/>
  <c r="J75" i="13" s="1"/>
  <c r="C74" i="13"/>
  <c r="I72" i="13"/>
  <c r="C71" i="13"/>
  <c r="I69" i="13"/>
  <c r="J69" i="13" s="1"/>
  <c r="L69" i="13" s="1"/>
  <c r="C68" i="13"/>
  <c r="C65" i="13"/>
  <c r="D61" i="13"/>
  <c r="I57" i="13"/>
  <c r="C53" i="13"/>
  <c r="C50" i="13"/>
  <c r="I44" i="13"/>
  <c r="C42" i="13"/>
  <c r="D124" i="13"/>
  <c r="C109" i="13"/>
  <c r="D92" i="13"/>
  <c r="I89" i="13"/>
  <c r="J89" i="13" s="1"/>
  <c r="L89" i="13" s="1"/>
  <c r="D88" i="13"/>
  <c r="I78" i="13"/>
  <c r="J78" i="13" s="1"/>
  <c r="L78" i="13" s="1"/>
  <c r="D66" i="13"/>
  <c r="D62" i="13"/>
  <c r="C61" i="13"/>
  <c r="D59" i="13"/>
  <c r="I55" i="13"/>
  <c r="D54" i="13"/>
  <c r="D51" i="13"/>
  <c r="I140" i="13"/>
  <c r="J140" i="13" s="1"/>
  <c r="L140" i="13" s="1"/>
  <c r="D89" i="13"/>
  <c r="C75" i="13"/>
  <c r="C66" i="13"/>
  <c r="I64" i="13"/>
  <c r="J64" i="13" s="1"/>
  <c r="L64" i="13" s="1"/>
  <c r="C51" i="13"/>
  <c r="I46" i="13"/>
  <c r="J46" i="13" s="1"/>
  <c r="L46" i="13" s="1"/>
  <c r="D45" i="13"/>
  <c r="I39" i="13"/>
  <c r="J39" i="13" s="1"/>
  <c r="L39" i="13" s="1"/>
  <c r="C33" i="13"/>
  <c r="C31" i="13"/>
  <c r="C29" i="13"/>
  <c r="I28" i="13"/>
  <c r="J28" i="13" s="1"/>
  <c r="D26" i="13"/>
  <c r="I24" i="13"/>
  <c r="J24" i="13" s="1"/>
  <c r="L24" i="13" s="1"/>
  <c r="I22" i="13"/>
  <c r="J22" i="13" s="1"/>
  <c r="L22" i="13" s="1"/>
  <c r="C21" i="13"/>
  <c r="B310" i="10"/>
  <c r="B302" i="10"/>
  <c r="B292" i="10"/>
  <c r="B284" i="10"/>
  <c r="B276" i="10"/>
  <c r="B266" i="10"/>
  <c r="B256" i="10"/>
  <c r="B242" i="10"/>
  <c r="B234" i="10"/>
  <c r="B226" i="10"/>
  <c r="B214" i="10"/>
  <c r="B206" i="10"/>
  <c r="B204" i="10"/>
  <c r="B196" i="10"/>
  <c r="B186" i="10"/>
  <c r="B176" i="10"/>
  <c r="B168" i="10"/>
  <c r="B160" i="10"/>
  <c r="B148" i="10"/>
  <c r="B140" i="10"/>
  <c r="B132" i="10"/>
  <c r="B122" i="10"/>
  <c r="B114" i="10"/>
  <c r="B104" i="10"/>
  <c r="B94" i="10"/>
  <c r="B86" i="10"/>
  <c r="I83" i="13"/>
  <c r="J83" i="13" s="1"/>
  <c r="L83" i="13" s="1"/>
  <c r="I58" i="13"/>
  <c r="J58" i="13" s="1"/>
  <c r="I40" i="13"/>
  <c r="I32" i="13"/>
  <c r="J32" i="13" s="1"/>
  <c r="L32" i="13" s="1"/>
  <c r="D28" i="13"/>
  <c r="C26" i="13"/>
  <c r="D24" i="13"/>
  <c r="I16" i="13"/>
  <c r="B309" i="10"/>
  <c r="B301" i="10"/>
  <c r="B299" i="10"/>
  <c r="B291" i="10"/>
  <c r="B283" i="10"/>
  <c r="B275" i="10"/>
  <c r="B265" i="10"/>
  <c r="B255" i="10"/>
  <c r="B241" i="10"/>
  <c r="B233" i="10"/>
  <c r="B225" i="10"/>
  <c r="B213" i="10"/>
  <c r="B203" i="10"/>
  <c r="B195" i="10"/>
  <c r="B185" i="10"/>
  <c r="D78" i="13"/>
  <c r="I76" i="13"/>
  <c r="D69" i="13"/>
  <c r="I67" i="13"/>
  <c r="J67" i="13" s="1"/>
  <c r="L67" i="13" s="1"/>
  <c r="C62" i="13"/>
  <c r="I52" i="13"/>
  <c r="J52" i="13" s="1"/>
  <c r="L52" i="13" s="1"/>
  <c r="C41" i="13"/>
  <c r="D39" i="13"/>
  <c r="I38" i="13"/>
  <c r="I34" i="13"/>
  <c r="J34" i="13" s="1"/>
  <c r="L34" i="13" s="1"/>
  <c r="C28" i="13"/>
  <c r="C24" i="13"/>
  <c r="D22" i="13"/>
  <c r="I20" i="13"/>
  <c r="J20" i="13" s="1"/>
  <c r="L20" i="13" s="1"/>
  <c r="I17" i="13"/>
  <c r="B308" i="10"/>
  <c r="B298" i="10"/>
  <c r="B290" i="10"/>
  <c r="B282" i="10"/>
  <c r="B274" i="10"/>
  <c r="B264" i="10"/>
  <c r="C88" i="13"/>
  <c r="C69" i="13"/>
  <c r="I60" i="13"/>
  <c r="J60" i="13" s="1"/>
  <c r="L60" i="13" s="1"/>
  <c r="C54" i="13"/>
  <c r="C39" i="13"/>
  <c r="D32" i="13"/>
  <c r="D30" i="13"/>
  <c r="I27" i="13"/>
  <c r="J27" i="13" s="1"/>
  <c r="L27" i="13" s="1"/>
  <c r="I25" i="13"/>
  <c r="C22" i="13"/>
  <c r="I19" i="13"/>
  <c r="I18" i="13"/>
  <c r="D16" i="13"/>
  <c r="D72" i="13"/>
  <c r="I70" i="13"/>
  <c r="J70" i="13" s="1"/>
  <c r="L70" i="13" s="1"/>
  <c r="I63" i="13"/>
  <c r="D38" i="13"/>
  <c r="D34" i="13"/>
  <c r="C32" i="13"/>
  <c r="C30" i="13"/>
  <c r="I23" i="13"/>
  <c r="J23" i="13" s="1"/>
  <c r="L23" i="13" s="1"/>
  <c r="D20" i="13"/>
  <c r="D17" i="13"/>
  <c r="C16" i="13"/>
  <c r="C72" i="13"/>
  <c r="D48" i="13"/>
  <c r="D43" i="13"/>
  <c r="C38" i="13"/>
  <c r="C34" i="13"/>
  <c r="I31" i="13"/>
  <c r="J31" i="13" s="1"/>
  <c r="L31" i="13" s="1"/>
  <c r="C27" i="13"/>
  <c r="D25" i="13"/>
  <c r="I21" i="13"/>
  <c r="J21" i="13" s="1"/>
  <c r="L21" i="13" s="1"/>
  <c r="C20" i="13"/>
  <c r="D19" i="13"/>
  <c r="D18" i="13"/>
  <c r="C17" i="13"/>
  <c r="I73" i="13"/>
  <c r="J73" i="13" s="1"/>
  <c r="C59" i="13"/>
  <c r="D57" i="13"/>
  <c r="D55" i="13"/>
  <c r="C48" i="13"/>
  <c r="I45" i="13"/>
  <c r="D44" i="13"/>
  <c r="C43" i="13"/>
  <c r="D37" i="13"/>
  <c r="I36" i="13"/>
  <c r="J36" i="13" s="1"/>
  <c r="L36" i="13" s="1"/>
  <c r="I33" i="13"/>
  <c r="J33" i="13" s="1"/>
  <c r="L33" i="13" s="1"/>
  <c r="I29" i="13"/>
  <c r="J29" i="13" s="1"/>
  <c r="I26" i="13"/>
  <c r="J26" i="13" s="1"/>
  <c r="C25" i="13"/>
  <c r="D23" i="13"/>
  <c r="C19" i="13"/>
  <c r="C18" i="13"/>
  <c r="C113" i="13"/>
  <c r="D75" i="13"/>
  <c r="C57" i="13"/>
  <c r="I49" i="13"/>
  <c r="J49" i="13" s="1"/>
  <c r="L49" i="13" s="1"/>
  <c r="C44" i="13"/>
  <c r="C37" i="13"/>
  <c r="I35" i="13"/>
  <c r="D33" i="13"/>
  <c r="D31" i="13"/>
  <c r="D21" i="13"/>
  <c r="B57" i="10"/>
  <c r="B67" i="10"/>
  <c r="B75" i="10"/>
  <c r="B85" i="10"/>
  <c r="B95" i="10"/>
  <c r="B106" i="10"/>
  <c r="B117" i="10"/>
  <c r="B128" i="10"/>
  <c r="B137" i="10"/>
  <c r="B146" i="10"/>
  <c r="B157" i="10"/>
  <c r="B159" i="10"/>
  <c r="B169" i="10"/>
  <c r="B180" i="10"/>
  <c r="B190" i="10"/>
  <c r="B202" i="10"/>
  <c r="B207" i="10"/>
  <c r="B219" i="10"/>
  <c r="B231" i="10"/>
  <c r="B243" i="10"/>
  <c r="B245" i="10"/>
  <c r="B261" i="10"/>
  <c r="B277" i="10"/>
  <c r="B288" i="10"/>
  <c r="B305" i="10"/>
  <c r="J268" i="13"/>
  <c r="L268" i="13" s="1"/>
  <c r="J262" i="13"/>
  <c r="L262" i="13" s="1"/>
  <c r="J263" i="13"/>
  <c r="L263" i="13" s="1"/>
  <c r="H71" i="14"/>
  <c r="H77" i="14"/>
  <c r="H75" i="14"/>
  <c r="B52" i="18"/>
  <c r="B72" i="18"/>
  <c r="B87" i="18"/>
  <c r="B108" i="18"/>
  <c r="B112" i="18"/>
  <c r="B123" i="18"/>
  <c r="B127" i="18"/>
  <c r="B143" i="18"/>
  <c r="B162" i="18"/>
  <c r="B182" i="18"/>
  <c r="B197" i="18"/>
  <c r="B212" i="18"/>
  <c r="B231" i="18"/>
  <c r="B236" i="18"/>
  <c r="B246" i="18"/>
  <c r="B264" i="18"/>
  <c r="B284" i="18"/>
  <c r="B304" i="18"/>
  <c r="B309" i="18"/>
  <c r="B298" i="18"/>
  <c r="B58" i="10"/>
  <c r="B68" i="10"/>
  <c r="B76" i="10"/>
  <c r="B87" i="10"/>
  <c r="B96" i="10"/>
  <c r="B98" i="10"/>
  <c r="B107" i="10"/>
  <c r="B118" i="10"/>
  <c r="B129" i="10"/>
  <c r="B138" i="10"/>
  <c r="B147" i="10"/>
  <c r="B161" i="10"/>
  <c r="B170" i="10"/>
  <c r="B181" i="10"/>
  <c r="B191" i="10"/>
  <c r="B193" i="10"/>
  <c r="B208" i="10"/>
  <c r="B220" i="10"/>
  <c r="B232" i="10"/>
  <c r="B246" i="10"/>
  <c r="B248" i="10"/>
  <c r="B262" i="10"/>
  <c r="B278" i="10"/>
  <c r="B289" i="10"/>
  <c r="B306" i="10"/>
  <c r="H88" i="14"/>
  <c r="B53" i="18"/>
  <c r="B58" i="18"/>
  <c r="B62" i="18"/>
  <c r="B67" i="18"/>
  <c r="B73" i="18"/>
  <c r="B78" i="18"/>
  <c r="B82" i="18"/>
  <c r="B88" i="18"/>
  <c r="B93" i="18"/>
  <c r="B103" i="18"/>
  <c r="B118" i="18"/>
  <c r="B138" i="18"/>
  <c r="B154" i="18"/>
  <c r="B173" i="18"/>
  <c r="B188" i="18"/>
  <c r="B207" i="18"/>
  <c r="B222" i="18"/>
  <c r="B226" i="18"/>
  <c r="B242" i="18"/>
  <c r="B251" i="18"/>
  <c r="B255" i="18"/>
  <c r="B259" i="18"/>
  <c r="B265" i="18"/>
  <c r="B269" i="18"/>
  <c r="B274" i="18"/>
  <c r="B279" i="18"/>
  <c r="B285" i="18"/>
  <c r="B290" i="18"/>
  <c r="B295" i="18"/>
  <c r="B215" i="18"/>
  <c r="B287" i="18"/>
  <c r="B59" i="10"/>
  <c r="B69" i="10"/>
  <c r="B77" i="10"/>
  <c r="B88" i="10"/>
  <c r="B99" i="10"/>
  <c r="B108" i="10"/>
  <c r="B119" i="10"/>
  <c r="B130" i="10"/>
  <c r="B139" i="10"/>
  <c r="B149" i="10"/>
  <c r="B162" i="10"/>
  <c r="B171" i="10"/>
  <c r="B182" i="10"/>
  <c r="B194" i="10"/>
  <c r="B209" i="10"/>
  <c r="B221" i="10"/>
  <c r="B235" i="10"/>
  <c r="B249" i="10"/>
  <c r="B263" i="10"/>
  <c r="B279" i="10"/>
  <c r="B293" i="10"/>
  <c r="B307" i="10"/>
  <c r="B68" i="18"/>
  <c r="B83" i="18"/>
  <c r="B104" i="18"/>
  <c r="B119" i="18"/>
  <c r="B124" i="18"/>
  <c r="B139" i="18"/>
  <c r="B174" i="18"/>
  <c r="B189" i="18"/>
  <c r="B193" i="18"/>
  <c r="B208" i="18"/>
  <c r="B213" i="18"/>
  <c r="B227" i="18"/>
  <c r="B232" i="18"/>
  <c r="B243" i="18"/>
  <c r="B260" i="18"/>
  <c r="B280" i="18"/>
  <c r="B296" i="18"/>
  <c r="B305" i="18"/>
  <c r="B60" i="10"/>
  <c r="B62" i="10"/>
  <c r="B70" i="10"/>
  <c r="B78" i="10"/>
  <c r="B80" i="10"/>
  <c r="B89" i="10"/>
  <c r="B100" i="10"/>
  <c r="B109" i="10"/>
  <c r="B111" i="10"/>
  <c r="B120" i="10"/>
  <c r="B131" i="10"/>
  <c r="B141" i="10"/>
  <c r="B150" i="10"/>
  <c r="B163" i="10"/>
  <c r="B172" i="10"/>
  <c r="B183" i="10"/>
  <c r="B197" i="10"/>
  <c r="B210" i="10"/>
  <c r="B222" i="10"/>
  <c r="B224" i="10"/>
  <c r="B236" i="10"/>
  <c r="B250" i="10"/>
  <c r="B267" i="10"/>
  <c r="B269" i="10"/>
  <c r="B280" i="10"/>
  <c r="B294" i="10"/>
  <c r="B311" i="10"/>
  <c r="H87" i="14"/>
  <c r="H85" i="14"/>
  <c r="B54" i="18"/>
  <c r="B59" i="18"/>
  <c r="B63" i="18"/>
  <c r="B69" i="18"/>
  <c r="B74" i="18"/>
  <c r="B84" i="18"/>
  <c r="B89" i="18"/>
  <c r="B94" i="18"/>
  <c r="B99" i="18"/>
  <c r="B114" i="18"/>
  <c r="B134" i="18"/>
  <c r="B150" i="18"/>
  <c r="B169" i="18"/>
  <c r="B184" i="18"/>
  <c r="B204" i="18"/>
  <c r="B218" i="18"/>
  <c r="B238" i="18"/>
  <c r="B252" i="18"/>
  <c r="B256" i="18"/>
  <c r="B261" i="18"/>
  <c r="B266" i="18"/>
  <c r="B270" i="18"/>
  <c r="B275" i="18"/>
  <c r="B281" i="18"/>
  <c r="B286" i="18"/>
  <c r="B291" i="18"/>
  <c r="B297" i="18"/>
  <c r="B311" i="18"/>
  <c r="B63" i="10"/>
  <c r="B71" i="10"/>
  <c r="B81" i="10"/>
  <c r="B90" i="10"/>
  <c r="B101" i="10"/>
  <c r="B112" i="10"/>
  <c r="B121" i="10"/>
  <c r="B142" i="10"/>
  <c r="B151" i="10"/>
  <c r="B164" i="10"/>
  <c r="B173" i="10"/>
  <c r="B184" i="10"/>
  <c r="B198" i="10"/>
  <c r="B211" i="10"/>
  <c r="B227" i="10"/>
  <c r="B237" i="10"/>
  <c r="B251" i="10"/>
  <c r="B270" i="10"/>
  <c r="B281" i="10"/>
  <c r="B295" i="10"/>
  <c r="B312" i="10"/>
  <c r="J255" i="13"/>
  <c r="L255" i="13" s="1"/>
  <c r="J256" i="13"/>
  <c r="L256" i="13" s="1"/>
  <c r="J257" i="13"/>
  <c r="L257" i="13" s="1"/>
  <c r="J261" i="13"/>
  <c r="L261" i="13" s="1"/>
  <c r="J241" i="13"/>
  <c r="L241" i="13" s="1"/>
  <c r="J217" i="13"/>
  <c r="L217" i="13" s="1"/>
  <c r="J163" i="13"/>
  <c r="L163" i="13" s="1"/>
  <c r="J164" i="13"/>
  <c r="L164" i="13" s="1"/>
  <c r="J201" i="13"/>
  <c r="L201" i="13" s="1"/>
  <c r="J161" i="13"/>
  <c r="J153" i="13"/>
  <c r="L153" i="13" s="1"/>
  <c r="J131" i="13"/>
  <c r="L131" i="13" s="1"/>
  <c r="J215" i="13"/>
  <c r="L215" i="13" s="1"/>
  <c r="J173" i="13"/>
  <c r="L173" i="13" s="1"/>
  <c r="J146" i="13"/>
  <c r="L146" i="13" s="1"/>
  <c r="J136" i="13"/>
  <c r="L136" i="13" s="1"/>
  <c r="J170" i="13"/>
  <c r="L170" i="13" s="1"/>
  <c r="J138" i="13"/>
  <c r="L138" i="13" s="1"/>
  <c r="J135" i="13"/>
  <c r="L135" i="13" s="1"/>
  <c r="J125" i="13"/>
  <c r="L125" i="13" s="1"/>
  <c r="J105" i="13"/>
  <c r="L105" i="13" s="1"/>
  <c r="J103" i="13"/>
  <c r="L103" i="13" s="1"/>
  <c r="J80" i="13"/>
  <c r="L80" i="13" s="1"/>
  <c r="J61" i="13"/>
  <c r="L61" i="13" s="1"/>
  <c r="J37" i="13"/>
  <c r="L37" i="13" s="1"/>
  <c r="J79" i="13"/>
  <c r="L79" i="13" s="1"/>
  <c r="J43" i="13"/>
  <c r="L43" i="13" s="1"/>
  <c r="J38" i="13"/>
  <c r="L38" i="13" s="1"/>
  <c r="J44" i="13"/>
  <c r="L44" i="13" s="1"/>
  <c r="J96" i="13"/>
  <c r="L96" i="13" s="1"/>
  <c r="J45" i="13"/>
  <c r="L45" i="13" s="1"/>
  <c r="J63" i="13"/>
  <c r="L63" i="13" s="1"/>
  <c r="J40" i="13"/>
  <c r="L40" i="13" s="1"/>
  <c r="J16" i="13"/>
  <c r="L16" i="13" s="1"/>
  <c r="J76" i="13"/>
  <c r="L76" i="13" s="1"/>
  <c r="J41" i="13"/>
  <c r="L41" i="13" s="1"/>
  <c r="J17" i="13"/>
  <c r="L17" i="13" s="1"/>
  <c r="J19" i="13"/>
  <c r="L19" i="13" s="1"/>
  <c r="J18" i="13"/>
  <c r="L18" i="13" s="1"/>
  <c r="J35" i="13"/>
  <c r="L35" i="13" s="1"/>
  <c r="B60" i="18"/>
  <c r="B64" i="18"/>
  <c r="B95" i="18"/>
  <c r="B100" i="18"/>
  <c r="B105" i="18"/>
  <c r="B115" i="18"/>
  <c r="B120" i="18"/>
  <c r="B125" i="18"/>
  <c r="B129" i="18"/>
  <c r="B135" i="18"/>
  <c r="B140" i="18"/>
  <c r="B145" i="18"/>
  <c r="B151" i="18"/>
  <c r="B159" i="18"/>
  <c r="B164" i="18"/>
  <c r="B170" i="18"/>
  <c r="B175" i="18"/>
  <c r="B185" i="18"/>
  <c r="B190" i="18"/>
  <c r="B194" i="18"/>
  <c r="B199" i="18"/>
  <c r="B209" i="18"/>
  <c r="B214" i="18"/>
  <c r="B219" i="18"/>
  <c r="B228" i="18"/>
  <c r="B233" i="18"/>
  <c r="B239" i="18"/>
  <c r="B257" i="18"/>
  <c r="B276" i="18"/>
  <c r="B292" i="18"/>
  <c r="B301" i="18"/>
  <c r="B306" i="18"/>
  <c r="B312" i="18"/>
  <c r="L11" i="13"/>
  <c r="T15" i="13"/>
  <c r="C26" i="14" s="1"/>
  <c r="T17" i="13"/>
  <c r="C28" i="14" s="1"/>
  <c r="U15" i="13"/>
  <c r="V20" i="13"/>
  <c r="U20" i="13"/>
  <c r="Y20" i="13"/>
  <c r="F31" i="14" s="1"/>
  <c r="T20" i="13"/>
  <c r="C31" i="14" s="1"/>
  <c r="W15" i="13"/>
  <c r="E26" i="14" s="1"/>
  <c r="V15" i="13"/>
  <c r="Y21" i="13"/>
  <c r="X21" i="13"/>
  <c r="D32" i="14" s="1"/>
  <c r="V21" i="13"/>
  <c r="U21" i="13"/>
  <c r="T21" i="13"/>
  <c r="C32" i="14" s="1"/>
  <c r="Y15" i="13"/>
  <c r="F26" i="14" s="1"/>
  <c r="T16" i="13"/>
  <c r="C27" i="14" s="1"/>
  <c r="W20" i="13"/>
  <c r="E31" i="14" s="1"/>
  <c r="W21" i="13"/>
  <c r="E32" i="14" s="1"/>
  <c r="L47" i="13"/>
  <c r="K101" i="13"/>
  <c r="L101" i="13" s="1"/>
  <c r="X20" i="13"/>
  <c r="D31" i="14" s="1"/>
  <c r="L264" i="13"/>
  <c r="J100" i="13"/>
  <c r="T18" i="13"/>
  <c r="C29" i="14" s="1"/>
  <c r="H211" i="13"/>
  <c r="H148" i="13" l="1"/>
  <c r="K148" i="13" s="1"/>
  <c r="E148" i="13" s="1"/>
  <c r="H28" i="13"/>
  <c r="L117" i="13"/>
  <c r="J57" i="13"/>
  <c r="L57" i="13" s="1"/>
  <c r="H58" i="13"/>
  <c r="K58" i="13" s="1"/>
  <c r="E58" i="13" s="1"/>
  <c r="H59" i="13"/>
  <c r="K59" i="13" s="1"/>
  <c r="E59" i="13" s="1"/>
  <c r="L75" i="13"/>
  <c r="H124" i="13"/>
  <c r="J122" i="13"/>
  <c r="L122" i="13" s="1"/>
  <c r="H123" i="13"/>
  <c r="J55" i="13"/>
  <c r="L55" i="13" s="1"/>
  <c r="H56" i="13"/>
  <c r="J25" i="13"/>
  <c r="L25" i="13" s="1"/>
  <c r="H26" i="13"/>
  <c r="L119" i="13"/>
  <c r="H128" i="13"/>
  <c r="B128" i="13"/>
  <c r="J127" i="13"/>
  <c r="L127" i="13" s="1"/>
  <c r="L29" i="13"/>
  <c r="W3" i="13" s="1"/>
  <c r="E14" i="14" s="1"/>
  <c r="H161" i="13"/>
  <c r="K161" i="13" s="1"/>
  <c r="E161" i="13" s="1"/>
  <c r="J160" i="13"/>
  <c r="L160" i="13" s="1"/>
  <c r="J133" i="13"/>
  <c r="L133" i="13" s="1"/>
  <c r="H134" i="13"/>
  <c r="H73" i="13"/>
  <c r="L73" i="13" s="1"/>
  <c r="J72" i="13"/>
  <c r="J142" i="13"/>
  <c r="L142" i="13" s="1"/>
  <c r="H143" i="13"/>
  <c r="X10" i="13"/>
  <c r="D21" i="14" s="1"/>
  <c r="K211" i="13"/>
  <c r="L211" i="13" s="1"/>
  <c r="W14" i="13" s="1"/>
  <c r="L100" i="13"/>
  <c r="W7" i="13" s="1"/>
  <c r="U7" i="13"/>
  <c r="E101" i="13"/>
  <c r="X7" i="13"/>
  <c r="D18" i="14" s="1"/>
  <c r="L58" i="13"/>
  <c r="K28" i="13"/>
  <c r="E28" i="13" s="1"/>
  <c r="L28" i="13"/>
  <c r="L161" i="13" l="1"/>
  <c r="W5" i="13"/>
  <c r="E16" i="14" s="1"/>
  <c r="U19" i="13"/>
  <c r="K134" i="13"/>
  <c r="E134" i="13" s="1"/>
  <c r="K56" i="13"/>
  <c r="L56" i="13" s="1"/>
  <c r="L59" i="13"/>
  <c r="W2" i="13"/>
  <c r="L128" i="13"/>
  <c r="K128" i="13"/>
  <c r="E128" i="13" s="1"/>
  <c r="K123" i="13"/>
  <c r="L123" i="13"/>
  <c r="Q128" i="13"/>
  <c r="S128" i="13"/>
  <c r="D128" i="13"/>
  <c r="R128" i="13"/>
  <c r="N128" i="13"/>
  <c r="X6" i="13"/>
  <c r="D17" i="14" s="1"/>
  <c r="X8" i="13"/>
  <c r="D19" i="14" s="1"/>
  <c r="V6" i="13"/>
  <c r="X3" i="13"/>
  <c r="D14" i="14" s="1"/>
  <c r="O128" i="13"/>
  <c r="V14" i="13"/>
  <c r="X13" i="13"/>
  <c r="D24" i="14" s="1"/>
  <c r="V9" i="13"/>
  <c r="V7" i="13"/>
  <c r="V3" i="13"/>
  <c r="V2" i="13"/>
  <c r="J128" i="13"/>
  <c r="U14" i="13"/>
  <c r="V13" i="13"/>
  <c r="X12" i="13"/>
  <c r="D23" i="14" s="1"/>
  <c r="X11" i="13"/>
  <c r="D22" i="14" s="1"/>
  <c r="V10" i="13"/>
  <c r="V8" i="13"/>
  <c r="X5" i="13"/>
  <c r="D16" i="14" s="1"/>
  <c r="V4" i="13"/>
  <c r="U13" i="13"/>
  <c r="V12" i="13"/>
  <c r="V11" i="13"/>
  <c r="V5" i="13"/>
  <c r="X17" i="13"/>
  <c r="D28" i="14" s="1"/>
  <c r="W11" i="13"/>
  <c r="U11" i="13"/>
  <c r="P128" i="13"/>
  <c r="X16" i="13"/>
  <c r="D27" i="14" s="1"/>
  <c r="I128" i="13"/>
  <c r="W13" i="13"/>
  <c r="V19" i="13"/>
  <c r="V17" i="13"/>
  <c r="C128" i="13"/>
  <c r="X2" i="13"/>
  <c r="D13" i="14" s="1"/>
  <c r="U12" i="13"/>
  <c r="U17" i="13"/>
  <c r="W12" i="13"/>
  <c r="M128" i="13"/>
  <c r="U2" i="13"/>
  <c r="X18" i="13"/>
  <c r="D29" i="14" s="1"/>
  <c r="V16" i="13"/>
  <c r="U10" i="13"/>
  <c r="U6" i="13"/>
  <c r="U16" i="13"/>
  <c r="V18" i="13"/>
  <c r="W16" i="13"/>
  <c r="L143" i="13"/>
  <c r="K143" i="13"/>
  <c r="U9" i="13"/>
  <c r="W6" i="13"/>
  <c r="W10" i="13"/>
  <c r="E21" i="14" s="1"/>
  <c r="K124" i="13"/>
  <c r="E124" i="13" s="1"/>
  <c r="L124" i="13"/>
  <c r="U8" i="13"/>
  <c r="L72" i="13"/>
  <c r="W18" i="13" s="1"/>
  <c r="U18" i="13"/>
  <c r="U4" i="13"/>
  <c r="U5" i="13"/>
  <c r="W8" i="13"/>
  <c r="U3" i="13"/>
  <c r="L26" i="13"/>
  <c r="K26" i="13"/>
  <c r="E26" i="13" s="1"/>
  <c r="W17" i="13"/>
  <c r="E25" i="14"/>
  <c r="E211" i="13"/>
  <c r="X14" i="13"/>
  <c r="D25" i="14" s="1"/>
  <c r="L148" i="13"/>
  <c r="Y7" i="13"/>
  <c r="F18" i="14" s="1"/>
  <c r="E18" i="14"/>
  <c r="W4" i="13" l="1"/>
  <c r="E15" i="14" s="1"/>
  <c r="L134" i="13"/>
  <c r="U23" i="13"/>
  <c r="Y13" i="13"/>
  <c r="F24" i="14" s="1"/>
  <c r="E24" i="14"/>
  <c r="Y12" i="13"/>
  <c r="F23" i="14" s="1"/>
  <c r="E23" i="14"/>
  <c r="E19" i="14"/>
  <c r="Y8" i="13"/>
  <c r="F19" i="14" s="1"/>
  <c r="E56" i="13"/>
  <c r="X4" i="13"/>
  <c r="D15" i="14" s="1"/>
  <c r="Y6" i="13"/>
  <c r="F17" i="14" s="1"/>
  <c r="E17" i="14"/>
  <c r="W9" i="13"/>
  <c r="W19" i="13"/>
  <c r="E28" i="14"/>
  <c r="Y17" i="13"/>
  <c r="F28" i="14" s="1"/>
  <c r="Y11" i="13"/>
  <c r="F22" i="14" s="1"/>
  <c r="E22" i="14"/>
  <c r="X9" i="13"/>
  <c r="D20" i="14" s="1"/>
  <c r="E123" i="13"/>
  <c r="Y10" i="13"/>
  <c r="F21" i="14" s="1"/>
  <c r="Y18" i="13"/>
  <c r="F29" i="14" s="1"/>
  <c r="E29" i="14"/>
  <c r="X19" i="13"/>
  <c r="D30" i="14" s="1"/>
  <c r="E143" i="13"/>
  <c r="V23" i="13"/>
  <c r="Y3" i="13"/>
  <c r="F14" i="14" s="1"/>
  <c r="Y5" i="13"/>
  <c r="F16" i="14" s="1"/>
  <c r="E27" i="14"/>
  <c r="Y16" i="13"/>
  <c r="F27" i="14" s="1"/>
  <c r="Y2" i="13"/>
  <c r="F13" i="14" s="1"/>
  <c r="E13" i="14"/>
  <c r="Y14" i="13"/>
  <c r="F25" i="14" s="1"/>
  <c r="Y23" i="13" l="1"/>
  <c r="E33" i="14" s="1"/>
  <c r="Y19" i="13"/>
  <c r="F30" i="14" s="1"/>
  <c r="E30" i="14"/>
  <c r="E20" i="14"/>
  <c r="Y9" i="13"/>
  <c r="F20" i="14" s="1"/>
  <c r="Y4" i="13"/>
  <c r="W23" i="13" l="1"/>
  <c r="F15" i="14"/>
  <c r="X23" i="13" l="1"/>
  <c r="F33" i="14"/>
  <c r="D6" i="15"/>
  <c r="D33" i="14" l="1"/>
  <c r="E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Escue</author>
    <author>root</author>
  </authors>
  <commentList>
    <comment ref="B26" authorId="0" shapeId="0" xr:uid="{00000000-0006-0000-0200-000001000000}">
      <text>
        <r>
          <rPr>
            <b/>
            <sz val="10"/>
            <color rgb="FF000000"/>
            <rFont val="Calibri"/>
            <family val="2"/>
          </rPr>
          <t>The Institution views hosted solutions such as AWS, Rackspace, Azure, and other PaaS/SaaS offerings as third parties. If services such as these are used in your environment, respond "Yes".</t>
        </r>
      </text>
    </comment>
    <comment ref="B32" authorId="1" shapeId="0" xr:uid="{00000000-0006-0000-0200-000002000000}">
      <text>
        <r>
          <rPr>
            <sz val="12"/>
            <color rgb="FF000000"/>
            <rFont val="Verdana"/>
            <family val="2"/>
          </rPr>
          <t xml:space="preserve">In 2011, Statement on Standards for Attestation Engagements (SSAE) No. 16 took effect and replaced SAS 70 as the authoritative guidance for performing a service auditor's examination.  SSAE 16 established a new attestation standard (AT 801) to contain the professional guidance. 
</t>
        </r>
        <r>
          <rPr>
            <sz val="12"/>
            <color rgb="FF000000"/>
            <rFont val="Verdana"/>
            <family val="2"/>
          </rPr>
          <t>You can learn more about SSAE 16 at www.ssae16.com.</t>
        </r>
      </text>
    </comment>
    <comment ref="B33" authorId="1" shapeId="0" xr:uid="{00000000-0006-0000-0200-000003000000}">
      <text>
        <r>
          <rPr>
            <sz val="12"/>
            <color rgb="FF000000"/>
            <rFont val="Verdana"/>
            <family val="2"/>
          </rPr>
          <t xml:space="preserve">CSA STAR Self Assessment is free and open to all cloud providers and allows them to submit self assessment reports that document compliance to CSA-published best practices.
</t>
        </r>
        <r>
          <rPr>
            <sz val="12"/>
            <color rgb="FF000000"/>
            <rFont val="Verdana"/>
            <family val="2"/>
          </rPr>
          <t>Website: https://cloudsecurityalliance.org/star/self-assessment/</t>
        </r>
      </text>
    </comment>
    <comment ref="B34" authorId="1" shapeId="0" xr:uid="{00000000-0006-0000-0200-000004000000}">
      <text>
        <r>
          <rPr>
            <sz val="12"/>
            <color rgb="FF000000"/>
            <rFont val="Verdana"/>
            <family val="2"/>
          </rPr>
          <t xml:space="preserve">The CSA STAR Certification is a rigorous third party independent assessment of the security of a cloud service provider. The technology-neutral certification leverages the requirements of the ISO/IEC 27001 management system standard together with the CSA Cloud Controls Matrix, a specified set of criteria that measures the capability levels of the cloud service.
</t>
        </r>
        <r>
          <rPr>
            <sz val="12"/>
            <color rgb="FF000000"/>
            <rFont val="Verdana"/>
            <family val="2"/>
          </rPr>
          <t>Website: https://cloudsecurityalliance.org/star/certification/</t>
        </r>
      </text>
    </comment>
    <comment ref="B36" authorId="1" shapeId="0" xr:uid="{00000000-0006-0000-0200-000005000000}">
      <text>
        <r>
          <rPr>
            <sz val="12"/>
            <color rgb="FF000000"/>
            <rFont val="Verdana"/>
            <family val="2"/>
          </rPr>
          <t xml:space="preserve">The Federal Information Security Management Act (FISMA) is United States legislation that defines a comprehensive framework to protect government information, operations and assets against natural or man-made threats.
</t>
        </r>
        <r>
          <rPr>
            <sz val="12"/>
            <color rgb="FF000000"/>
            <rFont val="Verdana"/>
            <family val="2"/>
          </rPr>
          <t xml:space="preserve">Website: http://www.dhs.gov/FISMA
</t>
        </r>
        <r>
          <rPr>
            <sz val="12"/>
            <color rgb="FF000000"/>
            <rFont val="Verdana"/>
            <family val="2"/>
          </rPr>
          <t xml:space="preserve">----
</t>
        </r>
        <r>
          <rPr>
            <sz val="12"/>
            <color rgb="FF000000"/>
            <rFont val="Verdana"/>
            <family val="2"/>
          </rPr>
          <t xml:space="preserve">slight wording change
</t>
        </r>
        <r>
          <rPr>
            <sz val="12"/>
            <color rgb="FF000000"/>
            <rFont val="Verdana"/>
            <family val="2"/>
          </rPr>
          <t xml:space="preserve">	-Josh Callahan</t>
        </r>
      </text>
    </comment>
    <comment ref="B171" authorId="0" shapeId="0" xr:uid="{00000000-0006-0000-0200-000006000000}">
      <text>
        <r>
          <rPr>
            <sz val="10"/>
            <color rgb="FF000000"/>
            <rFont val="Calibri"/>
            <family val="2"/>
          </rPr>
          <t xml:space="preserve">https://uptimeinstitute.com/tiers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Escue</author>
    <author>root</author>
  </authors>
  <commentList>
    <comment ref="B26" authorId="0" shapeId="0" xr:uid="{00000000-0006-0000-0300-000001000000}">
      <text>
        <r>
          <rPr>
            <b/>
            <sz val="10"/>
            <color rgb="FF000000"/>
            <rFont val="Calibri"/>
            <family val="2"/>
          </rPr>
          <t>The Institution views hosted solutions such as AWS, Rackspace, Azure, and other PaaS/SaaS offerings as third parties. If services such as these are used in your environment, respond "Yes".</t>
        </r>
      </text>
    </comment>
    <comment ref="B32" authorId="1" shapeId="0" xr:uid="{00000000-0006-0000-0300-000002000000}">
      <text>
        <r>
          <rPr>
            <sz val="12"/>
            <color rgb="FF000000"/>
            <rFont val="Verdana"/>
            <family val="2"/>
          </rPr>
          <t xml:space="preserve">In 2011, Statement on Standards for Attestation Engagements (SSAE) No. 16 took effect and replaced SAS 70 as the authoritative guidance for performing a service auditor's examination.  SSAE 16 established a new attestation standard (AT 801) to contain the professional guidance. 
</t>
        </r>
        <r>
          <rPr>
            <sz val="12"/>
            <color rgb="FF000000"/>
            <rFont val="Verdana"/>
            <family val="2"/>
          </rPr>
          <t>You can learn more about SSAE 16 at www.ssae16.com.</t>
        </r>
      </text>
    </comment>
    <comment ref="B33" authorId="1" shapeId="0" xr:uid="{00000000-0006-0000-0300-000003000000}">
      <text>
        <r>
          <rPr>
            <sz val="12"/>
            <color rgb="FF000000"/>
            <rFont val="Verdana"/>
            <family val="2"/>
          </rPr>
          <t xml:space="preserve">CSA STAR Self Assessment is free and open to all cloud providers and allows them to submit self assessment reports that document compliance to CSA-published best practices.
</t>
        </r>
        <r>
          <rPr>
            <sz val="12"/>
            <color rgb="FF000000"/>
            <rFont val="Verdana"/>
            <family val="2"/>
          </rPr>
          <t>Website: https://cloudsecurityalliance.org/star/self-assessment/</t>
        </r>
      </text>
    </comment>
    <comment ref="B34" authorId="1" shapeId="0" xr:uid="{00000000-0006-0000-0300-000004000000}">
      <text>
        <r>
          <rPr>
            <sz val="12"/>
            <color rgb="FF000000"/>
            <rFont val="Verdana"/>
            <family val="2"/>
          </rPr>
          <t xml:space="preserve">The CSA STAR Certification is a rigorous third party independent assessment of the security of a cloud service provider. The technology-neutral certification leverages the requirements of the ISO/IEC 27001 management system standard together with the CSA Cloud Controls Matrix, a specified set of criteria that measures the capability levels of the cloud service.
</t>
        </r>
        <r>
          <rPr>
            <sz val="12"/>
            <color rgb="FF000000"/>
            <rFont val="Verdana"/>
            <family val="2"/>
          </rPr>
          <t>Website: https://cloudsecurityalliance.org/star/certification/</t>
        </r>
      </text>
    </comment>
    <comment ref="B36" authorId="1" shapeId="0" xr:uid="{00000000-0006-0000-0300-000005000000}">
      <text>
        <r>
          <rPr>
            <sz val="12"/>
            <color rgb="FF000000"/>
            <rFont val="Verdana"/>
            <family val="2"/>
          </rPr>
          <t xml:space="preserve">The Federal Information Security Management Act (FISMA) is United States legislation that defines a comprehensive framework to protect government information, operations and assets against natural or man-made threats.
</t>
        </r>
        <r>
          <rPr>
            <sz val="12"/>
            <color rgb="FF000000"/>
            <rFont val="Verdana"/>
            <family val="2"/>
          </rPr>
          <t xml:space="preserve">Website: http://www.dhs.gov/FISMA
</t>
        </r>
        <r>
          <rPr>
            <sz val="12"/>
            <color rgb="FF000000"/>
            <rFont val="Verdana"/>
            <family val="2"/>
          </rPr>
          <t xml:space="preserve">----
</t>
        </r>
        <r>
          <rPr>
            <sz val="12"/>
            <color rgb="FF000000"/>
            <rFont val="Verdana"/>
            <family val="2"/>
          </rPr>
          <t xml:space="preserve">slight wording change
</t>
        </r>
        <r>
          <rPr>
            <sz val="12"/>
            <color rgb="FF000000"/>
            <rFont val="Verdana"/>
            <family val="2"/>
          </rPr>
          <t xml:space="preserve">	-Josh Callahan</t>
        </r>
      </text>
    </comment>
    <comment ref="B171" authorId="0" shapeId="0" xr:uid="{00000000-0006-0000-0300-000006000000}">
      <text>
        <r>
          <rPr>
            <sz val="10"/>
            <color rgb="FF000000"/>
            <rFont val="Calibri"/>
            <family val="2"/>
          </rPr>
          <t xml:space="preserve">https://uptimeinstitute.com/tiers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Table1" type="102" refreshedVersion="6" minRefreshableVersion="5">
    <extLst>
      <ext xmlns:x15="http://schemas.microsoft.com/office/spreadsheetml/2010/11/main" uri="{DE250136-89BD-433C-8126-D09CA5730AF9}">
        <x15:connection id="Table1">
          <x15:rangePr sourceName="_xlcn.LinkedTable_Table110"/>
        </x15:connection>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<sst xmlns="http://schemas.openxmlformats.org/spreadsheetml/2006/main" count="6311" uniqueCount="3265">
  <si>
    <t>Date</t>
  </si>
  <si>
    <t>General Information</t>
  </si>
  <si>
    <r>
      <rPr>
        <sz val="11"/>
        <color rgb="FF000000"/>
        <rFont val="Verdana"/>
        <family val="2"/>
      </rPr>
      <t xml:space="preserve">Portfolium utilizes Amazon Web Services' RDS (Relational Database Service) which performs daily database backups with hourly restore points. </t>
    </r>
    <r>
      <rPr>
        <sz val="11"/>
        <color rgb="FF000000"/>
        <rFont val="Verdana"/>
        <family val="2"/>
      </rPr>
      <t xml:space="preserve">
</t>
    </r>
  </si>
  <si>
    <t>Vendor Name</t>
  </si>
  <si>
    <t>Product Name</t>
  </si>
  <si>
    <t>Product Description</t>
  </si>
  <si>
    <t>Web Link to Product Privacy Notice</t>
  </si>
  <si>
    <t>Vendor Contact Name</t>
  </si>
  <si>
    <t>Vendor Contact Title</t>
  </si>
  <si>
    <t>Vendor Contact Email</t>
  </si>
  <si>
    <t>Vendor Contact Phone Number</t>
  </si>
  <si>
    <t>Instructions</t>
  </si>
  <si>
    <t>Qualifiers</t>
  </si>
  <si>
    <t>Vendor Answers</t>
  </si>
  <si>
    <t>Additional Information</t>
  </si>
  <si>
    <t>Guidance</t>
  </si>
  <si>
    <t>Will data regulated by PCI DSS reside in the vended product?</t>
  </si>
  <si>
    <t>Yes</t>
  </si>
  <si>
    <t>Documentation</t>
  </si>
  <si>
    <t>Have you received the Cloud Security Alliance STAR certification?</t>
  </si>
  <si>
    <t>No</t>
  </si>
  <si>
    <t>What legal agreements (i.e. contracts) do you have in place with these third parties that address liability in the event of a data breach?</t>
  </si>
  <si>
    <t>Can we restrict that access based on source IP address?</t>
  </si>
  <si>
    <t>How long are data backups stored?</t>
  </si>
  <si>
    <t>Will you handle data in a FERPA compliant manner?</t>
  </si>
  <si>
    <t>Does the database support encryption of specified data elements in storage?</t>
  </si>
  <si>
    <t>Do any of your servers reside in a co-located data center?</t>
  </si>
  <si>
    <t>Are your servers separated from other companies via a physical barrier, such as a cage or hardened walls?</t>
  </si>
  <si>
    <t>Are your primary and secondary data centers geographically diverse?</t>
  </si>
  <si>
    <t>Select the option that best describes the network segment that servers are connected to.</t>
  </si>
  <si>
    <t>Other</t>
  </si>
  <si>
    <t xml:space="preserve">Does the system provide data input validation and error messages? </t>
  </si>
  <si>
    <t>Are you utilizing a web application firewall (WAF)?</t>
  </si>
  <si>
    <t>Are you utilizing a stateful packet inspection (SPI) firewall?</t>
  </si>
  <si>
    <t>Can you enforce password/passphrase aging requirements?</t>
  </si>
  <si>
    <t>Are user account passwords/passphrases visible in administration modules?</t>
  </si>
  <si>
    <t>Are user account passwords/passphrases stored encrypted?</t>
  </si>
  <si>
    <t>Are individuals required to sign in/out for installation and removal of equipment?</t>
  </si>
  <si>
    <t>Do you have a documented patch management process?</t>
  </si>
  <si>
    <t>Can you accommodate encryption requirements using open standards?</t>
  </si>
  <si>
    <t>Have your developers been trained in secure coding techniques?</t>
  </si>
  <si>
    <t>Was your application developed using secure coding techniques?</t>
  </si>
  <si>
    <t>Are information security principles designed into the product lifecycle?</t>
  </si>
  <si>
    <t>Do you have a documented systems development life cycle (SDLC)?</t>
  </si>
  <si>
    <t>Do you have a formal incident response plan?</t>
  </si>
  <si>
    <t xml:space="preserve">Do you require new employees to fill out agreements and review policies?  </t>
  </si>
  <si>
    <t>Do you have an information security awareness program?</t>
  </si>
  <si>
    <t>Do you incorporate customer feedback into security feature requests?</t>
  </si>
  <si>
    <r>
      <t xml:space="preserve">Are your </t>
    </r>
    <r>
      <rPr>
        <i/>
        <sz val="11"/>
        <color theme="1"/>
        <rFont val="Verdana"/>
        <family val="2"/>
      </rPr>
      <t>applications</t>
    </r>
    <r>
      <rPr>
        <sz val="11"/>
        <color theme="1"/>
        <rFont val="Verdana"/>
        <family val="2"/>
      </rPr>
      <t xml:space="preserve"> scanned externally for vulnerabilities?</t>
    </r>
  </si>
  <si>
    <t>Are your applications scanned for vulnerabilities prior to new releases?</t>
  </si>
  <si>
    <r>
      <t xml:space="preserve">Are your </t>
    </r>
    <r>
      <rPr>
        <i/>
        <sz val="11"/>
        <color theme="1"/>
        <rFont val="Verdana"/>
        <family val="2"/>
      </rPr>
      <t>systems</t>
    </r>
    <r>
      <rPr>
        <sz val="11"/>
        <color theme="1"/>
        <rFont val="Verdana"/>
        <family val="2"/>
      </rPr>
      <t xml:space="preserve"> scanned externally for vulnerabilities?</t>
    </r>
  </si>
  <si>
    <t>On which mobile operating systems is your software or service supported?</t>
  </si>
  <si>
    <t>Is the application available from a trusted source (e.g., iTunes App Store, Android Market, BB World)?</t>
  </si>
  <si>
    <t>Does the application store, process, or transmit critical data?</t>
  </si>
  <si>
    <t>Does the mobile application support Kerberos, CAS, or Active Directory authentication?</t>
  </si>
  <si>
    <t>Has the application been tested for vulnerabilities by a third party?</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</si>
  <si>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</si>
  <si>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</si>
  <si>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</si>
  <si>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</si>
  <si>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</si>
  <si>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Does your application provide the ability to define user access levels?</t>
  </si>
  <si>
    <t>Does your application support varying levels of access to records based on user ID?</t>
  </si>
  <si>
    <t>Is there a limit to the number of groups a user can be assigned?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</si>
  <si>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</si>
  <si>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</si>
  <si>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</si>
  <si>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</si>
  <si>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</si>
  <si>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accounts used for vendor supplied remote support abide by the same authentication policies and access logging as the rest of the system?</t>
  </si>
  <si>
    <t>Can you provide a HIPAA compliance attestation document?</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</si>
  <si>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</si>
  <si>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</si>
  <si>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</si>
  <si>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</si>
  <si>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</si>
  <si>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</si>
  <si>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</si>
  <si>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</si>
  <si>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</si>
  <si>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 xml:space="preserve">Include documentation describing the systems' abilities to comply with the PCI DSS and any features or capabilities of the system that must be added or changed in order to operate in compliance with the standards. </t>
  </si>
  <si>
    <t>Campus</t>
  </si>
  <si>
    <t>Answers</t>
  </si>
  <si>
    <t>N/A</t>
  </si>
  <si>
    <t>DRPTestingSchedule</t>
  </si>
  <si>
    <t>Quarterly</t>
  </si>
  <si>
    <t>Semi-annually</t>
  </si>
  <si>
    <t>Annually</t>
  </si>
  <si>
    <t>NetworkTypes</t>
  </si>
  <si>
    <t>Exclusive VLAN</t>
  </si>
  <si>
    <t>Shared VLAN</t>
  </si>
  <si>
    <t>Physically Separate</t>
  </si>
  <si>
    <t>Flat Shared Network</t>
  </si>
  <si>
    <t>Consulting</t>
  </si>
  <si>
    <t>Does the system operate in a mixed authentication mode (i.e. external and local authentication)?</t>
  </si>
  <si>
    <t>Does your product process protected health information (PHI) or any data covered by the Health Insurance Portability and Accountability Act?</t>
  </si>
  <si>
    <t>HEISC Shared Assessments Working Group</t>
  </si>
  <si>
    <t>Assessment Contact</t>
  </si>
  <si>
    <t>Do clients have the option to not participate in or postpone an upgrade to a new release?</t>
  </si>
  <si>
    <t>Are these rights retained even through a provider acquisition or bankruptcy event?</t>
  </si>
  <si>
    <t>In the event of imminent bankruptcy, closing of business, or retirement of service, will you provide 90 days for customers to get their data out of the system and migrate applications?</t>
  </si>
  <si>
    <t xml:space="preserve">Do you have a documented and currently followed change management process (CMP)? </t>
  </si>
  <si>
    <t>Are upgrades or system changes installed during off-peak hours or in a manner that does not impact the customer?</t>
  </si>
  <si>
    <t>Do procedures exist to provide that emergency changes are documented and authorized (including after the fact approval)?</t>
  </si>
  <si>
    <t>What Tier Level is your data center (per levels defined by the Uptime Institute)?</t>
  </si>
  <si>
    <t>Are backup copies made according to pre-defined schedules and securely stored and protected?</t>
  </si>
  <si>
    <t>Is media used for long-term retention of business data and archival purposes stored in a secure, environmentally protected area?</t>
  </si>
  <si>
    <t>Do procedures exist to ensure that retention and destruction of data meets established business and regulatory requirements?</t>
  </si>
  <si>
    <t>Have you implemented an Intrusion Detection System (network-based)?</t>
  </si>
  <si>
    <t>Have you implemented an Intrusion Prevention System (network-based)?</t>
  </si>
  <si>
    <t>Do you monitor for intrusions on a 24x7x365 basis?</t>
  </si>
  <si>
    <t>Is intrusion monitoring performed internally or by a third-party service?</t>
  </si>
  <si>
    <t>Identify the most current version of the software. Detail the percentage of live customers that are utilizing the proposed version of the software as well as each version of the software currently in use.</t>
  </si>
  <si>
    <t xml:space="preserve">Can your system take advantage of mobile and/or GPS enabled mobile devices?  </t>
  </si>
  <si>
    <t>Do the documented test results identify your organizations actual recovery time capabilities for technology and facilities?</t>
  </si>
  <si>
    <t>DR Types</t>
  </si>
  <si>
    <t>Cold</t>
  </si>
  <si>
    <t>Hot</t>
  </si>
  <si>
    <t>Does your organization conduct an annual test of relocating to this site for disaster recovery purposes?</t>
  </si>
  <si>
    <t>Is an owner assigned who is responsible for the maintenance and review of the Business Continuity Plan?</t>
  </si>
  <si>
    <t>Is there a documented communication plan in your DRP for impacted clients?</t>
  </si>
  <si>
    <t>Is there a defined problem/issue escalation plan in your DRP for impacted clients?</t>
  </si>
  <si>
    <t>Is there a defined problem/issue escalation plan in your BCP for impacted clients?</t>
  </si>
  <si>
    <t>Is there a documented communication plan in your BCP for impacted clients?</t>
  </si>
  <si>
    <t>Does your organization conduct training and awareness activities to validate its employees understanding of their roles and responsibilities during a crisis?</t>
  </si>
  <si>
    <t>Are specific crisis management roles and responsibilities defined and documented?</t>
  </si>
  <si>
    <t>Does your organization have an alternative business site or a contracted Business Recovery provider?</t>
  </si>
  <si>
    <t>Do you employ host-based intrusion detection?</t>
  </si>
  <si>
    <t>Do you employ host-based intrusion prevention?</t>
  </si>
  <si>
    <t>Have you completed the Cloud Security Alliance (CSA) self assessment or CAIQ?</t>
  </si>
  <si>
    <t>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t>
  </si>
  <si>
    <r>
      <t xml:space="preserve">Does the </t>
    </r>
    <r>
      <rPr>
        <i/>
        <sz val="11"/>
        <color theme="1"/>
        <rFont val="Verdana"/>
        <family val="2"/>
      </rPr>
      <t>system</t>
    </r>
    <r>
      <rPr>
        <sz val="11"/>
        <color theme="1"/>
        <rFont val="Verdana"/>
        <family val="2"/>
      </rPr>
      <t xml:space="preserve"> (servers/infrastructure) support external authentication services (e.g. Active Directory, LDAP) in place of local authentication?</t>
    </r>
  </si>
  <si>
    <r>
      <t xml:space="preserve">Does your </t>
    </r>
    <r>
      <rPr>
        <i/>
        <sz val="11"/>
        <color theme="1"/>
        <rFont val="Verdana"/>
        <family val="2"/>
      </rPr>
      <t>application</t>
    </r>
    <r>
      <rPr>
        <sz val="11"/>
        <color theme="1"/>
        <rFont val="Verdana"/>
        <family val="2"/>
      </rPr>
      <t xml:space="preserve"> and/or user-frontend/portal support multi-factor authentication? (e.g. Duo, Google Authenticator, OTP, etc.)</t>
    </r>
  </si>
  <si>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</si>
  <si>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</si>
  <si>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</si>
  <si>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</si>
  <si>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Do you have an incident response process and reporting in place to investigate any potential incidents and report actual incidents?</t>
  </si>
  <si>
    <t>Do you have a plan to comply with the Breach Notification requirements if there is a breach of data?</t>
  </si>
  <si>
    <t>Have you conducted a risk analysis as required under the Security Rule?</t>
  </si>
  <si>
    <t>Have you identified areas of risks?</t>
  </si>
  <si>
    <t>Have you taken actions to mitigate the identified risks?</t>
  </si>
  <si>
    <t>Does your data backup and retention policies and practices meet HIPAA requirements?</t>
  </si>
  <si>
    <t>Do you have a disaster recovery plan and emergency mode operation plan?</t>
  </si>
  <si>
    <t>Have the policies/plans mentioned above been tested?</t>
  </si>
  <si>
    <t>Are you willing to enter into a Business Associate Agreement (BAA)?</t>
  </si>
  <si>
    <t>Version</t>
  </si>
  <si>
    <t>Description of Change</t>
  </si>
  <si>
    <t>v0.6</t>
  </si>
  <si>
    <t>Do you comply with ISO 9001?</t>
  </si>
  <si>
    <t>Will your company provide quality and performance metrics in relation to the scope of services and performance expectations for the services you are offering?</t>
  </si>
  <si>
    <t>Do you have a program to keep your customers abreast of higher education and/or industry issues?</t>
  </si>
  <si>
    <t>Company Overview</t>
  </si>
  <si>
    <t>Describe your organization’s business background and ownership structure, including all parent and subsidiary relationships.</t>
  </si>
  <si>
    <t>Describe how long your organization has conducted business in this product area.</t>
  </si>
  <si>
    <t>Do you have a Business Continuity Plan (BCP)?</t>
  </si>
  <si>
    <t>Do you have a Disaster Recovery Plan (DRP)?</t>
  </si>
  <si>
    <t>Provide a general summary of your Quality Assurance program.</t>
  </si>
  <si>
    <t>Are video monitoring feeds retained?</t>
  </si>
  <si>
    <t>v0.7</t>
  </si>
  <si>
    <t>v0.8</t>
  </si>
  <si>
    <t>Are systems that support this service managed via a separate management network?</t>
  </si>
  <si>
    <t>Are employee mobile devices managed by your company's Mobile Device Management (MDM) platform?</t>
  </si>
  <si>
    <t>v0.9</t>
  </si>
  <si>
    <t>QUAL-01</t>
  </si>
  <si>
    <t>QUAL-02</t>
  </si>
  <si>
    <t>QUAL-03</t>
  </si>
  <si>
    <t>QUAL-04</t>
  </si>
  <si>
    <t>QUAL-05</t>
  </si>
  <si>
    <t>QUAL-06</t>
  </si>
  <si>
    <t>QUAL-07</t>
  </si>
  <si>
    <t>DOCU-01</t>
  </si>
  <si>
    <t>DOCU-02</t>
  </si>
  <si>
    <t>DOCU-03</t>
  </si>
  <si>
    <t>DOCU-04</t>
  </si>
  <si>
    <t>DOCU-05</t>
  </si>
  <si>
    <t>DOCU-06</t>
  </si>
  <si>
    <t>COMP-01</t>
  </si>
  <si>
    <t>COMP-02</t>
  </si>
  <si>
    <t>COMP-03</t>
  </si>
  <si>
    <t>COMP-04</t>
  </si>
  <si>
    <t>COMP-05</t>
  </si>
  <si>
    <t>COMP-06</t>
  </si>
  <si>
    <t>THRD-01</t>
  </si>
  <si>
    <t>THRD-02</t>
  </si>
  <si>
    <t>THRD-03</t>
  </si>
  <si>
    <t>CONS-01</t>
  </si>
  <si>
    <t>CONS-02</t>
  </si>
  <si>
    <t>CONS-03</t>
  </si>
  <si>
    <t>CONS-04</t>
  </si>
  <si>
    <t>CONS-05</t>
  </si>
  <si>
    <t>CONS-06</t>
  </si>
  <si>
    <t>CONS-07</t>
  </si>
  <si>
    <t>CONS-08</t>
  </si>
  <si>
    <t>CONS-09</t>
  </si>
  <si>
    <t>APPL-01</t>
  </si>
  <si>
    <t>APPL-02</t>
  </si>
  <si>
    <t>APPL-04</t>
  </si>
  <si>
    <t>APPL-05</t>
  </si>
  <si>
    <t>APPL-06</t>
  </si>
  <si>
    <t>APPL-07</t>
  </si>
  <si>
    <t>APPL-08</t>
  </si>
  <si>
    <t>APPL-09</t>
  </si>
  <si>
    <t>APPL-10</t>
  </si>
  <si>
    <t>APPL-11</t>
  </si>
  <si>
    <t>APPL-12</t>
  </si>
  <si>
    <t>APPL-13</t>
  </si>
  <si>
    <t>APPL-14</t>
  </si>
  <si>
    <t>APPL-16</t>
  </si>
  <si>
    <t>APPL-17</t>
  </si>
  <si>
    <t>BCPL-01</t>
  </si>
  <si>
    <t>AAAI-01</t>
  </si>
  <si>
    <t>AAAI-02</t>
  </si>
  <si>
    <t>AAAI-03</t>
  </si>
  <si>
    <t>AAAI-04</t>
  </si>
  <si>
    <t>AAAI-05</t>
  </si>
  <si>
    <t>AAAI-06</t>
  </si>
  <si>
    <t>AAAI-07</t>
  </si>
  <si>
    <t>AAAI-08</t>
  </si>
  <si>
    <t>AAAI-09</t>
  </si>
  <si>
    <t>AAAI-10</t>
  </si>
  <si>
    <t>AAAI-11</t>
  </si>
  <si>
    <t>AAAI-12</t>
  </si>
  <si>
    <t>AAAI-13</t>
  </si>
  <si>
    <t>AAAI-14</t>
  </si>
  <si>
    <t>AAAI-15</t>
  </si>
  <si>
    <t>AAAI-16</t>
  </si>
  <si>
    <t>AAAI-17</t>
  </si>
  <si>
    <t>BCPL-02</t>
  </si>
  <si>
    <t>BCPL-03</t>
  </si>
  <si>
    <t>BCPL-04</t>
  </si>
  <si>
    <t>BCPL-05</t>
  </si>
  <si>
    <t>BCPL-06</t>
  </si>
  <si>
    <t>BCPL-07</t>
  </si>
  <si>
    <t>BCPL-08</t>
  </si>
  <si>
    <t>BCPL-09</t>
  </si>
  <si>
    <t>BCPL-10</t>
  </si>
  <si>
    <t>BCPL-11</t>
  </si>
  <si>
    <t>BCPL-12</t>
  </si>
  <si>
    <t>CHNG-01</t>
  </si>
  <si>
    <t>CHNG-02</t>
  </si>
  <si>
    <t>CHNG-03</t>
  </si>
  <si>
    <t>CHNG-04</t>
  </si>
  <si>
    <t>CHNG-05</t>
  </si>
  <si>
    <t>CHNG-06</t>
  </si>
  <si>
    <t>CHNG-07</t>
  </si>
  <si>
    <t>CHNG-08</t>
  </si>
  <si>
    <t>CHNG-09</t>
  </si>
  <si>
    <t>CHNG-10</t>
  </si>
  <si>
    <t>CHNG-11</t>
  </si>
  <si>
    <t>CHNG-12</t>
  </si>
  <si>
    <t>CHNG-13</t>
  </si>
  <si>
    <t>CHNG-14</t>
  </si>
  <si>
    <t>CHNG-15</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</si>
  <si>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</si>
  <si>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</si>
  <si>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</si>
  <si>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</si>
  <si>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</si>
  <si>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</si>
  <si>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</si>
  <si>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</si>
  <si>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</si>
  <si>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</si>
  <si>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</si>
  <si>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</si>
  <si>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</si>
  <si>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</si>
  <si>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</si>
  <si>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</si>
  <si>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</si>
  <si>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</si>
  <si>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</si>
  <si>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</si>
  <si>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</si>
  <si>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</si>
  <si>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</si>
  <si>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</si>
  <si>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</si>
  <si>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</si>
  <si>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</si>
  <si>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</si>
  <si>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DBAS-01</t>
  </si>
  <si>
    <t>DBAS-02</t>
  </si>
  <si>
    <t>DCTR-01</t>
  </si>
  <si>
    <t>DCTR-02</t>
  </si>
  <si>
    <t>DCTR-03</t>
  </si>
  <si>
    <t>DCTR-04</t>
  </si>
  <si>
    <t>DCTR-05</t>
  </si>
  <si>
    <t>DCTR-06</t>
  </si>
  <si>
    <t>DCTR-07</t>
  </si>
  <si>
    <t>DCTR-08</t>
  </si>
  <si>
    <t>DCTR-09</t>
  </si>
  <si>
    <t>DCTR-10</t>
  </si>
  <si>
    <t>DCTR-11</t>
  </si>
  <si>
    <t>DCTR-12</t>
  </si>
  <si>
    <t>DCTR-13</t>
  </si>
  <si>
    <t>DCTR-14</t>
  </si>
  <si>
    <t>DCTR-15</t>
  </si>
  <si>
    <t>DCTR-16</t>
  </si>
  <si>
    <t>DCTR-17</t>
  </si>
  <si>
    <t>DCTR-18</t>
  </si>
  <si>
    <t>DCTR-19</t>
  </si>
  <si>
    <t>DRPL-01</t>
  </si>
  <si>
    <t>DRPL-02</t>
  </si>
  <si>
    <t>DRPL-03</t>
  </si>
  <si>
    <t>DRPL-04</t>
  </si>
  <si>
    <t>DRPL-05</t>
  </si>
  <si>
    <t>DRPL-06</t>
  </si>
  <si>
    <t>DRPL-07</t>
  </si>
  <si>
    <t>DRPL-08</t>
  </si>
  <si>
    <t>DRPL-09</t>
  </si>
  <si>
    <t>DRPL-10</t>
  </si>
  <si>
    <t>DRPL-11</t>
  </si>
  <si>
    <t>DRPL-12</t>
  </si>
  <si>
    <t>DRPL-13</t>
  </si>
  <si>
    <t>FIDP-01</t>
  </si>
  <si>
    <t>FIDP-02</t>
  </si>
  <si>
    <t>FIDP-03</t>
  </si>
  <si>
    <t>FIDP-04</t>
  </si>
  <si>
    <t>FIDP-05</t>
  </si>
  <si>
    <t>FIDP-06</t>
  </si>
  <si>
    <t>FIDP-07</t>
  </si>
  <si>
    <t>FIDP-08</t>
  </si>
  <si>
    <t>FIDP-09</t>
  </si>
  <si>
    <t>FIDP-10</t>
  </si>
  <si>
    <t>FIDP-11</t>
  </si>
  <si>
    <t>FIDP-12</t>
  </si>
  <si>
    <t>MAPP-01</t>
  </si>
  <si>
    <t>MAPP-02</t>
  </si>
  <si>
    <t>MAPP-03</t>
  </si>
  <si>
    <t>MAPP-04</t>
  </si>
  <si>
    <t>MAPP-05</t>
  </si>
  <si>
    <t>MAPP-06</t>
  </si>
  <si>
    <t>MAPP-07</t>
  </si>
  <si>
    <t>MAPP-08</t>
  </si>
  <si>
    <t>MAPP-09</t>
  </si>
  <si>
    <t>MAPP-10</t>
  </si>
  <si>
    <t>PHYS-01</t>
  </si>
  <si>
    <t>PHYS-02</t>
  </si>
  <si>
    <t>PHYS-03</t>
  </si>
  <si>
    <t>PHYS-04</t>
  </si>
  <si>
    <t>PHYS-05</t>
  </si>
  <si>
    <t>PPPR-01</t>
  </si>
  <si>
    <t>PPPR-02</t>
  </si>
  <si>
    <t>PPPR-03</t>
  </si>
  <si>
    <t>PPPR-04</t>
  </si>
  <si>
    <t>PPPR-05</t>
  </si>
  <si>
    <t>PPPR-06</t>
  </si>
  <si>
    <t>PPPR-07</t>
  </si>
  <si>
    <t>PPPR-08</t>
  </si>
  <si>
    <t>PPPR-09</t>
  </si>
  <si>
    <t>PPPR-10</t>
  </si>
  <si>
    <t>PPPR-11</t>
  </si>
  <si>
    <t>PPPR-12</t>
  </si>
  <si>
    <t>PPPR-13</t>
  </si>
  <si>
    <t>PPPR-14</t>
  </si>
  <si>
    <t>PPPR-15</t>
  </si>
  <si>
    <t>PPPR-16</t>
  </si>
  <si>
    <t>PPPR-17</t>
  </si>
  <si>
    <t>PPPR-18</t>
  </si>
  <si>
    <t>PPPR-19</t>
  </si>
  <si>
    <t>PPPR-20</t>
  </si>
  <si>
    <t>PROD-01</t>
  </si>
  <si>
    <t>PROD-02</t>
  </si>
  <si>
    <t>QLAS-01</t>
  </si>
  <si>
    <t>QLAS-02</t>
  </si>
  <si>
    <t>QLAS-03</t>
  </si>
  <si>
    <t>QLAS-04</t>
  </si>
  <si>
    <t>QLAS-05</t>
  </si>
  <si>
    <t>SYST-01</t>
  </si>
  <si>
    <t>SYST-02</t>
  </si>
  <si>
    <t>SYST-03</t>
  </si>
  <si>
    <t>SYST-04</t>
  </si>
  <si>
    <t>VULN-01</t>
  </si>
  <si>
    <t>VULN-02</t>
  </si>
  <si>
    <t>VULN-03</t>
  </si>
  <si>
    <t>VULN-04</t>
  </si>
  <si>
    <t>VULN-05</t>
  </si>
  <si>
    <t>VULN-06</t>
  </si>
  <si>
    <t>VULN-07</t>
  </si>
  <si>
    <t>VULN-08</t>
  </si>
  <si>
    <t>VULN-09</t>
  </si>
  <si>
    <t>HIPA-01</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</si>
  <si>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</si>
  <si>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</si>
  <si>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</si>
  <si>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</si>
  <si>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</si>
  <si>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</si>
  <si>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</si>
  <si>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</si>
  <si>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</si>
  <si>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</si>
  <si>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</si>
  <si>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</si>
  <si>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</si>
  <si>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</si>
  <si>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</si>
  <si>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</si>
  <si>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</si>
  <si>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</si>
  <si>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</si>
  <si>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</si>
  <si>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</si>
  <si>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</si>
  <si>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</si>
  <si>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</si>
  <si>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</si>
  <si>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</si>
  <si>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</si>
  <si>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</si>
  <si>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HIPA-30</t>
  </si>
  <si>
    <t>HIPA-31</t>
  </si>
  <si>
    <t>PCID-01</t>
  </si>
  <si>
    <t>PCID-02</t>
  </si>
  <si>
    <t>PCID-03</t>
  </si>
  <si>
    <t>PCID-04</t>
  </si>
  <si>
    <t>PCID-05</t>
  </si>
  <si>
    <t>PCID-06</t>
  </si>
  <si>
    <t>PCID-07</t>
  </si>
  <si>
    <t>PCID-08</t>
  </si>
  <si>
    <t>PCID-09</t>
  </si>
  <si>
    <t>PCID-10</t>
  </si>
  <si>
    <t>PCID-11</t>
  </si>
  <si>
    <t>PCID-12</t>
  </si>
  <si>
    <t>DATE-01</t>
  </si>
  <si>
    <t>v0.91</t>
  </si>
  <si>
    <t>v0.92</t>
  </si>
  <si>
    <t>THRD-04</t>
  </si>
  <si>
    <t>COMP-07</t>
  </si>
  <si>
    <t>GNRL-01</t>
  </si>
  <si>
    <t>GNRL-02</t>
  </si>
  <si>
    <t>GNRL-03</t>
  </si>
  <si>
    <t>GNRL-04</t>
  </si>
  <si>
    <t>GNRL-05</t>
  </si>
  <si>
    <t>GNRL-06</t>
  </si>
  <si>
    <t>GNRL-07</t>
  </si>
  <si>
    <t>GNRL-08</t>
  </si>
  <si>
    <t>GNRL-09</t>
  </si>
  <si>
    <t>GNRL-10</t>
  </si>
  <si>
    <t>Describe or provide references to your third party management strategy or provide additional information that may help analysts better understand your environment and how it relates to third-party solutions.</t>
  </si>
  <si>
    <t xml:space="preserve">Describe or provide a reference to additional software/products necessary to implement a functional system on either the backend or user-interface side of the system. </t>
  </si>
  <si>
    <t xml:space="preserve">Describe or provide a reference to the overall system and/or application architecture(s), including appropriate diagrams. Include a full description of the data communications architecture for all components of the system. </t>
  </si>
  <si>
    <t xml:space="preserve">Describe or provide a reference to all web-enabled features and functionality of the system (i.e. accessed via a web-based interface). </t>
  </si>
  <si>
    <t>Describe or provide a reference to the facilities available in the system to provide separation of duties between security administration and system administration functions.</t>
  </si>
  <si>
    <t>Describe or provide a reference to the retention period for those logs, how logs are protected, and whether they are accessible to the customer (and if so, how).</t>
  </si>
  <si>
    <t xml:space="preserve">Describe or provide a reference to the backup processes for the servers on which the service and/or data resides. </t>
  </si>
  <si>
    <t>Describe or provide a reference to the tool(s) used to scan for vulnerabilities in your applications and systems.</t>
  </si>
  <si>
    <t>Describe or provide a reference to how you monitor for and protect against common web application security vulnerabilities (e.g. SQL injection, XSS, XSRF, etc.).</t>
  </si>
  <si>
    <t>Describe or provide a reference to your solution support strategy in relation to maintaining software currency. (i.e. how many concurrent versions are you willing to run and support?)</t>
  </si>
  <si>
    <t>v0.93</t>
  </si>
  <si>
    <t>Do you employ or allow any cryptographic modules that do not conform to the Federal Information Processing Standards (FIPS PUB 140-2)?</t>
  </si>
  <si>
    <t>Target Audience</t>
  </si>
  <si>
    <t>Document Layout</t>
  </si>
  <si>
    <t>Safeguards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</si>
  <si>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</si>
  <si>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This section is focused on company background, size, and business area experience.</t>
  </si>
  <si>
    <t xml:space="preserve">Figure 1: </t>
  </si>
  <si>
    <t xml:space="preserve">Figure 2: </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</si>
  <si>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</si>
  <si>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Optional Safeguards Based on Qualifiers</t>
  </si>
  <si>
    <t xml:space="preserve">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t>
  </si>
  <si>
    <t>v0.94</t>
  </si>
  <si>
    <t>Added Instructions tab, adjusted question ID background color, updated DRP/BCP copy error.</t>
  </si>
  <si>
    <t>v0.95</t>
  </si>
  <si>
    <t>Changed document title to HECVAT. Integrated KDH input.</t>
  </si>
  <si>
    <t>Is the service hosted in a high availability environment?</t>
  </si>
  <si>
    <t>Has the consultant received training on [sensitive, HIPAA, PCI, etc.] data handling?</t>
  </si>
  <si>
    <t>v0.96</t>
  </si>
  <si>
    <t>Does your organization have a data privacy policy?</t>
  </si>
  <si>
    <t>Will any data be transferred to the consultant's possession?</t>
  </si>
  <si>
    <t>Is it encrypted (at rest) while in the consultant's possession?</t>
  </si>
  <si>
    <t>Is sensitive data encrypted in storage (e.g. disk encryption, at-rest)?</t>
  </si>
  <si>
    <t>Do you carry cyber-risk insurance to protect against unforeseen service outages, data that is lost or stolen, and security incidents?</t>
  </si>
  <si>
    <t>Do you perform background screenings or multi-state background checks on all employees prior to their first day of work?</t>
  </si>
  <si>
    <t>Have you entered into a BAA with all subcontractors who may have access to protected health information (PHI)?</t>
  </si>
  <si>
    <t>v0.97</t>
  </si>
  <si>
    <t>Updated Sharing Read Me tab with final language and options table.</t>
  </si>
  <si>
    <t>Added input from NL, 36 modifications across all sections.</t>
  </si>
  <si>
    <t xml:space="preserve">Merged initial comments and suggestions of sub-group members. </t>
  </si>
  <si>
    <t>Added SOC2T2 question to datacenter section.</t>
  </si>
  <si>
    <t>Added Systems and Configuration Management section, added MDM, sep. management networks, system configuration images, Internal audit processes and procedures.</t>
  </si>
  <si>
    <t>Added input from WG meeting on 8/22, removed RiskMgmt section, added question ID's, and removed dup network question.</t>
  </si>
  <si>
    <t>Added Introduction, Sharing Read Me, and Acknowledgements tabs and content. Also updated report specifics in Documentation.</t>
  </si>
  <si>
    <t>Integrated grammatical corrections set by Karl, fixed a minor formula error in a guidance cell.</t>
  </si>
  <si>
    <t>SharedAssessmentsConfirmation</t>
  </si>
  <si>
    <t>Yes; OK to Share</t>
  </si>
  <si>
    <t>No; Sharing Disallowed</t>
  </si>
  <si>
    <t>SharedAssessmentListingConfirmation</t>
  </si>
  <si>
    <t>Yes; OK to List</t>
  </si>
  <si>
    <t>No; Listing Disallowed</t>
  </si>
  <si>
    <t>v0.98</t>
  </si>
  <si>
    <t>v1.00</t>
  </si>
  <si>
    <t>v1.01</t>
  </si>
  <si>
    <t>Corrections for grammar, conditional formatting, and question clarification.</t>
  </si>
  <si>
    <t>UptimeTiers</t>
  </si>
  <si>
    <t>Tier I</t>
  </si>
  <si>
    <t>Tier II</t>
  </si>
  <si>
    <t>Tier III</t>
  </si>
  <si>
    <t>Tier IV</t>
  </si>
  <si>
    <t>v1.02</t>
  </si>
  <si>
    <t>Are databases used in the system segregated from front-end systems? (e.g. web and application servers)</t>
  </si>
  <si>
    <t>Describe or provide a reference that details how administrator access is handled (e.g. provisioning, principle of least privilege, deprovisioning,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</si>
  <si>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</si>
  <si>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the hosting provider have a SOC 2 Type 2 report available?</t>
  </si>
  <si>
    <t>Describe or provide a reference to how your disaster recovery plan is tested? (i.e. scope of DR tests, end-to-end testing, etc.)</t>
  </si>
  <si>
    <t>State and describe who has the authority to change firewall rules?</t>
  </si>
  <si>
    <t>Do you have a documented policy for firewall change requests?</t>
  </si>
  <si>
    <t>Describe or provide a reference to the application's architecture and functionality.</t>
  </si>
  <si>
    <t>Does your application support varying levels of access to administrative tasks defined individually per user?</t>
  </si>
  <si>
    <t>v1.03</t>
  </si>
  <si>
    <t>Grammar and spelling cleanup.</t>
  </si>
  <si>
    <t>Sharing Confirmation section added, updated instructions, updated Sharing Read Me tab, fixed a ton of conditional formatting issues.</t>
  </si>
  <si>
    <t>Finalized for distribution.</t>
  </si>
  <si>
    <t>Is your company a consulting firm providing only consultation to the Institution?</t>
  </si>
  <si>
    <t>Provide a brief description for why each of these third parties will have access to institution data.</t>
  </si>
  <si>
    <t>Have you or any third party you contract with that may have access or allow access to the institution's data experienced a breach?</t>
  </si>
  <si>
    <t>Can you enforce password/passphrase complexity requirements [provided by the institution]?</t>
  </si>
  <si>
    <t>Will any external authentication or authorization system be utilized by an application with access to the institution's data?</t>
  </si>
  <si>
    <t>Will any external authentication or authorization system be utilized by a system with access to institution data?</t>
  </si>
  <si>
    <t>List all locations (i.e. city + datacenter name) where the institution's data will be stored?</t>
  </si>
  <si>
    <t>At the completion of this contract, will data be returned to the institution?</t>
  </si>
  <si>
    <t>Can the institution extract a full backup of data?</t>
  </si>
  <si>
    <t>Is any institution data visible in system administration modules/tools?</t>
  </si>
  <si>
    <t xml:space="preserve">Is redundant power available for all datacenters where institution data will reside? </t>
  </si>
  <si>
    <t>Describe or provide a reference to the availability of cooling and fire suppression systems in all datacenters where institution data will reside.</t>
  </si>
  <si>
    <t>Can you provide an evaluation site to the institution for testing?</t>
  </si>
  <si>
    <t>Have you supplied products and/or services to the Institution (or its Campuses) in the last five years?</t>
  </si>
  <si>
    <t>Will you allow the institution to perform its own security testing of your systems and/or application provided that testing is performed at a mutually agreed upon time and date?</t>
  </si>
  <si>
    <t>If the application is institution-hosted, can all service level and administrative account passwords be changed by the institution?</t>
  </si>
  <si>
    <t>v1.04</t>
  </si>
  <si>
    <t>Minor layout change in preparation for HECVAT-Lite split</t>
  </si>
  <si>
    <t>v1.05</t>
  </si>
  <si>
    <t>Changed University mentions to Institution; final version before SPC 2017</t>
  </si>
  <si>
    <t>Will the consultant require access to Institution's network resources?</t>
  </si>
  <si>
    <t>Will the consultant require access to hardware in the Institution's data centers?</t>
  </si>
  <si>
    <t>Will the consultant require an account within the Institution's domain (@*.edu)?</t>
  </si>
  <si>
    <t>Will the consultant need remote access to the Institution's network or systems?</t>
  </si>
  <si>
    <t>APPL-03</t>
  </si>
  <si>
    <t>APPL-15</t>
  </si>
  <si>
    <t>Are audit logs available that include AT LEAST all of the following; login, logout, actions performed, and source IP address?</t>
  </si>
  <si>
    <t>Describe or provide a reference to your Business Continuity Plan (BCP).</t>
  </si>
  <si>
    <t xml:space="preserve">Are all components of the BCP reviewed at least annually and updated as needed to reflect change? </t>
  </si>
  <si>
    <t>Will Institution's data be stored on any devices (database servers, file servers, SAN, NAS, …) configured with non-RFC 1918/4193 (i.e. publicly routable) IP addresses?</t>
  </si>
  <si>
    <t>Are data backups encrypted?</t>
  </si>
  <si>
    <t>Do current backups include all operating system software, utilities, security software, application software, and data files necessary for recovery?</t>
  </si>
  <si>
    <t>Are physical backups taken off site? (i.e. physically moved off site)</t>
  </si>
  <si>
    <t>Does your company own the physical data center where the Institution's data will reside?</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</si>
  <si>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</si>
  <si>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</si>
  <si>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Describe or provide a reference to your Disaster Recovery Plan (DRP).</t>
  </si>
  <si>
    <t>Is an owner assigned who is responsible for the maintenance and review of the DRP?</t>
  </si>
  <si>
    <t xml:space="preserve">Are all components of the DRP reviewed at least annually and updated as needed to reflect change? </t>
  </si>
  <si>
    <t>Will any of these systems be implemented on systems hosting the Institution's data?</t>
  </si>
  <si>
    <t>MAPP-11</t>
  </si>
  <si>
    <t>Are employees allowed to take home Institution's data in any form?</t>
  </si>
  <si>
    <t>Will you comply with the Institution's IT policies with regards to user privacy and data protection?</t>
  </si>
  <si>
    <t>Do you have an implemented system configuration management process? (e.g. secure "gold" images, etc.)</t>
  </si>
  <si>
    <t>Do you currently use encryption in your database(s)?</t>
  </si>
  <si>
    <t>What operating system(s) is/are leveraged by the system(s)/application(s) that will have access to institution's data?</t>
  </si>
  <si>
    <t>CIS Critical Security Controls v6.1</t>
  </si>
  <si>
    <t>HIPAA</t>
  </si>
  <si>
    <t>NIST SP 800-53r4</t>
  </si>
  <si>
    <t>NIST SP 800-171r1</t>
  </si>
  <si>
    <t>NIST Cybersecurity Framework</t>
  </si>
  <si>
    <t>Does the vended product host/support a mobile application? (e.g. app)</t>
  </si>
  <si>
    <t>Will institution data be shared with or hosted by any third parties? (e.g. any entity not wholly-owned by your company is considered a third-party)</t>
  </si>
  <si>
    <t>CSC 13</t>
  </si>
  <si>
    <t>CSC 18</t>
  </si>
  <si>
    <t>CSC 10</t>
  </si>
  <si>
    <t>CSC 14</t>
  </si>
  <si>
    <t>CSC16</t>
  </si>
  <si>
    <t>CSC 12</t>
  </si>
  <si>
    <t>CSC 2</t>
  </si>
  <si>
    <t>CSC 7</t>
  </si>
  <si>
    <t>CSC 5</t>
  </si>
  <si>
    <t>CSC 16</t>
  </si>
  <si>
    <t>CSC 2, CSC 3</t>
  </si>
  <si>
    <t>CSC 6</t>
  </si>
  <si>
    <t>CSC 1</t>
  </si>
  <si>
    <t>CAC 13</t>
  </si>
  <si>
    <t>CSC 13, CSC 14</t>
  </si>
  <si>
    <t>CSC 3</t>
  </si>
  <si>
    <t>CSC 9</t>
  </si>
  <si>
    <t>CSC 3, CSC 14</t>
  </si>
  <si>
    <t>CSC 10, CSC 12</t>
  </si>
  <si>
    <t>CSC 19</t>
  </si>
  <si>
    <t>CSC 6, CSC 19</t>
  </si>
  <si>
    <t>CSC 13, CSC 18</t>
  </si>
  <si>
    <t>CSC 4</t>
  </si>
  <si>
    <t>CSC 17</t>
  </si>
  <si>
    <t>CSC 4, CSC 17</t>
  </si>
  <si>
    <t>CSC 20</t>
  </si>
  <si>
    <t>CSC 7, CSC 18</t>
  </si>
  <si>
    <t>CSC 16, 5</t>
  </si>
  <si>
    <t>CSC 6, CSC 16</t>
  </si>
  <si>
    <t>CSC 1, CSC 2</t>
  </si>
  <si>
    <t>CSC 12, CSC 13</t>
  </si>
  <si>
    <t>§164.308(a)(1)(i)</t>
  </si>
  <si>
    <t>§164.308(a)(1)(ii)(B)</t>
  </si>
  <si>
    <t>§164.308(a)(5)(i)</t>
  </si>
  <si>
    <t>§164.316(b)(2)(iii)</t>
  </si>
  <si>
    <t>§164.308(a)(2)</t>
  </si>
  <si>
    <t>§164.308(a)(6)(i)</t>
  </si>
  <si>
    <t>§164.308(a)(5)(ii)(D)</t>
  </si>
  <si>
    <t>§ 164.308(a)(1)(ii)(D)</t>
  </si>
  <si>
    <t>§164.312(b)</t>
  </si>
  <si>
    <t>§164.312(a)(2)(ii)</t>
  </si>
  <si>
    <t>§164.308(a)(7)(i)</t>
  </si>
  <si>
    <t>§164.308(b)(2)</t>
  </si>
  <si>
    <t>§164.308(a)(1)(i), §164.308(a)(1)(ii)(A)</t>
  </si>
  <si>
    <t>§164.308(a)(4), §164.312(a)(2)(ii),  
§164.312(a)(2)(iii)</t>
  </si>
  <si>
    <t>§164.308(a)(4),
§164.312(a)(2)(ii), §164.312(a)(2)(iii)</t>
  </si>
  <si>
    <t>§164.308(b)(1),
§164.308(b)(3), §164.314(a)(1)(i)</t>
  </si>
  <si>
    <t>Discovery</t>
  </si>
  <si>
    <t>18.1.1</t>
  </si>
  <si>
    <t>17.1.2</t>
  </si>
  <si>
    <t>15.2.1</t>
  </si>
  <si>
    <t>18.1.4</t>
  </si>
  <si>
    <t>15.2.2</t>
  </si>
  <si>
    <t>14.2.1</t>
  </si>
  <si>
    <t>15.1.3</t>
  </si>
  <si>
    <t>9.1.2</t>
  </si>
  <si>
    <t>9.2.6</t>
  </si>
  <si>
    <t>11.2.6</t>
  </si>
  <si>
    <t>9.2.2</t>
  </si>
  <si>
    <t>9.1.1</t>
  </si>
  <si>
    <t>12.5.1</t>
  </si>
  <si>
    <t>12.1.1</t>
  </si>
  <si>
    <t>12.1.4</t>
  </si>
  <si>
    <t>14.2.5</t>
  </si>
  <si>
    <t>9.2.3, 12.1.4</t>
  </si>
  <si>
    <t>9.4.3</t>
  </si>
  <si>
    <t>12.4</t>
  </si>
  <si>
    <t>9.2.3, 9.3.1, 9.4.3</t>
  </si>
  <si>
    <t>9.1.1, 9.2.3, 9.3.1, 9.4.3</t>
  </si>
  <si>
    <t>9</t>
  </si>
  <si>
    <t>10</t>
  </si>
  <si>
    <t>13</t>
  </si>
  <si>
    <t>17.1.1</t>
  </si>
  <si>
    <t>17.1.3</t>
  </si>
  <si>
    <t>17.2.1</t>
  </si>
  <si>
    <t>17</t>
  </si>
  <si>
    <t>7.2.2, 16.1.1, 17.1.3</t>
  </si>
  <si>
    <t>7.2.2, 17.1.3</t>
  </si>
  <si>
    <t>12.1.2</t>
  </si>
  <si>
    <t>12.6.1</t>
  </si>
  <si>
    <t>8.2.1</t>
  </si>
  <si>
    <t>10.1.1</t>
  </si>
  <si>
    <t>8.2.3, 10.1.1</t>
  </si>
  <si>
    <t>8.1.4</t>
  </si>
  <si>
    <t>12.3.1</t>
  </si>
  <si>
    <t>8.1.2</t>
  </si>
  <si>
    <t>10.1.2</t>
  </si>
  <si>
    <t>8.3.1</t>
  </si>
  <si>
    <t>13.2</t>
  </si>
  <si>
    <t>8.3.1, 18.1.1</t>
  </si>
  <si>
    <t>11.1.1</t>
  </si>
  <si>
    <t>13.1.2</t>
  </si>
  <si>
    <t>11.2.1</t>
  </si>
  <si>
    <t>11.1.4</t>
  </si>
  <si>
    <t>11.1.1, 11.1.2</t>
  </si>
  <si>
    <t>7.1.3</t>
  </si>
  <si>
    <t>16.1.1, 17.1.1</t>
  </si>
  <si>
    <t>13.1.1</t>
  </si>
  <si>
    <t>12.4.1</t>
  </si>
  <si>
    <t>8.2.1; 8.2.3</t>
  </si>
  <si>
    <t>8.2.3</t>
  </si>
  <si>
    <t>9.4.2</t>
  </si>
  <si>
    <t>12.7.1, 18.2.1</t>
  </si>
  <si>
    <t>11.1.2</t>
  </si>
  <si>
    <t>11.1.2, 11.1.3</t>
  </si>
  <si>
    <t>11.1.2,  11.1.3</t>
  </si>
  <si>
    <t>5.1.1</t>
  </si>
  <si>
    <t>14.2.8</t>
  </si>
  <si>
    <t>16.1.5</t>
  </si>
  <si>
    <t>7.1.1</t>
  </si>
  <si>
    <t>7.1.2</t>
  </si>
  <si>
    <t>7.2.2</t>
  </si>
  <si>
    <t>9.2.5</t>
  </si>
  <si>
    <t>12.7.1</t>
  </si>
  <si>
    <t>10.1.1, 18.1.5</t>
  </si>
  <si>
    <t>14.2.1, 14.2.5, 14.2.8</t>
  </si>
  <si>
    <t>6.2.1</t>
  </si>
  <si>
    <t>18.2.1</t>
  </si>
  <si>
    <t>16.1.1</t>
  </si>
  <si>
    <t>9.2.3</t>
  </si>
  <si>
    <t>18.1.1, 7.2.2</t>
  </si>
  <si>
    <t>16.1.2, 16.1.5, 18.1.1</t>
  </si>
  <si>
    <t>§164.308(a)(6)(ii)</t>
  </si>
  <si>
    <t>§164.308(a)(4),
§164.312(a)(1), §164.312(a)(2)(i), 
§164.312(d)</t>
  </si>
  <si>
    <t>§164.308(a)(4), 
§164.312(a)(1), §164.312(a)(2)(i),
§164.312(d)</t>
  </si>
  <si>
    <t>§164.308(a)(4), 
§164.312(a)(1), §164.312(a)(2)(i), 
§164.312(d)</t>
  </si>
  <si>
    <t>§164.308(a)(3)(i), §164.308(b)(1), 
§164.308(b)(3), §164.314(a)(1)(i)</t>
  </si>
  <si>
    <t>§164.308(a)(4), 
§164.312(a)(1)</t>
  </si>
  <si>
    <t>§164.308(a)(4), 
§164.312(d)</t>
  </si>
  <si>
    <t>ID.GV-3</t>
  </si>
  <si>
    <t>ID.AM-6, PR.AT-3</t>
  </si>
  <si>
    <t>PR.IP-9</t>
  </si>
  <si>
    <t>3.8.2</t>
  </si>
  <si>
    <t>3.1.2, 3.1.3</t>
  </si>
  <si>
    <t>3.1.2</t>
  </si>
  <si>
    <t>3.1.2, 3.1.19, 3.8.2</t>
  </si>
  <si>
    <t>3.1.1, 3.1.2, 3.1.7</t>
  </si>
  <si>
    <t>3.4.9</t>
  </si>
  <si>
    <t>3.1.12, 3.1.13, 3.1.14, 3.1.14, 3.1.15, 3.1.8, 3.1.20, 3.7.5, 3.8.2, 3.13.7</t>
  </si>
  <si>
    <t>3.1.4</t>
  </si>
  <si>
    <t>3.1.1, 3.1.5, 3.1.6, 3.7.1, 3.7.2</t>
  </si>
  <si>
    <t>3.5.6</t>
  </si>
  <si>
    <t>3.5.7</t>
  </si>
  <si>
    <t>3.5.5, 3.5.8</t>
  </si>
  <si>
    <t>3.5.1</t>
  </si>
  <si>
    <t>3.5.10</t>
  </si>
  <si>
    <t>3.5.2, 3.5.3</t>
  </si>
  <si>
    <t>3.1.1</t>
  </si>
  <si>
    <t>3.1.7, 3.3.1</t>
  </si>
  <si>
    <t>3.1.7, 3.3.2, 3.3.3, 3.3.4, 3.3.5, 3.4.3, 3.7.1, 3.7.6, 3.10.4, 3.10.5</t>
  </si>
  <si>
    <t>3.3.8, 3.3.9</t>
  </si>
  <si>
    <t>3.12.2</t>
  </si>
  <si>
    <t>3.2.1, 3.2.2</t>
  </si>
  <si>
    <t>3.4.3, 3.4.4</t>
  </si>
  <si>
    <t>3.4.3, 3.4.4, 3.4.5</t>
  </si>
  <si>
    <t>3.4.4</t>
  </si>
  <si>
    <t>3.14.4</t>
  </si>
  <si>
    <t>3.1.3, 3.8.1</t>
  </si>
  <si>
    <t>3.1.22</t>
  </si>
  <si>
    <t>3.1.19, 3.8.1</t>
  </si>
  <si>
    <t>3.8.1</t>
  </si>
  <si>
    <t>3.8.9</t>
  </si>
  <si>
    <t>3.13.10</t>
  </si>
  <si>
    <t>3.8.1, 3.8.9</t>
  </si>
  <si>
    <t>3.8.1, 3.8.5, 3.8.9</t>
  </si>
  <si>
    <t>3.7.1, 3.7.2, 3.8.3</t>
  </si>
  <si>
    <t>3.7.3, 3.8.3,</t>
  </si>
  <si>
    <t>3.8.1, 3.8.2</t>
  </si>
  <si>
    <t>3.8.6, 3.13.11</t>
  </si>
  <si>
    <t>3.1.3</t>
  </si>
  <si>
    <t>3.6.2</t>
  </si>
  <si>
    <t>3.6.1, 3.14.6, 3.14.7</t>
  </si>
  <si>
    <t>3.3.1</t>
  </si>
  <si>
    <t>3.1.19</t>
  </si>
  <si>
    <t>3.8.2, 3.10.1, 3.10.2, 3.10.5, 3.10.6, 3.12.1</t>
  </si>
  <si>
    <t>3.10.2</t>
  </si>
  <si>
    <t>3.8.1, 3.8.5, 3.8.7</t>
  </si>
  <si>
    <t>3.7.3, 3.8.1, 3.8.5, 3.8.7, 3.10.3</t>
  </si>
  <si>
    <t>3.9.1, 3.9.2</t>
  </si>
  <si>
    <t>3.13.2</t>
  </si>
  <si>
    <t>3.6.1, 3.12.2</t>
  </si>
  <si>
    <t>3.6.2,</t>
  </si>
  <si>
    <t>3.9.1</t>
  </si>
  <si>
    <t>3.2.1</t>
  </si>
  <si>
    <t>3.2.1, 3.2.2, 3.2.3</t>
  </si>
  <si>
    <t>3.1.7</t>
  </si>
  <si>
    <t>3.4.1, 3.4.2, 3.4.3</t>
  </si>
  <si>
    <t>3.13.13</t>
  </si>
  <si>
    <t>3.1.18, 3.7.1, 3.13.13</t>
  </si>
  <si>
    <t>3.11.1, 3.11.2, 3.11.3</t>
  </si>
  <si>
    <t>3.11.1, 3.11.2, 3.11.3, 3.14.2</t>
  </si>
  <si>
    <t>3.2.2</t>
  </si>
  <si>
    <t>3.6.1, 3.14.1</t>
  </si>
  <si>
    <t>3.6.2, 3.12.2</t>
  </si>
  <si>
    <t>3.5.9</t>
  </si>
  <si>
    <t>3.1.8</t>
  </si>
  <si>
    <t>3.1.10, 3.1.11</t>
  </si>
  <si>
    <t>3.1.2, 3.1.5</t>
  </si>
  <si>
    <t>3.3.2</t>
  </si>
  <si>
    <t>3.6.3, 3.12.2</t>
  </si>
  <si>
    <t>ID.AM-6, PR-AT-3</t>
  </si>
  <si>
    <t>ID.AM-5</t>
  </si>
  <si>
    <t>PR.AC-4</t>
  </si>
  <si>
    <t>PR.AC-4, PR.PT-3</t>
  </si>
  <si>
    <t>PR.AC-3, PR.MA-2</t>
  </si>
  <si>
    <t>PR.PT-3</t>
  </si>
  <si>
    <t>ID.AM-2</t>
  </si>
  <si>
    <t>ID.AM-1, ID.AM-2, ID.AM-4</t>
  </si>
  <si>
    <t>PR.DS-6</t>
  </si>
  <si>
    <t>PR.AC-1</t>
  </si>
  <si>
    <t>PR.AC-1, PR.AC-4</t>
  </si>
  <si>
    <t>PR.PT-1</t>
  </si>
  <si>
    <t>PR.IP-3</t>
  </si>
  <si>
    <t>PR.IP-3, PR.DS-7</t>
  </si>
  <si>
    <t>ID.AM-3</t>
  </si>
  <si>
    <t>PR.AC-2, PR.IP-5</t>
  </si>
  <si>
    <t>PR.DS-2</t>
  </si>
  <si>
    <t>PR.DS-1</t>
  </si>
  <si>
    <t>PR.IP-4</t>
  </si>
  <si>
    <t>PR.DS-1, PR.IP-4</t>
  </si>
  <si>
    <t>ID.AM-1, ID.AM-2, PR.IP-9</t>
  </si>
  <si>
    <t>PR.DS-3</t>
  </si>
  <si>
    <t>PR.DS-3, ID.GV-3</t>
  </si>
  <si>
    <t>PR.DS-1, PR.DS-2</t>
  </si>
  <si>
    <t>PR.AC-2</t>
  </si>
  <si>
    <t>PR.AC-5</t>
  </si>
  <si>
    <t>PR.DS-4</t>
  </si>
  <si>
    <t>PR.DS-5</t>
  </si>
  <si>
    <t>DE.CM-1</t>
  </si>
  <si>
    <t>DE.CM-1, DE.CM-2, DE.CM-7</t>
  </si>
  <si>
    <t>DE.AE-1, DE.CM-1, PR.PT-4</t>
  </si>
  <si>
    <t>DE.CM-7</t>
  </si>
  <si>
    <t>DE.CM-7, PR.DS-2</t>
  </si>
  <si>
    <t>DE.CM-7, PR.DS-1</t>
  </si>
  <si>
    <t>DE.CM-7, DE.CM-8, ID.RA-1</t>
  </si>
  <si>
    <t>PR.AC-2, PR.AT-5, PR.IP-5, DE.CM-2</t>
  </si>
  <si>
    <t>PR.AC-2, PR.AC-4, PR.DS-1, PR.DS-3, PR.DS-5</t>
  </si>
  <si>
    <t>DE.CM-2</t>
  </si>
  <si>
    <t>ID.GV-2</t>
  </si>
  <si>
    <t>PR.IP-12</t>
  </si>
  <si>
    <t>DE.CM-8, RS.MI-3</t>
  </si>
  <si>
    <t>PR.DS-7</t>
  </si>
  <si>
    <t>PR.IP-2</t>
  </si>
  <si>
    <t>PR.IP-11</t>
  </si>
  <si>
    <t>PR.AT-1</t>
  </si>
  <si>
    <t>PR.PT-4</t>
  </si>
  <si>
    <t>PR.IP-1</t>
  </si>
  <si>
    <t>PR.IP-1, PR.IP-2</t>
  </si>
  <si>
    <t>DE.CM-8</t>
  </si>
  <si>
    <t>ID.RA-1, DE.CM-8, PR.IP-12</t>
  </si>
  <si>
    <t>RA-2</t>
  </si>
  <si>
    <t>IA-2, IA-3, CM-3, SI-2</t>
  </si>
  <si>
    <t>AU-7, AU-9, IR-4</t>
  </si>
  <si>
    <t>CA-5, PL-2</t>
  </si>
  <si>
    <t>SA-9</t>
  </si>
  <si>
    <t>PE-2, PE-3, PE-5, PE-11, PE-13, PE-14, SA-9</t>
  </si>
  <si>
    <t xml:space="preserve">SA-3, SA-15, SC-2, PM-2, PM-10, SI-5,PM-3 </t>
  </si>
  <si>
    <t>MP-2, RA-3</t>
  </si>
  <si>
    <t>PS-3</t>
  </si>
  <si>
    <t>PS-5</t>
  </si>
  <si>
    <t>AC-4</t>
  </si>
  <si>
    <t>MP-2</t>
  </si>
  <si>
    <t>AC-2, AC-3, AC-6</t>
  </si>
  <si>
    <t>CM-11</t>
  </si>
  <si>
    <t>AC-17; NIST SP 800-46</t>
  </si>
  <si>
    <t>AC-3, CM-7; NIST SP 800-46</t>
  </si>
  <si>
    <t>CA-9, SC-4</t>
  </si>
  <si>
    <t>AC-5</t>
  </si>
  <si>
    <t>AC-2, AC-3, AC-6, MA-2, MA-3</t>
  </si>
  <si>
    <t>IA-4</t>
  </si>
  <si>
    <t>IA-5(1)</t>
  </si>
  <si>
    <t>IA-2, IA-5</t>
  </si>
  <si>
    <t>IA-5</t>
  </si>
  <si>
    <t>AC-6(1,3,9), AU-2, AU-2(3), AU-3, AU-7, AU-9(4), AU-12, NIST 800-92</t>
  </si>
  <si>
    <t>AU-2(3), AU-6, AU-12, AC-6(9), CM-3, MA-2, MA-5, PE-3</t>
  </si>
  <si>
    <t>AU-9</t>
  </si>
  <si>
    <t>AU-7, AU-9, IR-4, AC-5, CP-4, CP-10; NIST SP 800-34</t>
  </si>
  <si>
    <t>AC-5, CP-4, CP-10; NIST SP 800-34</t>
  </si>
  <si>
    <t>AT-3, AC-5, CP-4, CP-10; NIST SP 800-34</t>
  </si>
  <si>
    <t>CM-3, CM-4, CM-5</t>
  </si>
  <si>
    <t>AC-4, MP-2, MP-4</t>
  </si>
  <si>
    <t>AC-22</t>
  </si>
  <si>
    <t>MP-2, AC-19(5)</t>
  </si>
  <si>
    <t>PE-2, PE-3, PE-5, MP-5</t>
  </si>
  <si>
    <t>CP-9</t>
  </si>
  <si>
    <t>CP-9 MP-6, NIST SP 800-60, NIST SP 800-88, AC-2, AC-6, IA-4, PM-2, PM-10, SI-5, MA-2, MA-3, MP-6</t>
  </si>
  <si>
    <t>AC-2, AC-6, IA-4, PM-2, PM-10, SI-5, MA-2</t>
  </si>
  <si>
    <t>SI-12, AC-2, AC-6, IA-4, PM-2, PM-10, SI-5, MA-2</t>
  </si>
  <si>
    <t>AC-2, AC-6, IA-4, PM-2, PM-10, SI-5</t>
  </si>
  <si>
    <t>SC-28, SC-13, FIPS PUB 140-2</t>
  </si>
  <si>
    <t>CP-9, MP-5</t>
  </si>
  <si>
    <t>PE-2, PE-3, PE-5, PE-11, PE-13, PE-14</t>
  </si>
  <si>
    <t>IR-2, IR-4, IR-5</t>
  </si>
  <si>
    <t>IR-2, IR-4, IR-9</t>
  </si>
  <si>
    <t>IR-2, IR-4, IR-10</t>
  </si>
  <si>
    <t>AU-2</t>
  </si>
  <si>
    <t>AC-19(5)</t>
  </si>
  <si>
    <t>MP-4, PE-2, PE-5, PE-6, PE-17</t>
  </si>
  <si>
    <t>MP-2, MP-5, MP-7</t>
  </si>
  <si>
    <t>PE-6</t>
  </si>
  <si>
    <t>PM-2, PM-10, SI-5, CA-5, PM-1</t>
  </si>
  <si>
    <t>CA-5, PM-1</t>
  </si>
  <si>
    <t>CM-3, SA-15, SA-3, SA-8, SC-2, CA-5, PM-1</t>
  </si>
  <si>
    <t>CA-5, PM-1, IR-4, IR-5, IR-7, IR-8</t>
  </si>
  <si>
    <t>CA-5, PM-1, IR-4, IR-5, IR-6, IR-7, IR-8</t>
  </si>
  <si>
    <t>CA-2, SA-15, CA-5, PM-1, IR-4, IR-5, IR-6, R-7, IR-8</t>
  </si>
  <si>
    <t>CA-5, PM-1, PS-3</t>
  </si>
  <si>
    <t>AT-2, CA-5, PM-1</t>
  </si>
  <si>
    <t>AT-2, AT-3, CA-5, PM-1</t>
  </si>
  <si>
    <t>CA-5, PM-1, PS-4, PS-5, PE-2, PE-3, PE-5, AC-6, RA-3, SA-8, CA-2, NIST SP 800-37; NIST SP 800-39; NIST SP 800-115; NIST SP 800-137</t>
  </si>
  <si>
    <t>CM-2, CM-3, CM-6, CM-8</t>
  </si>
  <si>
    <t>CM-2, CM-6, CM-3, AC-19, MA-2</t>
  </si>
  <si>
    <t>SI-2</t>
  </si>
  <si>
    <t>AT-3</t>
  </si>
  <si>
    <t>IR-2, IR-4, IR-5, IR-7</t>
  </si>
  <si>
    <t>IR-6</t>
  </si>
  <si>
    <t>AC-7</t>
  </si>
  <si>
    <t>AC-11, AC-11(1), AC-12</t>
  </si>
  <si>
    <t>AU-2, AU-6, AU-12</t>
  </si>
  <si>
    <t>AU-3</t>
  </si>
  <si>
    <t>ISO 27002:2013</t>
  </si>
  <si>
    <t>v1.06</t>
  </si>
  <si>
    <t>Added standards crosswalk and Cloud Broker Index (CBI) information</t>
  </si>
  <si>
    <t>Are you compliant with FISMA standards?</t>
  </si>
  <si>
    <t>Do you have existing higher education customers?</t>
  </si>
  <si>
    <t>Have you had a significant breach in the last 5 years?</t>
  </si>
  <si>
    <t>Do you have a dedicated Information Security staff or office?</t>
  </si>
  <si>
    <t>Use this area to share information about your environment that will assist those who are assessing your company data security program.</t>
  </si>
  <si>
    <t>Do you support role-based access control (RBAC) for end-users?</t>
  </si>
  <si>
    <t>Do you support role-based access control (RBAC) for system administrators?</t>
  </si>
  <si>
    <t>Can employees access customer data remotely?</t>
  </si>
  <si>
    <t>Can you provide overall system and/or application architecture diagrams including a full description of the data communications architecture for all components of the system?</t>
  </si>
  <si>
    <t xml:space="preserve">Do you employ a single-tenant environment? </t>
  </si>
  <si>
    <t>Will the consulting take place on-premises?</t>
  </si>
  <si>
    <r>
      <t xml:space="preserve">Does your </t>
    </r>
    <r>
      <rPr>
        <i/>
        <sz val="11"/>
        <color theme="1"/>
        <rFont val="Verdana"/>
        <family val="2"/>
      </rPr>
      <t xml:space="preserve">application </t>
    </r>
    <r>
      <rPr>
        <sz val="11"/>
        <color theme="1"/>
        <rFont val="Verdana"/>
        <family val="2"/>
      </rPr>
      <t>support integration with other authentication and authorization systems?  List which ones (such as Active Directory, Kerberos and what version) in Additional Info?</t>
    </r>
  </si>
  <si>
    <t>Has the Disaster Recovery Plan been tested in the last year?  Please provide a summary of the results in Additional Information (including actual recovery time).</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</si>
  <si>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</si>
  <si>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</si>
  <si>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</si>
  <si>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</si>
  <si>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</si>
  <si>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</si>
  <si>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</si>
  <si>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</si>
  <si>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</si>
  <si>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</si>
  <si>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</si>
  <si>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</si>
  <si>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</si>
  <si>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Mobile device policy</t>
  </si>
  <si>
    <t>6.2.2</t>
  </si>
  <si>
    <t>Teleworking</t>
  </si>
  <si>
    <t>Screening</t>
  </si>
  <si>
    <t>Terms and conditions of employment</t>
  </si>
  <si>
    <t>7.2.1</t>
  </si>
  <si>
    <t>Management responsibilities</t>
  </si>
  <si>
    <t>Information security awareness, education and training</t>
  </si>
  <si>
    <t>7.2.3</t>
  </si>
  <si>
    <t>Disciplinary process</t>
  </si>
  <si>
    <t>7.3.1</t>
  </si>
  <si>
    <t>Termination or change of employment responsibilities</t>
  </si>
  <si>
    <t>8.1.1</t>
  </si>
  <si>
    <t>Inventory of assets</t>
  </si>
  <si>
    <t>Ownership of assets</t>
  </si>
  <si>
    <t>8.1.3</t>
  </si>
  <si>
    <t>Acceptable use of assets</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</si>
  <si>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</si>
  <si>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</si>
  <si>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</si>
  <si>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</si>
  <si>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</si>
  <si>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</si>
  <si>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</si>
  <si>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</si>
  <si>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</si>
  <si>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</si>
  <si>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</si>
  <si>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Access to networks and network services</t>
  </si>
  <si>
    <t>9.2.1</t>
  </si>
  <si>
    <t>User registration and de-registration</t>
  </si>
  <si>
    <t>User access provisioning</t>
  </si>
  <si>
    <t>Management of privileged access rights</t>
  </si>
  <si>
    <t>9.2.4</t>
  </si>
  <si>
    <t>Management of secret authentication information of users</t>
  </si>
  <si>
    <t>Review of user access rights</t>
  </si>
  <si>
    <t>Removal or adjustment of access rights</t>
  </si>
  <si>
    <t>9.3.1</t>
  </si>
  <si>
    <t>Use of secret authentication information</t>
  </si>
  <si>
    <t>9.4.1</t>
  </si>
  <si>
    <t>Information access restriction</t>
  </si>
  <si>
    <t>Secure log-on procedures</t>
  </si>
  <si>
    <t>Password management system</t>
  </si>
  <si>
    <t>9.4.4</t>
  </si>
  <si>
    <t>Use of privileged utility programs</t>
  </si>
  <si>
    <t>9.4.5</t>
  </si>
  <si>
    <t>Access control to program source code</t>
  </si>
  <si>
    <t>Policy on the use of cryptographic controls</t>
  </si>
  <si>
    <t>Key management</t>
  </si>
  <si>
    <t>Physical security perimeter</t>
  </si>
  <si>
    <t>Physical entry controls</t>
  </si>
  <si>
    <t>11.1.3</t>
  </si>
  <si>
    <t>Securing offices, rooms and facilities</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</si>
  <si>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</si>
  <si>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</si>
  <si>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</si>
  <si>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</si>
  <si>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</si>
  <si>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</si>
  <si>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</si>
  <si>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</si>
  <si>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</si>
  <si>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</si>
  <si>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</si>
  <si>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</si>
  <si>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</si>
  <si>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</si>
  <si>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</si>
  <si>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</si>
  <si>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</si>
  <si>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</si>
  <si>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</si>
  <si>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</si>
  <si>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</si>
  <si>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</si>
  <si>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</si>
  <si>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</si>
  <si>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</si>
  <si>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</si>
  <si>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</si>
  <si>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</si>
  <si>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</si>
  <si>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</si>
  <si>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</si>
  <si>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</si>
  <si>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</si>
  <si>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</si>
  <si>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</si>
  <si>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</si>
  <si>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Installation of software on operational systems</t>
  </si>
  <si>
    <t>Management of technical vulnerabilities</t>
  </si>
  <si>
    <t>12.6.2</t>
  </si>
  <si>
    <t>Restrictions on software installation</t>
  </si>
  <si>
    <t>Information systems audit controls</t>
  </si>
  <si>
    <t xml:space="preserve">Network controls </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</si>
  <si>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</si>
  <si>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</si>
  <si>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</si>
  <si>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</si>
  <si>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</si>
  <si>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</si>
  <si>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</si>
  <si>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</si>
  <si>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</si>
  <si>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</si>
  <si>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</si>
  <si>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</si>
  <si>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</si>
  <si>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</si>
  <si>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</si>
  <si>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</si>
  <si>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</si>
  <si>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</si>
  <si>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</si>
  <si>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</si>
  <si>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</si>
  <si>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</si>
  <si>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</si>
  <si>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</si>
  <si>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</si>
  <si>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</si>
  <si>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</si>
  <si>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</si>
  <si>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</si>
  <si>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System security testing</t>
  </si>
  <si>
    <t>14.2.9</t>
  </si>
  <si>
    <t>System acceptance testing</t>
  </si>
  <si>
    <t>14.3.1</t>
  </si>
  <si>
    <t>Protection of test data</t>
  </si>
  <si>
    <t>15.1.1</t>
  </si>
  <si>
    <t>Information security policy for supplier relationships</t>
  </si>
  <si>
    <t>15.1.2</t>
  </si>
  <si>
    <t>Addressing security within supplier agreements</t>
  </si>
  <si>
    <t>Information and communication technology supply chain</t>
  </si>
  <si>
    <t>Monitoring and review of supplier services</t>
  </si>
  <si>
    <t>Managing changes to supplier services</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</si>
  <si>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</si>
  <si>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</si>
  <si>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</si>
  <si>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</si>
  <si>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</si>
  <si>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</si>
  <si>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</si>
  <si>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</si>
  <si>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</si>
  <si>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</si>
  <si>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</si>
  <si>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</si>
  <si>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</si>
  <si>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</si>
  <si>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</si>
  <si>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</si>
  <si>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</si>
  <si>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</si>
  <si>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</si>
  <si>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</si>
  <si>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</si>
  <si>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</si>
  <si>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</si>
  <si>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</si>
  <si>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Independent review of information security</t>
  </si>
  <si>
    <t>18.2.2</t>
  </si>
  <si>
    <t>Compliance with security policies and standards</t>
  </si>
  <si>
    <t>18.2.3</t>
  </si>
  <si>
    <t>Technical compliance review</t>
  </si>
  <si>
    <t>Handling of assets; Policy on the use of cryptographic controls</t>
  </si>
  <si>
    <t>11.1.1,11.1.2</t>
  </si>
  <si>
    <t>Physical security perimeter; Physical entry controls</t>
  </si>
  <si>
    <t>Management of privileged access rights; Use of secret authentication information; Password management system</t>
  </si>
  <si>
    <t>Access control policy; Management of privileged access rights; Use of secret authentication information; Password management system</t>
  </si>
  <si>
    <t>Inventory of Authorized and Unauthorized Devices</t>
  </si>
  <si>
    <t>Inventory of Authorized and Unauthorized Software</t>
  </si>
  <si>
    <t>Secure Configurations for Hardware and Software</t>
  </si>
  <si>
    <t>Continuous Vulnerability Assessment and Remediation</t>
  </si>
  <si>
    <t>Malware Defenses</t>
  </si>
  <si>
    <t>Application Software Security</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</si>
  <si>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</si>
  <si>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</si>
  <si>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</si>
  <si>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</si>
  <si>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</si>
  <si>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</si>
  <si>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</si>
  <si>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</si>
  <si>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</si>
  <si>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</si>
  <si>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</si>
  <si>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</si>
  <si>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</si>
  <si>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</si>
  <si>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Incident Response and Management</t>
  </si>
  <si>
    <t>Secure Network Engineering</t>
  </si>
  <si>
    <t>Penetration Tests and Red Team Exercises</t>
  </si>
  <si>
    <t>ID.AM-1</t>
  </si>
  <si>
    <t xml:space="preserve"> Physical devices and systems within the organization are inventoried</t>
  </si>
  <si>
    <t xml:space="preserve"> Software platforms and applications within the organization are inventoried</t>
  </si>
  <si>
    <t xml:space="preserve"> Organizational communication and data flows are mapped</t>
  </si>
  <si>
    <t>ID.AM-4</t>
  </si>
  <si>
    <t xml:space="preserve"> External information systems are catalogued</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</si>
  <si>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</si>
  <si>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</si>
  <si>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</si>
  <si>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</si>
  <si>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</si>
  <si>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</si>
  <si>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</si>
  <si>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</si>
  <si>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</si>
  <si>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</si>
  <si>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</si>
  <si>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</si>
  <si>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</si>
  <si>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</si>
  <si>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</si>
  <si>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</si>
  <si>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</si>
  <si>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</si>
  <si>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</si>
  <si>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</si>
  <si>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</si>
  <si>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</si>
  <si>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</si>
  <si>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</si>
  <si>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</si>
  <si>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</si>
  <si>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</si>
  <si>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</si>
  <si>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</si>
  <si>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</si>
  <si>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</si>
  <si>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</si>
  <si>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</si>
  <si>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</si>
  <si>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</si>
  <si>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</si>
  <si>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</si>
  <si>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</si>
  <si>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</si>
  <si>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</si>
  <si>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</si>
  <si>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</si>
  <si>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</si>
  <si>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</si>
  <si>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</si>
  <si>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</si>
  <si>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</si>
  <si>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</si>
  <si>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</si>
  <si>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</si>
  <si>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</si>
  <si>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</si>
  <si>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</si>
  <si>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 xml:space="preserve"> Data-in-transit is protected</t>
  </si>
  <si>
    <t xml:space="preserve"> Assets are formally managed throughout removal, transfers, and disposition</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</si>
  <si>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</si>
  <si>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</si>
  <si>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</si>
  <si>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 xml:space="preserve"> The development and testing environment(s) are separate from the production environment</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</si>
  <si>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</si>
  <si>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</si>
  <si>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</si>
  <si>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</si>
  <si>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</si>
  <si>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</si>
  <si>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</si>
  <si>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</si>
  <si>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</si>
  <si>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</si>
  <si>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</si>
  <si>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</si>
  <si>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</si>
  <si>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</si>
  <si>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</si>
  <si>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 xml:space="preserve"> Cybersecurity is included in human resources practices (e.g., deprovisioning, personnel screening)</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</si>
  <si>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</si>
  <si>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</si>
  <si>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</si>
  <si>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</si>
  <si>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</si>
  <si>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</si>
  <si>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</si>
  <si>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</si>
  <si>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</si>
  <si>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</si>
  <si>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</si>
  <si>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</si>
  <si>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</si>
  <si>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</si>
  <si>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</si>
  <si>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</si>
  <si>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</si>
  <si>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</si>
  <si>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</si>
  <si>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</si>
  <si>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 xml:space="preserve"> The network is monitored to detect potential cybersecurity events</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</si>
  <si>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</si>
  <si>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</si>
  <si>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</si>
  <si>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</si>
  <si>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</si>
  <si>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</si>
  <si>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</si>
  <si>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</si>
  <si>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</si>
  <si>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</si>
  <si>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</si>
  <si>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</si>
  <si>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</si>
  <si>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</si>
  <si>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</si>
  <si>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</si>
  <si>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</si>
  <si>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</si>
  <si>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</si>
  <si>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</si>
  <si>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</si>
  <si>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</si>
  <si>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</si>
  <si>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</si>
  <si>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</si>
  <si>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</si>
  <si>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</si>
  <si>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</si>
  <si>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</si>
  <si>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</si>
  <si>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</si>
  <si>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</si>
  <si>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</si>
  <si>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</si>
  <si>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</si>
  <si>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</si>
  <si>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</si>
  <si>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</si>
  <si>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</si>
  <si>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</si>
  <si>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</si>
  <si>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</si>
  <si>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</si>
  <si>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</si>
  <si>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</si>
  <si>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</si>
  <si>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</si>
  <si>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</si>
  <si>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</si>
  <si>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</si>
  <si>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</si>
  <si>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</si>
  <si>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</si>
  <si>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</si>
  <si>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</si>
  <si>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</si>
  <si>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</si>
  <si>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</si>
  <si>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</si>
  <si>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</si>
  <si>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</si>
  <si>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</si>
  <si>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</si>
  <si>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 xml:space="preserve"> Access permissions are managed, incorporating the principles of least privilege and separation of duties;  Access to systems and assets is controlled, incorporating the principle of least functionality</t>
  </si>
  <si>
    <t xml:space="preserve"> Physical devices and systems within the organization are inventoried;  Software platforms and applications within the organization are inventoried;  Organizational communication and data flows are mapped</t>
  </si>
  <si>
    <t xml:space="preserve"> Identities and credentials are managed for authorized devices and users;  Access permissions are managed, incorporating the principles of least privilege and separation of duties</t>
  </si>
  <si>
    <t xml:space="preserve"> Physical access to assets is managed and protected;  Policy and regulations regarding the physical operating environment for organizational assets are met</t>
  </si>
  <si>
    <t xml:space="preserve"> Data-at-rest is protected;  Data-in-transit is protected</t>
  </si>
  <si>
    <t xml:space="preserve"> The network is monitored to detect potential cybersecurity events;  The physical environment is monitored to detect potential cybersecurity events;  Monitoring for unauthorized personnel, connections, devices, and software is performed</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</si>
  <si>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</si>
  <si>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</si>
  <si>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 xml:space="preserve"> A baseline configuration of information technology/industrial control systems is created and maintained;  A System Development Life Cycle to manage systems is implemented</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</si>
  <si>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</si>
  <si>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</si>
  <si>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</si>
  <si>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</si>
  <si>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</si>
  <si>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</si>
  <si>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</si>
  <si>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</si>
  <si>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Prevent non-privileged users from executing privileged functions and capture the execution of such functions in audit logs.</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</si>
  <si>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</si>
  <si>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</si>
  <si>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</si>
  <si>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</si>
  <si>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</si>
  <si>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</si>
  <si>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</si>
  <si>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</si>
  <si>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</si>
  <si>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</si>
  <si>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</si>
  <si>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</si>
  <si>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</si>
  <si>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</si>
  <si>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</si>
  <si>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</si>
  <si>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</si>
  <si>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</si>
  <si>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</si>
  <si>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</si>
  <si>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</si>
  <si>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Encrypt CUI on mobile devices and mobile computing platforms.21</t>
  </si>
  <si>
    <t>3.1.20</t>
  </si>
  <si>
    <t>Verify and control/limit connections to and use of external systems.</t>
  </si>
  <si>
    <t>3.1.21</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</si>
  <si>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</si>
  <si>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</si>
  <si>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</si>
  <si>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</si>
  <si>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3.2.3</t>
  </si>
  <si>
    <t>Provide security awareness training on recognizing and reporting potential indicators of insider 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</si>
  <si>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</si>
  <si>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</si>
  <si>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</si>
  <si>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</si>
  <si>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</si>
  <si>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</si>
  <si>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</si>
  <si>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</si>
  <si>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</si>
  <si>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</si>
  <si>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</si>
  <si>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</si>
  <si>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</si>
  <si>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</si>
  <si>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</si>
  <si>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</si>
  <si>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</si>
  <si>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</si>
  <si>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</si>
  <si>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</si>
  <si>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</si>
  <si>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</si>
  <si>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</si>
  <si>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</si>
  <si>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</si>
  <si>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</si>
  <si>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</si>
  <si>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</si>
  <si>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</si>
  <si>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</si>
  <si>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</si>
  <si>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</si>
  <si>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</si>
  <si>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</si>
  <si>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</si>
  <si>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</si>
  <si>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</si>
  <si>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</si>
  <si>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</si>
  <si>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</si>
  <si>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</si>
  <si>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Disable identifiers after a defined period of inactivity.</t>
  </si>
  <si>
    <t>Enforce a minimum password complexity and change of characters when new passwords are created.</t>
  </si>
  <si>
    <t>3.5.8</t>
  </si>
  <si>
    <t>Prohibit password reuse for a specified number of generations.</t>
  </si>
  <si>
    <t>Allow temporary password use for system logons with an immediate change to a permanent password.</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</si>
  <si>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</si>
  <si>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</si>
  <si>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</si>
  <si>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</si>
  <si>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</si>
  <si>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</si>
  <si>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</si>
  <si>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</si>
  <si>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</si>
  <si>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</si>
  <si>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</si>
  <si>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</si>
  <si>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</si>
  <si>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</si>
  <si>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</si>
  <si>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</si>
  <si>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</si>
  <si>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</si>
  <si>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</si>
  <si>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</si>
  <si>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</si>
  <si>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</si>
  <si>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</si>
  <si>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</si>
  <si>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</si>
  <si>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</si>
  <si>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</si>
  <si>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</si>
  <si>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</si>
  <si>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</si>
  <si>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</si>
  <si>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</si>
  <si>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</si>
  <si>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</si>
  <si>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</si>
  <si>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</si>
  <si>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</si>
  <si>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</si>
  <si>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</si>
  <si>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</si>
  <si>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</si>
  <si>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</si>
  <si>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</si>
  <si>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</si>
  <si>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</si>
  <si>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</si>
  <si>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</si>
  <si>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</si>
  <si>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</si>
  <si>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</si>
  <si>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</si>
  <si>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</si>
  <si>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</si>
  <si>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</si>
  <si>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</si>
  <si>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</si>
  <si>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</si>
  <si>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</si>
  <si>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</si>
  <si>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</si>
  <si>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</si>
  <si>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</si>
  <si>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</si>
  <si>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</si>
  <si>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</si>
  <si>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</si>
  <si>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</si>
  <si>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</si>
  <si>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</si>
  <si>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</si>
  <si>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</si>
  <si>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</si>
  <si>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</si>
  <si>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</si>
  <si>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</si>
  <si>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</si>
  <si>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</si>
  <si>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</si>
  <si>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</si>
  <si>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</si>
  <si>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</si>
  <si>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</si>
  <si>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</si>
  <si>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</si>
  <si>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</si>
  <si>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</si>
  <si>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</si>
  <si>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</si>
  <si>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</si>
  <si>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</si>
  <si>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</si>
  <si>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</si>
  <si>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</si>
  <si>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</si>
  <si>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</si>
  <si>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</si>
  <si>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</si>
  <si>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</si>
  <si>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</si>
  <si>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</si>
  <si>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</si>
  <si>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</si>
  <si>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</si>
  <si>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</si>
  <si>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</si>
  <si>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</si>
  <si>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</si>
  <si>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Track, review, approve or disapprove, and log changes to organizational systems.; Analyze the security impact of changes prior to implementation.</t>
  </si>
  <si>
    <t>Control the flow of CUI in accordance with approved authorizations.;Protect (i.e., physically control and securely store) system media containing CUI, both paper and digital.</t>
  </si>
  <si>
    <t>Encrypt CUI on mobile devices and mobile computing platforms.21;Protect (i.e., physically control and securely store) system media containing CUI, both paper and digital.</t>
  </si>
  <si>
    <t>Perform maintenance on organizational systems.;Provide controls on the tools, techniques, mechanisms, and personnel used to conduct system maintenance.;Sanitize or destroy system media containing CUI before disposal or release for reuse.</t>
  </si>
  <si>
    <t>Protect (i.e., physically control and securely store) system media containing CUI, both paper and digital.;Limit access to CUI on system media to authorized users.</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</si>
  <si>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</si>
  <si>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</si>
  <si>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</si>
  <si>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Screen individuals prior to authorizing access to organizational systems containing CUI.;Ensure that organizational systems containing CUI are protected during and after personnel actions such as terminations and transfers.</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</si>
  <si>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</si>
  <si>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Control connection of mobile devices.;Perform maintenance on organizational systems.;Separate user functionality from system management functionality.</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</si>
  <si>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</si>
  <si>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</si>
  <si>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</si>
  <si>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</si>
  <si>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</si>
  <si>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</si>
  <si>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</si>
  <si>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</si>
  <si>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</si>
  <si>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</si>
  <si>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</si>
  <si>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</si>
  <si>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</si>
  <si>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</si>
  <si>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</si>
  <si>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</si>
  <si>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</si>
  <si>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</si>
  <si>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</si>
  <si>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</si>
  <si>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</si>
  <si>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</si>
  <si>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</si>
  <si>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</si>
  <si>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</si>
  <si>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</si>
  <si>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</si>
  <si>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</si>
  <si>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</si>
  <si>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</si>
  <si>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</si>
  <si>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</si>
  <si>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</si>
  <si>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</si>
  <si>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</si>
  <si>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</si>
  <si>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</si>
  <si>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</si>
  <si>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</si>
  <si>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</si>
  <si>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</si>
  <si>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</si>
  <si>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</si>
  <si>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</si>
  <si>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</si>
  <si>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</si>
  <si>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</si>
  <si>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</si>
  <si>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</si>
  <si>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</si>
  <si>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</si>
  <si>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</si>
  <si>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</si>
  <si>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</si>
  <si>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</si>
  <si>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</si>
  <si>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</si>
  <si>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</si>
  <si>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</si>
  <si>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</si>
  <si>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</si>
  <si>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</si>
  <si>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</si>
  <si>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</si>
  <si>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</si>
  <si>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</si>
  <si>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</si>
  <si>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</si>
  <si>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</si>
  <si>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</si>
  <si>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</si>
  <si>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</si>
  <si>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</si>
  <si>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</si>
  <si>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</si>
  <si>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</si>
  <si>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</si>
  <si>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</si>
  <si>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</si>
  <si>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</si>
  <si>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</si>
  <si>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</si>
  <si>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</si>
  <si>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</si>
  <si>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</si>
  <si>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</si>
  <si>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</si>
  <si>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</si>
  <si>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</si>
  <si>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</si>
  <si>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</si>
  <si>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</si>
  <si>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</si>
  <si>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</si>
  <si>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</si>
  <si>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</si>
  <si>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</si>
  <si>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</si>
  <si>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</si>
  <si>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</si>
  <si>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</si>
  <si>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</si>
  <si>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</si>
  <si>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</si>
  <si>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</si>
  <si>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</si>
  <si>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</si>
  <si>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</si>
  <si>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</si>
  <si>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</si>
  <si>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</si>
  <si>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</si>
  <si>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</si>
  <si>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</si>
  <si>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</si>
  <si>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</si>
  <si>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</si>
  <si>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</si>
  <si>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</si>
  <si>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</si>
  <si>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</si>
  <si>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</si>
  <si>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</si>
  <si>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</si>
  <si>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</si>
  <si>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</si>
  <si>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</si>
  <si>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</si>
  <si>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</si>
  <si>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</si>
  <si>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</si>
  <si>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</si>
  <si>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</si>
  <si>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</si>
  <si>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</si>
  <si>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</si>
  <si>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</si>
  <si>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</si>
  <si>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</si>
  <si>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</si>
  <si>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</si>
  <si>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</si>
  <si>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</si>
  <si>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</si>
  <si>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</si>
  <si>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</si>
  <si>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</si>
  <si>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</si>
  <si>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</si>
  <si>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</si>
  <si>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</si>
  <si>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</si>
  <si>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</si>
  <si>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</si>
  <si>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</si>
  <si>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</si>
  <si>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</si>
  <si>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</si>
  <si>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</si>
  <si>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</si>
  <si>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</si>
  <si>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</si>
  <si>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</si>
  <si>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</si>
  <si>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</si>
  <si>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</si>
  <si>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</si>
  <si>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</si>
  <si>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</si>
  <si>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</si>
  <si>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</si>
  <si>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</si>
  <si>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</si>
  <si>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</si>
  <si>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</si>
  <si>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</si>
  <si>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</si>
  <si>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</si>
  <si>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</si>
  <si>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</si>
  <si>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</si>
  <si>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</si>
  <si>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</si>
  <si>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</si>
  <si>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</si>
  <si>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</si>
  <si>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</si>
  <si>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</si>
  <si>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</si>
  <si>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</si>
  <si>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</si>
  <si>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</si>
  <si>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</si>
  <si>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</si>
  <si>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</si>
  <si>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</si>
  <si>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</si>
  <si>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</si>
  <si>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</si>
  <si>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</si>
  <si>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</si>
  <si>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</si>
  <si>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</si>
  <si>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</si>
  <si>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</si>
  <si>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</si>
  <si>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</si>
  <si>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</si>
  <si>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</si>
  <si>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</si>
  <si>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</si>
  <si>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</si>
  <si>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</si>
  <si>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</si>
  <si>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</si>
  <si>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</si>
  <si>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</si>
  <si>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</si>
  <si>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</si>
  <si>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</si>
  <si>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</si>
  <si>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</si>
  <si>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</si>
  <si>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</si>
  <si>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</si>
  <si>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</si>
  <si>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</si>
  <si>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</si>
  <si>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</si>
  <si>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</si>
  <si>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</si>
  <si>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</si>
  <si>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</si>
  <si>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</si>
  <si>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</si>
  <si>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</si>
  <si>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</si>
  <si>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</si>
  <si>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</si>
  <si>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</si>
  <si>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</si>
  <si>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</si>
  <si>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</si>
  <si>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</si>
  <si>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</si>
  <si>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</si>
  <si>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</si>
  <si>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</si>
  <si>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</si>
  <si>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</si>
  <si>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</si>
  <si>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</si>
  <si>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</si>
  <si>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</si>
  <si>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</si>
  <si>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</si>
  <si>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</si>
  <si>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</si>
  <si>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</si>
  <si>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</si>
  <si>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</si>
  <si>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</si>
  <si>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</si>
  <si>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</si>
  <si>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</si>
  <si>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</si>
  <si>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</si>
  <si>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</si>
  <si>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</si>
  <si>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</si>
  <si>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</si>
  <si>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</si>
  <si>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</si>
  <si>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</si>
  <si>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</si>
  <si>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</si>
  <si>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</si>
  <si>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</si>
  <si>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</si>
  <si>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</si>
  <si>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</si>
  <si>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</si>
  <si>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</si>
  <si>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</si>
  <si>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</si>
  <si>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</si>
  <si>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</si>
  <si>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</si>
  <si>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</si>
  <si>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</si>
  <si>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</si>
  <si>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</si>
  <si>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</si>
  <si>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</si>
  <si>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</si>
  <si>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</si>
  <si>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</si>
  <si>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</si>
  <si>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</si>
  <si>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</si>
  <si>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</si>
  <si>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</si>
  <si>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</si>
  <si>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</si>
  <si>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</si>
  <si>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</si>
  <si>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</si>
  <si>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</si>
  <si>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</si>
  <si>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</si>
  <si>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</si>
  <si>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</si>
  <si>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</si>
  <si>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</si>
  <si>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</si>
  <si>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</si>
  <si>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</si>
  <si>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</si>
  <si>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</si>
  <si>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</si>
  <si>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</si>
  <si>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</si>
  <si>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</si>
  <si>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</si>
  <si>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</si>
  <si>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</si>
  <si>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</si>
  <si>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</si>
  <si>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</si>
  <si>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</si>
  <si>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</si>
  <si>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</si>
  <si>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</si>
  <si>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</si>
  <si>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</si>
  <si>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</si>
  <si>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</si>
  <si>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</si>
  <si>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</si>
  <si>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</si>
  <si>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</si>
  <si>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</si>
  <si>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</si>
  <si>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</si>
  <si>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</si>
  <si>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</si>
  <si>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</si>
  <si>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</si>
  <si>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</si>
  <si>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</si>
  <si>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</si>
  <si>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</si>
  <si>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</si>
  <si>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</si>
  <si>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</si>
  <si>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</si>
  <si>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</si>
  <si>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</si>
  <si>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</si>
  <si>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</si>
  <si>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</si>
  <si>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</si>
  <si>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</si>
  <si>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</si>
  <si>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</si>
  <si>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</si>
  <si>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</si>
  <si>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</si>
  <si>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</si>
  <si>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</si>
  <si>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</si>
  <si>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</si>
  <si>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</si>
  <si>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</si>
  <si>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</si>
  <si>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</si>
  <si>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</si>
  <si>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</si>
  <si>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</si>
  <si>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</si>
  <si>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</si>
  <si>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</si>
  <si>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</si>
  <si>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</si>
  <si>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</si>
  <si>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</si>
  <si>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</si>
  <si>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</si>
  <si>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</si>
  <si>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</si>
  <si>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</si>
  <si>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</si>
  <si>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</si>
  <si>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</si>
  <si>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</si>
  <si>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</si>
  <si>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</si>
  <si>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</si>
  <si>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</si>
  <si>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</si>
  <si>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</si>
  <si>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</si>
  <si>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</si>
  <si>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</si>
  <si>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</si>
  <si>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</si>
  <si>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</si>
  <si>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</si>
  <si>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</si>
  <si>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</si>
  <si>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</si>
  <si>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</si>
  <si>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</si>
  <si>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</si>
  <si>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</si>
  <si>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</si>
  <si>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</si>
  <si>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</si>
  <si>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</si>
  <si>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</si>
  <si>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</si>
  <si>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</si>
  <si>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</si>
  <si>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</si>
  <si>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</si>
  <si>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</si>
  <si>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</si>
  <si>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</si>
  <si>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</si>
  <si>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</si>
  <si>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</si>
  <si>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</si>
  <si>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</si>
  <si>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</si>
  <si>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</si>
  <si>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</si>
  <si>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</si>
  <si>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</si>
  <si>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</si>
  <si>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</si>
  <si>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</si>
  <si>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</si>
  <si>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</si>
  <si>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</si>
  <si>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</si>
  <si>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</si>
  <si>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</si>
  <si>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</si>
  <si>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</si>
  <si>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</si>
  <si>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</si>
  <si>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</si>
  <si>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</si>
  <si>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</si>
  <si>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</si>
  <si>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</si>
  <si>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</si>
  <si>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</si>
  <si>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</si>
  <si>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</si>
  <si>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</si>
  <si>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</si>
  <si>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</si>
  <si>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</si>
  <si>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</si>
  <si>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</si>
  <si>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</si>
  <si>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</si>
  <si>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</si>
  <si>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</si>
  <si>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</si>
  <si>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</si>
  <si>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</si>
  <si>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</si>
  <si>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</si>
  <si>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</si>
  <si>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</si>
  <si>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</si>
  <si>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</si>
  <si>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</si>
  <si>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</si>
  <si>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</si>
  <si>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</si>
  <si>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</si>
  <si>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</si>
  <si>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</si>
  <si>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</si>
  <si>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</si>
  <si>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</si>
  <si>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</si>
  <si>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</si>
  <si>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</si>
  <si>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</si>
  <si>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</si>
  <si>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</si>
  <si>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</si>
  <si>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</si>
  <si>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</si>
  <si>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</si>
  <si>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</si>
  <si>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</si>
  <si>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</si>
  <si>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</si>
  <si>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</si>
  <si>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</si>
  <si>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</si>
  <si>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</si>
  <si>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</si>
  <si>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</si>
  <si>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</si>
  <si>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</si>
  <si>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Physical Access Authorizations; Physical Access Control; Access Control for Transmission Medium; Emergency Power; Fire Protection; Temperature and Humidity Controls; External Information System Services</t>
  </si>
  <si>
    <t>System Development Life Cycle; Development Process, Standards, and Tools; Application Partitioning; Senior Information Security Officer; Security Authorization Process; Security Alerts, Advisories, and Directives; Information Security Resources</t>
  </si>
  <si>
    <t>Account Management; Access Enforcement; Least Privilege</t>
  </si>
  <si>
    <t>Access Enforcement; Least Functionality; Guide to Enterprise Telework, Remote Access, and Bring Your Own Device (BYOD) Security</t>
  </si>
  <si>
    <t>Internal System Connections; Information in Shared Resources</t>
  </si>
  <si>
    <t>Identification and Authentication (Organizational Users); Authenticator Management</t>
  </si>
  <si>
    <t>Audit and Accountability: reviews and updates; Audit Review, Analysis, and Reporting; Audit Generation; Access Control: Auditing use of privileged functions; Configuration Change Control; Controlled Maintenance; Maintenance Personnel; Physical Access Control</t>
  </si>
  <si>
    <t>Audit Reduction and Report Generation; Protection of Audit Information; Incident Handling; Separation of Duties; Contingency Plan Testing; Information System Recovery and Reconstitution; Contingency Planning Guide for Federal Information Systems</t>
  </si>
  <si>
    <t>Separation of Duties; Contingency Plan Testing; Information System Recovery and Reconstitution; Contingency Planning Guide for Federal Information Systems</t>
  </si>
  <si>
    <t>Configuration Change Control; Security Impact Analysis; Access Restrictions for Change</t>
  </si>
  <si>
    <t>Information Flow Enforcement; Media Access; Media Storage</t>
  </si>
  <si>
    <t>Media Access; Access Control: Full device / container based encryption</t>
  </si>
  <si>
    <t>Information System Backup; Media Transport</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</si>
  <si>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</si>
  <si>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Incident Response Training; Incident Handling; Information Spillage Response</t>
  </si>
  <si>
    <t>Incident Response Training; Incident Handling; Integrated Information Security Analysis Team</t>
  </si>
  <si>
    <t>Media Storage; Physical Access Authorizations; Access Control for Output Devices; Monitoring Physical Access; Alternate Work Site</t>
  </si>
  <si>
    <t>Media Access; Media Transport; Media Use</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</si>
  <si>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</si>
  <si>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</si>
  <si>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</si>
  <si>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Plan of Action and Milestones; Information Security Program Plan; Identifier Management; Authenticator Management; Cryptographic Module Authentication; Identification and Authentication (Non- Organizational Users)</t>
  </si>
  <si>
    <t>Plan of Action and Milestones; Information Security Program Plan</t>
  </si>
  <si>
    <t>Baseline Configuration; Configuration Settings; Configuration Change Control; Access Control for Mobile Devices; Controlled Maintenance</t>
  </si>
  <si>
    <t>Security management process: Implement policies and procedures to prevent, detect, contain, and correct security violations.</t>
  </si>
  <si>
    <t>Has the risk management process been completed using IAW NIST Guidelines?</t>
  </si>
  <si>
    <t>ID</t>
  </si>
  <si>
    <t>Question</t>
  </si>
  <si>
    <t>Additional Info</t>
  </si>
  <si>
    <t>High Risk</t>
  </si>
  <si>
    <t>Application/Service Security</t>
  </si>
  <si>
    <t>Authentication, Authorization, and Accounting</t>
  </si>
  <si>
    <t>Business Continuity Plan</t>
  </si>
  <si>
    <t>Change Management</t>
  </si>
  <si>
    <t>Data</t>
  </si>
  <si>
    <t>Database</t>
  </si>
  <si>
    <t>Datacenter</t>
  </si>
  <si>
    <t>Disaster Recovery Plan</t>
  </si>
  <si>
    <t>Firewalls, IDS, IPS, and Networking</t>
  </si>
  <si>
    <t>Mobile Applications</t>
  </si>
  <si>
    <t>Physical Security</t>
  </si>
  <si>
    <t>Policies, Procedures, and Processes</t>
  </si>
  <si>
    <t>Product Evaluation</t>
  </si>
  <si>
    <t>Quality Assurance</t>
  </si>
  <si>
    <t>Systems Management &amp; Configuration</t>
  </si>
  <si>
    <t>Vulnerability Scanning</t>
  </si>
  <si>
    <t>PCI DSS</t>
  </si>
  <si>
    <t>Category</t>
  </si>
  <si>
    <t>C_Answer</t>
  </si>
  <si>
    <t>Required</t>
  </si>
  <si>
    <t>V_Answer</t>
  </si>
  <si>
    <t>Category_Total</t>
  </si>
  <si>
    <t>Category_divisor</t>
  </si>
  <si>
    <t>Score</t>
  </si>
  <si>
    <t>Max_Score</t>
  </si>
  <si>
    <t>Score %</t>
  </si>
  <si>
    <t>Application Security</t>
  </si>
  <si>
    <t>Compliant</t>
  </si>
  <si>
    <t>Weight</t>
  </si>
  <si>
    <t>HECVAT Version</t>
  </si>
  <si>
    <t>Full</t>
  </si>
  <si>
    <t>Date Prepared</t>
  </si>
  <si>
    <t>Report Sections</t>
  </si>
  <si>
    <t>Overall Score:</t>
  </si>
  <si>
    <t>Qualitative Questions</t>
  </si>
  <si>
    <t>Vendor Answer</t>
  </si>
  <si>
    <t>Compliant?</t>
  </si>
  <si>
    <t>Does the system have password complexity or length limitations and/or restrictions?</t>
  </si>
  <si>
    <t>Do you have documented password/passphrase reset procedures that are currently implemented in the system and/or customer support?</t>
  </si>
  <si>
    <r>
      <t xml:space="preserve">Describe or provide a reference to the a) system capability to </t>
    </r>
    <r>
      <rPr>
        <b/>
        <sz val="11"/>
        <color rgb="FF000000"/>
        <rFont val="Verdana"/>
        <family val="2"/>
      </rPr>
      <t>log</t>
    </r>
    <r>
      <rPr>
        <sz val="11"/>
        <color rgb="FF000000"/>
        <rFont val="Verdana"/>
        <family val="2"/>
      </rPr>
      <t xml:space="preserve"> </t>
    </r>
    <r>
      <rPr>
        <u/>
        <sz val="11"/>
        <color rgb="FF000000"/>
        <rFont val="Verdana"/>
        <family val="2"/>
      </rPr>
      <t>security/authorization changes</t>
    </r>
    <r>
      <rPr>
        <sz val="11"/>
        <color rgb="FF000000"/>
        <rFont val="Verdana"/>
        <family val="2"/>
      </rPr>
      <t xml:space="preserve"> as well as </t>
    </r>
    <r>
      <rPr>
        <u/>
        <sz val="11"/>
        <color rgb="FF000000"/>
        <rFont val="Verdana"/>
        <family val="2"/>
      </rPr>
      <t>user and administrator security events</t>
    </r>
    <r>
      <rPr>
        <sz val="11"/>
        <color rgb="FF000000"/>
        <rFont val="Verdana"/>
        <family val="2"/>
      </rPr>
      <t xml:space="preserve"> (i.e. physical or electronic)(e.g. login failures, access denied, changes accepted), and b) all requirements necessary to implement logging and monitoring on the system. Include c) information about SIEM/log collector usage.</t>
    </r>
  </si>
  <si>
    <t xml:space="preserve">Has your BCP been tested in the last year? </t>
  </si>
  <si>
    <t>Is this product a core service of your organization, and as such, the top priority during business continuity planning?</t>
  </si>
  <si>
    <t>Will the Institution be notified of major changes to your environment that could impact the Institution's security posture?</t>
  </si>
  <si>
    <t>Does the system support client customizations from one release to another?</t>
  </si>
  <si>
    <t>List all operating systems and the roles that are fulfilled by each.</t>
  </si>
  <si>
    <t>Describe the products and how they will be implemented.</t>
  </si>
  <si>
    <r>
      <t xml:space="preserve">Are there any OS and/or web-browser combinations that are </t>
    </r>
    <r>
      <rPr>
        <u/>
        <sz val="11"/>
        <color rgb="FF000000"/>
        <rFont val="Verdana"/>
        <family val="2"/>
      </rPr>
      <t>not</t>
    </r>
    <r>
      <rPr>
        <sz val="11"/>
        <color rgb="FF000000"/>
        <rFont val="Verdana"/>
        <family val="2"/>
      </rPr>
      <t xml:space="preserve"> currently supported?</t>
    </r>
  </si>
  <si>
    <r>
      <t xml:space="preserve">Does your organization ensure through policy and procedure (that is currently implemented) that </t>
    </r>
    <r>
      <rPr>
        <u/>
        <sz val="11"/>
        <color rgb="FF000000"/>
        <rFont val="Verdana"/>
        <family val="2"/>
      </rPr>
      <t>only application software verifiable as authorized, tested, and approved for production</t>
    </r>
    <r>
      <rPr>
        <sz val="11"/>
        <color rgb="FF000000"/>
        <rFont val="Verdana"/>
        <family val="2"/>
      </rPr>
      <t>, and having met all other requirements and reviews necessary for commissioning, is placed into production?</t>
    </r>
  </si>
  <si>
    <t>Do you have a release schedule for product updates?</t>
  </si>
  <si>
    <t>Do you have a technology roadmap, for the next 2 years, for enhancements and bug fixes for the product/service being assessed?</t>
  </si>
  <si>
    <t>Is Institution involvement (i.e. technically or organizationally) required during product updates?</t>
  </si>
  <si>
    <t>Do you have policy and procedure, currently implemented, managing how critical patches are applied to all systems and applications?</t>
  </si>
  <si>
    <t>Do you have policy and procedure, currently implemented, guiding how security risks are mitigated until patches can be applied?</t>
  </si>
  <si>
    <t>Do you physically and logically separate Institution's data from that of other customers?</t>
  </si>
  <si>
    <t>Order</t>
  </si>
  <si>
    <t>CIS</t>
  </si>
  <si>
    <t>ISO 27002:27013</t>
  </si>
  <si>
    <t>Row Labels</t>
  </si>
  <si>
    <t>TRUE</t>
  </si>
  <si>
    <t>Non-Compliant Responses</t>
  </si>
  <si>
    <t>Third-Parties</t>
  </si>
  <si>
    <t>Mobile App Section Required</t>
  </si>
  <si>
    <t>Third  Party  Section Required</t>
  </si>
  <si>
    <t>Business Continuity  Section Required</t>
  </si>
  <si>
    <t>PCI DSS  Section Required</t>
  </si>
  <si>
    <t>HIPAA Section Required</t>
  </si>
  <si>
    <t>Disaster Recovery Section Required</t>
  </si>
  <si>
    <t>Does this data center operate outside of the Institution's Data Zone?</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</si>
  <si>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</si>
  <si>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Are your applications scanned externally for vulnerabilities?</t>
  </si>
  <si>
    <t>Are your systems scanned externally for vulnerabilities?</t>
  </si>
  <si>
    <t>Ave Percent</t>
  </si>
  <si>
    <t>Total Points</t>
  </si>
  <si>
    <t>Overall Score</t>
  </si>
  <si>
    <r>
      <rPr>
        <i/>
        <sz val="11"/>
        <color rgb="FF000000"/>
        <rFont val="Verdana"/>
        <family val="2"/>
      </rPr>
      <t>Portfolium simplifies the assessment of student learning, proves institutional value by showcasing evidence of learning, and keeps students engaged along pathways that ultimately prepare them for their career.</t>
    </r>
    <r>
      <rPr>
        <i/>
        <sz val="11"/>
        <color rgb="FF000000"/>
        <rFont val="Verdana"/>
        <family val="2"/>
      </rPr>
      <t xml:space="preserve">
</t>
    </r>
  </si>
  <si>
    <r>
      <rPr>
        <i/>
        <sz val="11"/>
        <color rgb="FF000000"/>
        <rFont val="Verdana"/>
        <family val="2"/>
      </rPr>
      <t>See GNRL-07 for Instructure's contact information.</t>
    </r>
    <r>
      <rPr>
        <i/>
        <sz val="11"/>
        <color rgb="FF000000"/>
        <rFont val="Verdana"/>
        <family val="2"/>
      </rPr>
      <t xml:space="preserve">
</t>
    </r>
  </si>
  <si>
    <r>
      <rPr>
        <sz val="11"/>
        <color rgb="FF000000"/>
        <rFont val="Verdana"/>
        <family val="2"/>
      </rPr>
      <t>Portfolium is hosted within the AWS East region located in an undisclosed part of Northern Virginia.</t>
    </r>
    <r>
      <rPr>
        <sz val="11"/>
        <color rgb="FF000000"/>
        <rFont val="Verdana"/>
        <family val="2"/>
      </rPr>
      <t xml:space="preserve">
</t>
    </r>
  </si>
  <si>
    <t>ticket#@yourdomain.edu</t>
  </si>
  <si>
    <t>Insider Threat Program</t>
  </si>
  <si>
    <t>PCI Scope, Discovery</t>
  </si>
  <si>
    <t>PCI Scope</t>
  </si>
  <si>
    <t>12.1, Scope</t>
  </si>
  <si>
    <t>12.8, 12.5</t>
  </si>
  <si>
    <t>7.x</t>
  </si>
  <si>
    <t>12.8, 4.2</t>
  </si>
  <si>
    <t>12.x</t>
  </si>
  <si>
    <t>7.x, 8.x</t>
  </si>
  <si>
    <t>Scope</t>
  </si>
  <si>
    <t>8.x</t>
  </si>
  <si>
    <t>2.1, 8.x</t>
  </si>
  <si>
    <t>10.1, 10.2, 10.3, 10.5, 10.6, 10.7</t>
  </si>
  <si>
    <t>10.1, 10.2, 10.3, 10.5, 10.6, 10.7, 9.x</t>
  </si>
  <si>
    <t>8.x, 4.2</t>
  </si>
  <si>
    <t>6.4, 6.4.5, 6.4.5.1, 6.4.5.2</t>
  </si>
  <si>
    <t>6.4, 12.8, 12.9</t>
  </si>
  <si>
    <t>12.1, 12.8</t>
  </si>
  <si>
    <t>12.1, 12.8, 6.2</t>
  </si>
  <si>
    <t>12.2, 12.8</t>
  </si>
  <si>
    <t>12.1, 12.2, 12.8</t>
  </si>
  <si>
    <t>12.10, 12.8, 6.4</t>
  </si>
  <si>
    <t>12.8, 9.x</t>
  </si>
  <si>
    <t>12.8, 4.1</t>
  </si>
  <si>
    <t>9.x</t>
  </si>
  <si>
    <t>11.4, 12.8</t>
  </si>
  <si>
    <t>1.1, 10.8, 10.6, 10.3, 10.2, 11.4</t>
  </si>
  <si>
    <t>12.1, 9.x</t>
  </si>
  <si>
    <t>12.4, 12.5</t>
  </si>
  <si>
    <t>6.4.5</t>
  </si>
  <si>
    <t>12.6, 6.5</t>
  </si>
  <si>
    <t>6.3.2</t>
  </si>
  <si>
    <t>6.3.2, 6.4.5.3</t>
  </si>
  <si>
    <t>6.3, 6.3.1</t>
  </si>
  <si>
    <t>12.10, 12.8, 12.9</t>
  </si>
  <si>
    <t>12.6, 7.x, 8.x, 9.x</t>
  </si>
  <si>
    <t>7.x, 8.x, 9.x</t>
  </si>
  <si>
    <t>12.1, 5.4 (?)</t>
  </si>
  <si>
    <t>12.1, 12.5, 12.6</t>
  </si>
  <si>
    <t>11.2, 11.3</t>
  </si>
  <si>
    <t>11.2, 12.8</t>
  </si>
  <si>
    <t>12.10, 10.10</t>
  </si>
  <si>
    <t>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</si>
  <si>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</si>
  <si>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</si>
  <si>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</si>
  <si>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</si>
  <si>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</si>
  <si>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</si>
  <si>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</si>
  <si>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</si>
  <si>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</si>
  <si>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</si>
  <si>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</si>
  <si>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</si>
  <si>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</si>
  <si>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</si>
  <si>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</si>
  <si>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</si>
  <si>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</si>
  <si>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</si>
  <si>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</si>
  <si>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</si>
  <si>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</si>
  <si>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</si>
  <si>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</si>
  <si>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</si>
  <si>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</si>
  <si>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</si>
  <si>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</si>
  <si>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</si>
  <si>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</si>
  <si>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</si>
  <si>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</si>
  <si>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</si>
  <si>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</si>
  <si>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</si>
  <si>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</si>
  <si>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</si>
  <si>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</si>
  <si>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</si>
  <si>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</si>
  <si>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</si>
  <si>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</si>
  <si>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</si>
  <si>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</si>
  <si>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</si>
  <si>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</si>
  <si>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</si>
  <si>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</si>
  <si>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</si>
  <si>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</si>
  <si>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</si>
  <si>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</si>
  <si>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</si>
  <si>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</si>
  <si>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</si>
  <si>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</si>
  <si>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</si>
  <si>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</si>
  <si>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</si>
  <si>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</si>
  <si>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</si>
  <si>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</si>
  <si>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</si>
  <si>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</si>
  <si>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</si>
  <si>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</si>
  <si>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</si>
  <si>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</si>
  <si>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</si>
  <si>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</si>
  <si>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</si>
  <si>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</si>
  <si>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</si>
  <si>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</si>
  <si>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</si>
  <si>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</si>
  <si>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</si>
  <si>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</si>
  <si>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</si>
  <si>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</si>
  <si>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</si>
  <si>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</si>
  <si>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</si>
  <si>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</si>
  <si>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</si>
  <si>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</si>
  <si>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</si>
  <si>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</si>
  <si>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</si>
  <si>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</si>
  <si>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</si>
  <si>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</si>
  <si>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</si>
  <si>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</si>
  <si>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</si>
  <si>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</si>
  <si>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</si>
  <si>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</si>
  <si>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</si>
  <si>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</si>
  <si>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</si>
  <si>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</si>
  <si>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</si>
  <si>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</si>
  <si>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</si>
  <si>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</si>
  <si>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</si>
  <si>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</si>
  <si>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</si>
  <si>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</si>
  <si>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</si>
  <si>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</si>
  <si>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</si>
  <si>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</si>
  <si>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</si>
  <si>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</si>
  <si>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</si>
  <si>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</si>
  <si>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</si>
  <si>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</si>
  <si>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</si>
  <si>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</si>
  <si>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</si>
  <si>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</si>
  <si>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</si>
  <si>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</si>
  <si>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</si>
  <si>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</si>
  <si>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</si>
  <si>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</si>
  <si>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</si>
  <si>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</si>
  <si>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</si>
  <si>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</si>
  <si>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</si>
  <si>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</si>
  <si>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</si>
  <si>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</si>
  <si>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</si>
  <si>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</si>
  <si>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</si>
  <si>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</si>
  <si>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</si>
  <si>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</si>
  <si>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</si>
  <si>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</si>
  <si>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</si>
  <si>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</si>
  <si>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</si>
  <si>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</si>
  <si>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</si>
  <si>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</si>
  <si>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</si>
  <si>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</si>
  <si>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</si>
  <si>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</si>
  <si>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</si>
  <si>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</si>
  <si>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</si>
  <si>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</si>
  <si>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</si>
  <si>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</si>
  <si>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</si>
  <si>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</si>
  <si>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</si>
  <si>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</si>
  <si>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</si>
  <si>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</si>
  <si>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</si>
  <si>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</si>
  <si>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</si>
  <si>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</si>
  <si>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</si>
  <si>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</si>
  <si>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</si>
  <si>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</si>
  <si>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</si>
  <si>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</si>
  <si>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</si>
  <si>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</si>
  <si>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</si>
  <si>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</si>
  <si>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</si>
  <si>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</si>
  <si>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</si>
  <si>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</si>
  <si>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</si>
  <si>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</si>
  <si>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</si>
  <si>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</si>
  <si>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</si>
  <si>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</si>
  <si>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</si>
  <si>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</si>
  <si>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</si>
  <si>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</si>
  <si>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</si>
  <si>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</si>
  <si>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</si>
  <si>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</si>
  <si>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</si>
  <si>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</si>
  <si>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</si>
  <si>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</si>
  <si>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</si>
  <si>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</si>
  <si>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</si>
  <si>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</si>
  <si>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</si>
  <si>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</si>
  <si>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</si>
  <si>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</si>
  <si>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</si>
  <si>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</si>
  <si>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</si>
  <si>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</si>
  <si>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</si>
  <si>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</si>
  <si>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</si>
  <si>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</si>
  <si>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</si>
  <si>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</si>
  <si>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</si>
  <si>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</si>
  <si>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</si>
  <si>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</si>
  <si>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</si>
  <si>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</si>
  <si>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</si>
  <si>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</si>
  <si>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</si>
  <si>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</si>
  <si>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</si>
  <si>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</si>
  <si>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</si>
  <si>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</si>
  <si>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</si>
  <si>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</si>
  <si>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</si>
  <si>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</si>
  <si>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</si>
  <si>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</si>
  <si>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</si>
  <si>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</si>
  <si>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</si>
  <si>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</si>
  <si>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</si>
  <si>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</si>
  <si>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</si>
  <si>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</si>
  <si>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</si>
  <si>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</si>
  <si>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</si>
  <si>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</si>
  <si>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</si>
  <si>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</si>
  <si>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</si>
  <si>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</si>
  <si>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</si>
  <si>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</si>
  <si>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</si>
  <si>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</si>
  <si>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</si>
  <si>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</si>
  <si>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</si>
  <si>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</si>
  <si>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</si>
  <si>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</si>
  <si>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</si>
  <si>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</si>
  <si>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</si>
  <si>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</si>
  <si>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</si>
  <si>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</si>
  <si>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</si>
  <si>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</si>
  <si>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</si>
  <si>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</si>
  <si>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</si>
  <si>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</si>
  <si>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</si>
  <si>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</si>
  <si>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</si>
  <si>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</si>
  <si>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</si>
  <si>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</si>
  <si>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</si>
  <si>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</si>
  <si>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</si>
  <si>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</si>
  <si>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</si>
  <si>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</si>
  <si>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</si>
  <si>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</si>
  <si>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</si>
  <si>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</si>
  <si>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</si>
  <si>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</si>
  <si>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</si>
  <si>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</si>
  <si>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</si>
  <si>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</si>
  <si>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</si>
  <si>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</si>
  <si>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</si>
  <si>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</si>
  <si>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</si>
  <si>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</si>
  <si>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</si>
  <si>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</si>
  <si>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</si>
  <si>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</si>
  <si>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</si>
  <si>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</si>
  <si>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</si>
  <si>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</si>
  <si>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</si>
  <si>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</si>
  <si>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</si>
  <si>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</si>
  <si>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</si>
  <si>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</si>
  <si>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</si>
  <si>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</si>
  <si>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</si>
  <si>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</si>
  <si>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</si>
  <si>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</si>
  <si>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</si>
  <si>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</si>
  <si>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</si>
  <si>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</si>
  <si>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</si>
  <si>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</si>
  <si>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</si>
  <si>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</si>
  <si>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</si>
  <si>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</si>
  <si>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</si>
  <si>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</si>
  <si>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</si>
  <si>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</si>
  <si>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</si>
  <si>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</si>
  <si>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</si>
  <si>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</si>
  <si>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</si>
  <si>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</si>
  <si>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</si>
  <si>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</si>
  <si>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</si>
  <si>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</si>
  <si>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</si>
  <si>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</si>
  <si>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</si>
  <si>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</si>
  <si>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</si>
  <si>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</si>
  <si>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</si>
  <si>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</si>
  <si>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</si>
  <si>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</si>
  <si>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</si>
  <si>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</si>
  <si>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</si>
  <si>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</si>
  <si>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</si>
  <si>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</si>
  <si>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</si>
  <si>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</si>
  <si>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</si>
  <si>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</si>
  <si>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</si>
  <si>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</si>
  <si>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</si>
  <si>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</si>
  <si>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</si>
  <si>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</si>
  <si>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</si>
  <si>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</si>
  <si>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</si>
  <si>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</si>
  <si>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</si>
  <si>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</si>
  <si>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</si>
  <si>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</si>
  <si>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</si>
  <si>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</si>
  <si>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</si>
  <si>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</si>
  <si>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</si>
  <si>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</si>
  <si>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</si>
  <si>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</si>
  <si>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</si>
  <si>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</si>
  <si>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</si>
  <si>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All system components included in or connected to the cardholder data environment (CDE)</t>
  </si>
  <si>
    <t>The process of determining the CDE and subsequent PCI scope</t>
  </si>
  <si>
    <t>12.7, 4.2</t>
  </si>
  <si>
    <t>12.1, 5.4</t>
  </si>
  <si>
    <t>12.10</t>
  </si>
  <si>
    <t>9.10</t>
  </si>
  <si>
    <t>GNRL-01 through GNRL-08; populated by the Vendor</t>
  </si>
  <si>
    <t>Institution's Security Analyst/Engineer</t>
  </si>
  <si>
    <t>Institution's Security Analyst/Engineer Name</t>
  </si>
  <si>
    <t>Do you have a dedicated Software and System Development team(s)? (e.g. Customer Support, Implementation, Product Management, etc.)</t>
  </si>
  <si>
    <t>Include circumstances that may involve off-shoring or multi-national agreements.</t>
  </si>
  <si>
    <t>Include the number of years and in what capacity.</t>
  </si>
  <si>
    <t>Share any details that would help information security analysts assess your product.</t>
  </si>
  <si>
    <t>Company</t>
  </si>
  <si>
    <t>Ensure that all parts of APPL-10 are clearly stated in your response. Submit architecture diagrams along with this fully-populated HECVAT.</t>
  </si>
  <si>
    <t>Include a detailed description of how security administration and system administration authority is separated, controls are verified, and logs are reviewed regularly to ensure appropriate use.</t>
  </si>
  <si>
    <t xml:space="preserve">Ensure that all parts of APPL-16 are clearly stated in your response. </t>
  </si>
  <si>
    <t>Ensure that all parts of APPL-18 are clearly stated in your response. The examples given are not exhaustive - elaborate as necessary.</t>
  </si>
  <si>
    <t>Are there any passwords/passphrases hard coded into your systems or products?</t>
  </si>
  <si>
    <t>Ensure that all elements of AAAI-16 are clearly stated in your response.</t>
  </si>
  <si>
    <t>Ensure that all elements of AAAI-17 are clearly stated in your response.</t>
  </si>
  <si>
    <t>May the Institution review your BCP and supporting documentation?</t>
  </si>
  <si>
    <t>Provide a valid URL to your current BCP or submit it along with this fully-populated HECVAT.</t>
  </si>
  <si>
    <t>Ensure that all parts of CHNG-02 are clearly stated in your response.</t>
  </si>
  <si>
    <t>Ensure that all relevant details pertaining to CHNG-05 are clearly stated in your response.</t>
  </si>
  <si>
    <t>Ensure that all parts of CHNG-06 are clearly stated in your response.</t>
  </si>
  <si>
    <t>Ensure that all parts of DATA-07 are clearly stated in your response.</t>
  </si>
  <si>
    <t>If your strategy uses different processes for services and data, ensure that all strategies are clearly stated and supported.</t>
  </si>
  <si>
    <t>If your backup strategy uses varying periods, ensure that each strategy is clearly stated and supported.</t>
  </si>
  <si>
    <t>Is sensitive data encrypted in transport? (e.g. system-to-client)</t>
  </si>
  <si>
    <t>Does your system employ encryption technologies when transmitting sensitive information over TCP/IP networks (e.g., SSH, SSL/TLS, VPN)? (e.g. system-to-system and system-to-client)</t>
  </si>
  <si>
    <t>Will the institution's data be available within the system for a period of time at the completion of this contract?</t>
  </si>
  <si>
    <t>Are ownership rights to all data, inputs, outputs, and metadata retained by the institution?</t>
  </si>
  <si>
    <t>Are you performing off site backups? (i.e. digitally moved off site)</t>
  </si>
  <si>
    <t>Provide a general summary of the implemented networking strategy.</t>
  </si>
  <si>
    <t>Ensure that all parts of DCTR-10 are clearly stated in your response.</t>
  </si>
  <si>
    <t>Review the Uptime Institute's level/tier direction provided on their website if you need addition information to answer DCTR-13.</t>
  </si>
  <si>
    <t>Ensure that all parts of DCTR-17 are clearly stated in your response.</t>
  </si>
  <si>
    <t>Are redundant power strategies tested?</t>
  </si>
  <si>
    <t>Can the Institution review your DRP and supporting documentation?</t>
  </si>
  <si>
    <t>Provide a valid URL to your current DRP or submit it along with this fully-populated HECVAT.</t>
  </si>
  <si>
    <t>Ensure that all elements of DRPL-09 are clearly stated in your response.</t>
  </si>
  <si>
    <t>Does your organization have a disaster recovery site or a contracted Disaster Recovery provider?</t>
  </si>
  <si>
    <t>Are audit logs available for all changes to the network, firewall, IDS, and IPS systems?</t>
  </si>
  <si>
    <t>Ensure that all parts of FIDP-03 are clearly stated in your response.</t>
  </si>
  <si>
    <t xml:space="preserve">Ensure that all supported operating systems are listed - be sure to provide version number, where relevant. </t>
  </si>
  <si>
    <t>Ensure that all elements of MAPP-02  are clearly stated in your response. (i.e. (architecture AND functionality are defined)</t>
  </si>
  <si>
    <t>Is Institution's data encrypted in transport?</t>
  </si>
  <si>
    <t>Is Institution's data encrypted in storage? (e.g. disk encryption, at-rest)</t>
  </si>
  <si>
    <t>Does the application adhere to secure coding practices (e.g. OWASP, etc.)?</t>
  </si>
  <si>
    <t>Are video feeds monitored by datacenter staff?</t>
  </si>
  <si>
    <t>Provide a valid URL to your Quality Assurance program or submit it along with this fully-populated HECVAT.</t>
  </si>
  <si>
    <t>Ensure that all elements of VULN-06 are clearly stated in your response.</t>
  </si>
  <si>
    <t>Ensure that all elements of VULN-08 are clearly stated in your response.</t>
  </si>
  <si>
    <t>Will you provide results of security scans to the Institution?</t>
  </si>
  <si>
    <t>Refer to HIPAA regulations documentation for supplemental guidance in this section.</t>
  </si>
  <si>
    <t>Refer to PCI DSS Security Standards for supplemental guidance in this section</t>
  </si>
  <si>
    <t>Do you subject your code to static code analysis and/or static application security testing prior to release?</t>
  </si>
  <si>
    <t>Do you have software testing processes (dynamic or static) that are established and followed?</t>
  </si>
  <si>
    <t>Will you comply with applicable breach notification laws?</t>
  </si>
  <si>
    <t>Do you have documented information security policy?</t>
  </si>
  <si>
    <t>Is security awareness training mandatory for all employees?</t>
  </si>
  <si>
    <t>Do you have process and procedure(s) documented, and currently followed, that require a review and update of the access-list(s) for privileged accounts?</t>
  </si>
  <si>
    <t>Do you have documented, and currently implemented, internal audit processes and procedures?</t>
  </si>
  <si>
    <t>Will any institution data leave the Institution's Data Zone?</t>
  </si>
  <si>
    <t>If outsourced or co-located, is there a contract in place to prevent data from leaving the Institution's Data Zone?</t>
  </si>
  <si>
    <t>Are any disaster recovery locations outside the Institution's Data Zone?</t>
  </si>
  <si>
    <t>Do your systems or products store, process, or transmit cardholder (payment/credit/debt card) data?</t>
  </si>
  <si>
    <t>Does the system or products use a third party to collect, store, process, or transmit cardholder (payment/credit/debt card) data?</t>
  </si>
  <si>
    <t>The remainder of the document consists of various safeguards, grouped generally by section.</t>
  </si>
  <si>
    <t>Vendor Email Address</t>
  </si>
  <si>
    <t>Vendor</t>
  </si>
  <si>
    <t>Description</t>
  </si>
  <si>
    <t>Product</t>
  </si>
  <si>
    <t>Institution's Security Framework</t>
  </si>
  <si>
    <t>For Institution's Security Analysts</t>
  </si>
  <si>
    <t>Ensure that all elements of MAPP-11  are clearly stated in your response.</t>
  </si>
  <si>
    <t>Ensure that all elements of THRD-01 are clearly stated in your response.</t>
  </si>
  <si>
    <t>If more space is needed to sufficiently answer this question, provide reference to the document or add it as an appendix.</t>
  </si>
  <si>
    <t>Provide sufficient detail for each legal agreement in place.</t>
  </si>
  <si>
    <t>Robust answers from the vendor improve the quality and efficiency of the security assessment process.</t>
  </si>
  <si>
    <t>State the ISP provider(s) in addition to the number of ISPs that provide connectivity.</t>
  </si>
  <si>
    <t>State the party that performed the vulnerability test and the date it was conducted?</t>
  </si>
  <si>
    <t>Have your applications had an external vulnerability assessment in the last year?</t>
  </si>
  <si>
    <t>Have your systems had an external vulnerability assessment in the last year?</t>
  </si>
  <si>
    <r>
      <rPr>
        <sz val="11"/>
        <color rgb="FF000000"/>
        <rFont val="Verdana"/>
        <family val="2"/>
      </rPr>
      <t>Portfolium uses a multiple approval system for granting access to  employees. The manager of the employee requesting access must fill out a ticket requesting detailed level of access to the system and specifying which parts, functions, and features are to be accessible by the  employee. Clear, valid, and necessary business justification must be provided for the user in question. Other approvals are included as necessary and based on the access being requested. If all parties approve the employee’s access, the respective technology team grants access as requested in the ticket. User accounts are deleted upon termination of employment. On a quarterly basis, user accounts are reviewed for appropriateness, making changes to access where required.</t>
    </r>
    <r>
      <rPr>
        <sz val="11"/>
        <color rgb="FF000000"/>
        <rFont val="Verdana"/>
        <family val="2"/>
      </rPr>
      <t xml:space="preserve">
</t>
    </r>
  </si>
  <si>
    <t>Institution</t>
  </si>
  <si>
    <t>Proceed to the next tab, Instructions.</t>
  </si>
  <si>
    <t>Do you conform with a specific industry standard security framework? (e.g. NIST Cybersecurity Framework, ISO 27001, etc.)</t>
  </si>
  <si>
    <t>Do backups containing the institution's data ever leave the Institution's Data Zone either physically or via network routing?</t>
  </si>
  <si>
    <t>Is your company subject to Institution's Data Zone laws and regulations?</t>
  </si>
  <si>
    <t xml:space="preserve">List all datacenters and the cities, states (provinces), and countries where the Institution's data will be stored (including within the Institution's Data Zone).   </t>
  </si>
  <si>
    <t>v2.00</t>
  </si>
  <si>
    <t>Data Reporting</t>
  </si>
  <si>
    <t>Vendor Data Zone</t>
  </si>
  <si>
    <t>Institution Data Zone</t>
  </si>
  <si>
    <t>The country/region in which a vendor is headquartered and/or serves its products/services, including all laws and regulations in-scope within that country/region.</t>
  </si>
  <si>
    <t>Definitions and Data Zones</t>
  </si>
  <si>
    <t>GNRL-11 and GNRL-12; populated by the Institution's Security Office</t>
  </si>
  <si>
    <t>GNRL-11</t>
  </si>
  <si>
    <t>GNRL-12</t>
  </si>
  <si>
    <t>See Instructions tab for guidance</t>
  </si>
  <si>
    <t>Does your organization conduct an annual test of relocating to an alternate site for business recovery purposes?</t>
  </si>
  <si>
    <t>Do you have a media handling process, that is documented and currently implemented, including end-of-life, repurposing, and data sanitization procedures?</t>
  </si>
  <si>
    <t>Do you have a cryptographic key management process (generation, exchange, storage, safeguards, use, vetting, and replacement), that is documented and currently implemented, for all system components? (e.g. database, system, web, etc.)</t>
  </si>
  <si>
    <t>Does a physical barrier fully enclose the physical space preventing unauthorized physical contact with any of your devices?</t>
  </si>
  <si>
    <t>Are you employing any next-generation persistent threat (NGPT) monitoring?</t>
  </si>
  <si>
    <t>Does your organization have physical security controls and policies in place?</t>
  </si>
  <si>
    <t>Can you share the organization chart, mission statement, and policies for your information security unit?</t>
  </si>
  <si>
    <t>Do you have a systems management and configuration strategy that encompasses servers, appliances, and mobile devices (company and employee owned)?</t>
  </si>
  <si>
    <t>Does your web-based interface support authentication, including standards-based single-sign-on? (e.g. InCommon)</t>
  </si>
  <si>
    <t>Does the process described in DATA-23 adhere to DoD 5220.22-M and/or NIST SP 800-88 standards?</t>
  </si>
  <si>
    <t>Major revision. Visit https://www.educause.edu/hecvat for details.</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</si>
  <si>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</si>
  <si>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This section is self-explanatory; product specifics and contact information. GNRL-01 through GNRL-10 should be populated by the Vendor. GNRL-11 and GNRL-12 are for institution use only.</t>
  </si>
  <si>
    <t>Focused on external documentation, the institution is interested in the frameworks that guide your security strategy and what has been done to certify these implementations.</t>
  </si>
  <si>
    <t>The country/region in which an institution is located, including all laws and regulations in-scope within that country/region.</t>
  </si>
  <si>
    <t>Customers from different regions may expect vary protections of data (e.g. GDPR), this is the institution Data Zone. Vendors may handle data differently depending on the country or region where data is stored, this is the Vendor Data Zone.
As a vendor, if your security practices vary based on your region of operation, you may want to populate a HECVAT in the context for each security zone (strategy). That said, institutions from different data zones may still use vendor responses from other state Data Zones. If your security practices are the same across all regions of operations, indicate "All" in your Vendor Data Zone.</t>
  </si>
  <si>
    <t>Example A: If vendor ABC is headquartered and stores data in Canada, and provides services to only customers in Canada, ABC should state "Canada" in both Data Zone fields.
Example B: If vendor ABC is headquartered and stores data in Canada, and additionally provides services to customers in the United Kingdom, ABC may want to assure customers in the United Kingdom that their data is handled properly for their region. In that case, ABC should state "Canada" in the Vendor Data Zone and "United Kingdom" in the institution Data Zone.
Example C: If your security strategy is broad and doesn't fit this statement model, provide a brief summary in each field and the institution's Security Analyst can assess your response.</t>
  </si>
  <si>
    <t>To update data in the Report tabs, click Refresh All in the Menu tab. Input provided in the HECVAT tab is assessed a preliminary score pending institution's Security Analyst review.</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</si>
  <si>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</si>
  <si>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</si>
  <si>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v2.01</t>
  </si>
  <si>
    <t>Minor calculation revision in Summary Report scoring.</t>
  </si>
  <si>
    <t>Cleaned up old question references, added Excel backwards compatibility through named ranges, and fixed analyst report view.</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</si>
  <si>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</si>
  <si>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Repaired versioning issues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</si>
  <si>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</si>
  <si>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Higher Education Community Vendor Assessment Toolkit - Change Log</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</si>
  <si>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</si>
  <si>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</si>
  <si>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</si>
  <si>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</si>
  <si>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This qualifier determines the presence of PHI in the solution and sets the HIPAA section as required appropriately.</t>
  </si>
  <si>
    <t>Reference the HIPAA section for follow-up review.</t>
  </si>
  <si>
    <t>Reference the Third Parties section for follow-up review.</t>
  </si>
  <si>
    <t>This qualifier determines the existence of a complete, fully-populated BCP, maintained by the vendor, and sets the Business Continuity Plan  section as required appropriately.</t>
  </si>
  <si>
    <t>Reference the Business Continuity Plan section for follow-up review.</t>
  </si>
  <si>
    <t>This qualifier determines the existence of a complete, fully-populated DRP, maintained by the vendor, and sets the Business Continuity Plan  section as required appropriately.</t>
  </si>
  <si>
    <t>Reference the Disaster Recovery Plan section for follow-up review.</t>
  </si>
  <si>
    <t>This qualifier determines the presence of PCI DSS in the solution and sets the PCI DSS section as required appropriately.</t>
  </si>
  <si>
    <t>Reference the PCI DSS section for follow-up review.</t>
  </si>
  <si>
    <t>Reference the Consulting section for follow-up review.</t>
  </si>
  <si>
    <t>Standard documentation, relevant to institutions requiring a vendor to undergo SSAE 16 audits.</t>
  </si>
  <si>
    <t xml:space="preserve">Follow-up inquiries for SSAE 16 content will be institution/implementation specific. </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</si>
  <si>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</si>
  <si>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</si>
  <si>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</si>
  <si>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</si>
  <si>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</si>
  <si>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 xml:space="preserve">For institutions that collaborate with the United States government, FISMA compliance may be required. </t>
  </si>
  <si>
    <t xml:space="preserve">Follow-up inquiries for FISMA compliance will be institution/implementation specific. </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</si>
  <si>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</si>
  <si>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</si>
  <si>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</si>
  <si>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We want to establish longevity of a solution and whether or not a vendor is new to the HE space.</t>
  </si>
  <si>
    <t>Higher Ed is a unique vertical. A vendor's response to this question can help an analyst set the context for all vendor responses. Established and/or mature software/product/services are more likely to have current Higher Ed customers, and therefore understand the environment that we operate in.</t>
  </si>
  <si>
    <t>A simple "Yes" without any references or supporting information should be questioned. Question the size of institutions that are using the software/product/service and the scope of their implementations.</t>
  </si>
  <si>
    <t xml:space="preserve">We want transparency from the vendor and an honest answer to this question, regardless of the response, is a good step in building trust. </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</si>
  <si>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</si>
  <si>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</si>
  <si>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</si>
  <si>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</si>
  <si>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</si>
  <si>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</si>
  <si>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 xml:space="preserve">Vague responses to this question should be investigated further. Vendors without documentation in relation to how they deal with other vendors is alarming. </t>
  </si>
  <si>
    <t>Who, what, why - that simple. If a vendor is sharing institutional data with another party, it is expected that the vendor performs their due diligence when assessing their vendors.</t>
  </si>
  <si>
    <t>Insight into legal protections for the institution and its data are the focus of this question. Understanding all stakeholder's contractual responsibilities should be clearly stated by the vendor.</t>
  </si>
  <si>
    <t>Follow-up inquiries in regards to contracts will be institution/implementation specific.</t>
  </si>
  <si>
    <t>This is an open-ended question to allow the vendor to state the actions of their due diligence, as it pertains to safeguarding institutional data.</t>
  </si>
  <si>
    <t>Vague responses to this question should be investigated further. If the vendor's effort to ensure transparency falls short, there may be a reason.</t>
  </si>
  <si>
    <t>Follow-up inquiries for on-premise consulting details will be institution/implementation specific.</t>
  </si>
  <si>
    <t>This question is very much about what level of network access is needed by these external consultants as it is anything else.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consultant may need to be given access to a data center's network. Again, the purpose here is to determine what level of access is enough and what controls to put in place to secure that access.</t>
  </si>
  <si>
    <t>Follow-up inquiries for on-premise consultant resource requirements will be institution/implementation specific.</t>
  </si>
  <si>
    <t xml:space="preserve">This normally is interpreted as "Does the consultant need to connect to our servers in our machine room(s)?". But, it can mean other things too. The real deeper question is, what protected resources does this consultant need to access? And why? For example: It would be unusual for an application developer to need access to a router or switch, so if that is requested, it should be questioned to see if it's reasonable. </t>
  </si>
  <si>
    <t xml:space="preserve">The consultant(s) should be asked for specifics. Example: Do you need access to only the database, or also the front-end? Do you need firewall adjustments? The goal is to ask questions designed around determining what the least level of access is that will allow the consultants to complete their work. </t>
  </si>
  <si>
    <t xml:space="preserve">There are occasions where a consultant needs to access a system in the same way the institution's users access it. This is most often seen in cases where code is being developed, but other scenarios exist. The answer to this question lets the institution know whether they need to alert their identity management team to provision an account for this consultant. </t>
  </si>
  <si>
    <t>Ask the vendor for the reasoning for this requirement. Establish the length (time) of account use. Establish clear expectations for account use. Confirm the sponsor arrangement and ensure protections are in-place for this authorization.</t>
  </si>
  <si>
    <t xml:space="preserve">Certain types of data are subject to either industry or regulatory standards. This question is designed to ensure that the contracted consultants do understand the requirements for handling those classes of data. Or, if they do not, then to give the institution time to implement another control or mitigation (for example: A training course assembled by the institution. Or contract terms designed to protect the institution by requiring that a contractor follow a specific standard). </t>
  </si>
  <si>
    <t>Follow-up inquiries for consultant training will be institution/implementation specific.</t>
  </si>
  <si>
    <t>The need for encryption at-rest is unique to your institution's implementation of a system. In particular, system components, architectures, and data flows, all factor into the need for this control.</t>
  </si>
  <si>
    <t>Follow-up inquiries for consultant possessed data encryption at-rest will be institution/implementation specific.</t>
  </si>
  <si>
    <t>Telecommuting in the IT world is common - an institution should know that proper safeguards are in place, if remote access is allowed. Vendor responses vary greatly on this so confirm the context of the response if it is not clear. Many cloud services can only be managed remotely so there is often a gray area to interpret for this response.</t>
  </si>
  <si>
    <t>Ask the vendor to summarize the reasoning behind this business process and request additional documentation that outlines the security controls implemented to safeguard institutional data.</t>
  </si>
  <si>
    <t>Restricting access to the least number of sources is a best-practice at the focus of this question. If consultants will access institution's data from a static location, ideally the access is restricted to that static location. Based on the institution's environment, data sensitivity, and detective/preventive capabilities, the response to this question may or may not be relevant.</t>
  </si>
  <si>
    <t>Follow-up inquiries for firewall rules and access control lists will be institution/implementation specific.</t>
  </si>
  <si>
    <t>Ask the vendor to summarize the best practices to restrict/control the access given to the institution's end-users without the use of RBAC. Make sure to understand the administrative requirements/overhead introduced in the vendor's environment.</t>
  </si>
  <si>
    <t>Ask the vendor to summarize the best practices for securing their system(s) administratively without the use of RBAC. Make sure to understand the administrative requirements/overhead introduced in the vendor's environment.</t>
  </si>
  <si>
    <t>Many systems can be used a variety of ways. We want these implementation type diagrams so that we can understand the "real" use of the product.</t>
  </si>
  <si>
    <t xml:space="preserve">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t>
  </si>
  <si>
    <t>Inquire about any planned improvements to these capabilities. Ask about their product(s) roadmap and try to understand how they prioritize security concerns in their environment.</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</si>
  <si>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etc.). A vendor's response here will influence potential follow-up inquiries for other HECVAT questions.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</si>
  <si>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</si>
  <si>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</si>
  <si>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Follow-up inquiries concerning supplemental software/products will be institution/implementation specific.</t>
  </si>
  <si>
    <t xml:space="preserve">A picture is worth a thousand words. Diagrams improve transparency of the vendor's infrastructure and allows the institution to more accurately assess potential risks in a vendor's environment. Vendor's with mature infrastructures are expected to have detailed diagrams for all components of their system(s). </t>
  </si>
  <si>
    <t>The use of n-tier architectures is best-practice, providing additional options to strength security controls. Segregating institutional data from front-end (public) systems in expected.</t>
  </si>
  <si>
    <t>Follow-up inquiries for n-tier infrastructure details will be institution/implementation specific.</t>
  </si>
  <si>
    <t>The vendor's response to this question may reveal the need to ask additional follow-up questions to other responses.</t>
  </si>
  <si>
    <t>Verify if the vendor's infrastructure is constrained by a technology or if it is a best practice that is not adopted. Ask about the vendor's future support roadmap.</t>
  </si>
  <si>
    <t>User location data is a significant privacy and safety concern for individuals. Understanding a systems use and storage of user geolocation data is important.</t>
  </si>
  <si>
    <t xml:space="preserve">Vague responses to this question should be met with concern. Repeat the question if first answer insufficiently - ask pointedly to ensure the vendor is not misunderstood. </t>
  </si>
  <si>
    <t xml:space="preserve">The focus of this question is privilege creep, a situation where employees gain access privileges as they move within an organization, but privileges that they were given in previous roles are not removed. This can lead to situations were an individual has concurrent access to systems that should not be allowed. </t>
  </si>
  <si>
    <t xml:space="preserve">Ask the vendor how administrator accounts are protected. Ask for documentation for their onboarding and offboarding procedures for new staff. </t>
  </si>
  <si>
    <t xml:space="preserve">The focus of this question is availability. When moving to off-premise solutions, many controls and strategies implemented on-site are no longer relevant to the security of the solution. </t>
  </si>
  <si>
    <t>Follow-up inquiries for tertiary services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</si>
  <si>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</si>
  <si>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</si>
  <si>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</si>
  <si>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</si>
  <si>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Follow-up inquiries for password/passphrase limitations and/or restrictions will be institution/implementation specific.</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</si>
  <si>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</si>
  <si>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</si>
  <si>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If a vendor indicates that a system is standalone and cannot integrate with community standards, follow-up with maturity questions and ask about other commodity type functions or other system requirements your institution may have.</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</si>
  <si>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</si>
  <si>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</si>
  <si>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Vendor responses to this question provides insight into account management, authorization scope, data integrity, etc. of system administrators. Use the vendor's response to provide context for other responses.</t>
  </si>
  <si>
    <t>Follow-up inquiries for administration module authorization will be institution/implementation specific.</t>
  </si>
  <si>
    <t>The focus of this question is confidentiality. Straight-forward question confirming the encryption of user authentication details.</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</si>
  <si>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</si>
  <si>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</si>
  <si>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If a vendor indicates that a system is standalone and cannot integrate with the institution's infrastructure, follow-up with maturity questions and ask about other commodity type functions or other system requirements your institution may have.</t>
  </si>
  <si>
    <t>This is a follow-up to the questions above. Although a system may support authentication integrations, they may or may not be used on systems that store institutional data. Verify the use of authentication methods/functions in all parts of a system.</t>
  </si>
  <si>
    <t>Ask for diagrams or other documentation that clearly shows what protections/systems are used and where and when they are used. The detail of inquiry will be based on the institutions risk tolerance and criticality of data.</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</si>
  <si>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</si>
  <si>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</si>
  <si>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</si>
  <si>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</si>
  <si>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</si>
  <si>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</si>
  <si>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A vendor may have a number of BCP elements defined so the vendor's response may not be binary. Assess the components of the plan and ask about timelines, follow-up commitments, etc. 
If the vendor does not have a BCP, point them to https://www.sans.org/reading-room/whitepapers/recovery/business-continuity-planning-concept-operations-1653</t>
  </si>
  <si>
    <t>If the vendor states "No", you can ask for a summary, white paper, or blog. If unable to review the full plan, infer what you can from other BCP question responses.</t>
  </si>
  <si>
    <t>Follow-up inquiries for BCP responsible parties will be institution/implementation specific.</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</si>
  <si>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</si>
  <si>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</si>
  <si>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</si>
  <si>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</si>
  <si>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If a vendor's BCP training and awareness activities are insufficient, inquire about other mandatory training, verify its scope, and confirm the training cycles.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</si>
  <si>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</si>
  <si>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</si>
  <si>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</si>
  <si>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</si>
  <si>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</si>
  <si>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</si>
  <si>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The lack of a Change Management program is indicative of immature program processes -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</si>
  <si>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</si>
  <si>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</si>
  <si>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</si>
  <si>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Notification expectations should be set earlier in the contract/assessment process. Timelines, correspondence medium, and playbook details are all aspects to keep in mind when assessing this response.</t>
  </si>
  <si>
    <t>Follow-up inquiries for software/product/service version releases will be institution/implementation specific.</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</si>
  <si>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</si>
  <si>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</si>
  <si>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 xml:space="preserve">This question shows how easy it is for customers to upgrade from one version of the software to the next. If the software has many interdependencies, it will be difficult for customers to transition to the next version, and the software will be more difficult to support.  </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</si>
  <si>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</si>
  <si>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 xml:space="preserve">Understanding the vendor’s approach to approving software for production will indicate the value they place on quality assurance. </t>
  </si>
  <si>
    <t>If a weak response is given to this answer, response scrutiny should be increased. Questions about software testing and reviews are appropriate.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</si>
  <si>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</si>
  <si>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</si>
  <si>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</si>
  <si>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</si>
  <si>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</si>
  <si>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Answers to this question will reveal the vendor’s knowledge of their IT assets and their ability to respond to notifications about their systems and software.</t>
  </si>
  <si>
    <t>Follow-up inquiries for the vendor’s patching practices will be institution/implementation specific.</t>
  </si>
  <si>
    <t>Follow-up inquiries for the vendors patching practices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</si>
  <si>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</si>
  <si>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</si>
  <si>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</si>
  <si>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Follow-up inquiries for the vendors infrastructure will be institution/implementation specific.</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</si>
  <si>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</si>
  <si>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</si>
  <si>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</si>
  <si>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</si>
  <si>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</si>
  <si>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</si>
  <si>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</si>
  <si>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 xml:space="preserve">The need for encryption in transport is unique to your institution's implementation of a system. In particular, system components, architectures, and data flows, all factor into the need for this control. Ensure that vendor responses cover encryption between the hosts within their system - this is the important piece that follows-up on DATA-03.	</t>
  </si>
  <si>
    <t>Follow-up inquiries for data encryption within the system components (and end-users)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</si>
  <si>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</si>
  <si>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location details will be institution/implementation specific.</t>
  </si>
  <si>
    <t>A vendor's response should be clear and concise. Be wary of vague responses to this questions and inquire about export specifics, as needed.</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</si>
  <si>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</si>
  <si>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</si>
  <si>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This question clarifies the position of the institution in the case of acquisition or bankruptcy. Expect clear responses to this question - if vague, be sure to follow-up based on institutional counsel guidance.</t>
  </si>
  <si>
    <t>This is a general inquiry about backup processes. There may be some overlap with other vendor responses - this is a good place to crosscheck consistency and valid any issues that are not clear.</t>
  </si>
  <si>
    <t>Follow-up inquiries for server backup process details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</si>
  <si>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</si>
  <si>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</si>
  <si>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Confidentiality of data and lifecycle media/data maintenance maturity are the focus of this question. Data retention requirements vary greatly and this question seeks clarity of vendor practices.</t>
  </si>
  <si>
    <t>Follow-up inquiries for data backup (and retention) details will be institution/implementation specific.</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</si>
  <si>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</si>
  <si>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</si>
  <si>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Follow-up with the vendor to ensure that all components of the system are consider. This includes, system-to-system, system-to-client, applications, system accounts, etc.</t>
  </si>
  <si>
    <t>The purpose of this question is to define the scope of backup operations and the scope at which a vendor may readily recover when backup restoration is required.</t>
  </si>
  <si>
    <t>Follow-up inquiries for backup content scope will be institution/implementation specific.</t>
  </si>
  <si>
    <t>Follow-up inquiries for offsite, digital backups will be institution/implementation specific.</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</si>
  <si>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</si>
  <si>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</si>
  <si>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</si>
  <si>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</si>
  <si>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</si>
  <si>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Vague responses to this question should be investigated further. Ask for additional documentation and verify that procedure (and possibly training) exists to ensure proper media handling activity.</t>
  </si>
  <si>
    <t>Follow-up inquiries for DoD 5220.22-M and/or SP800-88 standards will be institution specific.</t>
  </si>
  <si>
    <t>Follow-up inquiries for data retention details will be institution/implementation specific.</t>
  </si>
  <si>
    <t>Standard documentation, relevant to institution implementations requiring FERPA compliance.</t>
  </si>
  <si>
    <t>Follow-up inquiries for FERPA compliance details will be institution/implementation specific.</t>
  </si>
  <si>
    <t>If institutional data is visible by [vendor] system administrators, follow-up with the vendor to understand the scope of visibility, process/procedure that administrators follow, and use cases when administrators are allowed to access (view) institutional data.</t>
  </si>
  <si>
    <t>Follow-up inquiries for database field encryption will be institution/implementation specific. Questions may include a timeline for this capability, performance metrics, and/or architectures that compensate for this level of encryption granularity.</t>
  </si>
  <si>
    <t>Confidentiality is the focus of this question. Vendor responses to this question should be well-supported. Ensure that the vendor provides sufficient supporting documentation, as needed, to ensure that the vendor properly implements encryption in their database(s).</t>
  </si>
  <si>
    <t>Dismissive or vague responses should be met with concern. Follow-up questions can include the reasoning behind not using encryption, recommendations for best-practice implementation (i.e. think diagrams), and/or any timeline for implementing this capability in the software/product/service.</t>
  </si>
  <si>
    <t xml:space="preserve">Data ownership, availability, and the use of third-parties are all somewhat connected to the response of this question. </t>
  </si>
  <si>
    <t>Simple responses without supporting documentation should be me with concern. Follow-up with a vendor and request supporting documentation if the answer is in any way dismissive or off-point.</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</si>
  <si>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</si>
  <si>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</si>
  <si>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</si>
  <si>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</si>
  <si>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The purpose of this question is to confirm ownership and physical characteristics of the infrastructure responsible for storing/hosting institutional data.</t>
  </si>
  <si>
    <t>Ask about sharing agreements. Ask about vetting of individuals with access to the co-location space. Ask about access controls, policies, physical environments, etc.</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</si>
  <si>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</si>
  <si>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</si>
  <si>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 xml:space="preserve">Network configuration requirements vary greatly and this question give vendor's the chance to summarize their system's network infrastructure. Review the vendor's response to this question and then reassess other infrastructure components or other vendor response's that may be affected by the network infrastructure described in this response. </t>
  </si>
  <si>
    <t>Standalone solutions will require follow-up questions similar to onsite consulting. SaaS solutions that are hosted in IaaS environments will have network segments and configurations appropriate for that environment. Follow-up questions will be platform/environment specific.</t>
  </si>
  <si>
    <t>Follow-up inquiries for datacenter location details will be institution/implementation specific.</t>
  </si>
  <si>
    <t>Geographic diversity is ideal when planning primary and secondary datacenters. The focus of this question is to determine appropriate geographic diversity to meet the availability requirements of the institution.</t>
  </si>
  <si>
    <t>Inquire about future plans, backup plans for the backup plan, etc. Availability is the name of the game - focus on the needs of the institution, especially BCP and DRP elements.</t>
  </si>
  <si>
    <t>Follow-up inquiries for co-location contracts will be institution/implementation specific.</t>
  </si>
  <si>
    <t>Follow-up inquiries for Uptime Institute Tier Level details will be institution/implementation specific.</t>
  </si>
  <si>
    <t xml:space="preserve">In the context of the CIA triad, this question is focused on the availability of a system (or set of systems). </t>
  </si>
  <si>
    <t>The weight placed on the vendor's response will be specific to the institution's use case and software/product/service requirements.</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</si>
  <si>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</si>
  <si>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</si>
  <si>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Vendor responses will indicate the environment of the vendor's datacenter. If a vendor's "datacenter" is the spare closet at the office, additional risks are introduced to the CIA triad, and should be followed-up on appropriately.</t>
  </si>
  <si>
    <t>Follow-up inquiries for cooling and fire suppression details will be institution/implementation specific.</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</si>
  <si>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</si>
  <si>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Follow-up inquiries for DRP responsible parties will be institution/implementation specific.</t>
  </si>
  <si>
    <t>If the vendor states "No", you can ask for a summary, white paper, or blog. If unable to review the full plan, infer what you can from other DRP question responses.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</si>
  <si>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</si>
  <si>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</si>
  <si>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If the vendor does not have a DRP, point them to https://www.sans.org/reading-room/whitepapers/recovery/disaster-recovery-plan-1164</t>
  </si>
  <si>
    <t>The vendor's response to this question will verify other responses related to planning, testing, and metrics. Use the response to infer the maturity of the vendor's DRP efforts.</t>
  </si>
  <si>
    <t>Follow-up inquiries for recovery time capabilities will be institution/implementation specific.</t>
  </si>
  <si>
    <t xml:space="preserve">Vendor responses to this questions need to be evaluated in the context of use case, data criticality, institutional risk tolerance, and value of the software/product/service to the institution's mission. </t>
  </si>
  <si>
    <t>Follow-up inquiries for cyber-risk insurance will be institution/implementation specific.</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</si>
  <si>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</si>
  <si>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If a vendors states that they outsource their code development and do not run a WAF, there is elevated reason for concern. Verify how code is tested, monitored, and controlled in production environments.</t>
  </si>
  <si>
    <t xml:space="preserve">Modifications to firewall rulesets can have significant repercussions. To ensure the integrity of the ruleset, this question targets the individual (or responsible party) for changes and the reasoning behind their authority.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</si>
  <si>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</si>
  <si>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</si>
  <si>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</si>
  <si>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</si>
  <si>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</si>
  <si>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</si>
  <si>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Ask the vendor to summarize why host-based intrusion detection tools are not implemented in their environment. What compensating controls are in place to detect configuration changes and/or failures of integrity?</t>
  </si>
  <si>
    <t>Ask the vendor to summarize why host-based intrusion prevention tools are not implemented in their environment. What compensating controls are in place to detect malicious activity and to actively prevent its function.</t>
  </si>
  <si>
    <t xml:space="preserve">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t>
  </si>
  <si>
    <t>Follow-up inquiries for NGPT monitoring will be institution/implementation specific.</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</si>
  <si>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</si>
  <si>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</si>
  <si>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</si>
  <si>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</si>
  <si>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</si>
  <si>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</si>
  <si>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The purpose of this question is to highlight any concerning restrictions in the software/product/service that may cause support (or other) risks when deployed.</t>
  </si>
  <si>
    <t>Follow-up inquiries for mobile application compatibility will be institution/implementation specific.</t>
  </si>
  <si>
    <t>Languages, platforms, libraries, coding style - anything along these lines is what this question is after. Layers of architecture, number of systems, complexity of configuration, and commonality of hardware/software are all points of interest in this question.</t>
  </si>
  <si>
    <t>Vague responses to this question should be investigated further. Ask for additional documentation and verify that appropriate documentation exists to clearly understand the vendor's environment.</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</si>
  <si>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</si>
  <si>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</si>
  <si>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 xml:space="preserve">The purpose of this question is to understand the flow of data, specifically critical data, so that the proper follow-up questions can be asked. </t>
  </si>
  <si>
    <t>Ask the vendor for data flow diagrams. Communication trusts between nodes is important - ask how data is handled at the application (device end), not just the servers.</t>
  </si>
  <si>
    <t>The need for encryption in transport is unique to your institution's implementation of a system. In particular, system components, architectures, and data flows, all factor into the need for this control.</t>
  </si>
  <si>
    <t>Follow-up inquiries for data encryption in transport will be institution/implementation specific.</t>
  </si>
  <si>
    <t>If information security principles are not designed into the product lifecycle, point the vendor to OWASP's Secure Coding Practices - Quick Reference Guide at https://www.owasp.org/index.php/OWASP_Secure_Coding_Practices_-_Quick_Reference_Guide</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</si>
  <si>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</si>
  <si>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</si>
  <si>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</si>
  <si>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 xml:space="preserve">The focus of this question is the detective capabilities in the event an incident occurs in regards to institutional data. </t>
  </si>
  <si>
    <t>Follow-up inquiries for video data storage will be institution/implementation specific.</t>
  </si>
  <si>
    <t>Follow-up inquiries for video monitoring will be institution/implementation specific.</t>
  </si>
  <si>
    <t>Managing media (and the data within) throughout its lifecycle is crucial to the protection of institutional data. The focus of this question is confidentiality, ensuring that equipment used to store institutional data is appropriately protected.</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</si>
  <si>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</si>
  <si>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 xml:space="preserve">Vague responses to this question should be investigated further. Vendors unwilling to share additional supporting documentation decrease the trust established with other responses. </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</si>
  <si>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</si>
  <si>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</si>
  <si>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</si>
  <si>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</si>
  <si>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</si>
  <si>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</si>
  <si>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</si>
  <si>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</si>
  <si>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</si>
  <si>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</si>
  <si>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</si>
  <si>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</si>
  <si>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</si>
  <si>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</si>
  <si>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</si>
  <si>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</si>
  <si>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</si>
  <si>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</si>
  <si>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A shared security [responsibility] environment is expected of vendors in today's world. Security office's cannot solely protect an institution's data. Information security, engrained in an organization, is the best case scenario for the protection of institutional data. Security awareness and practice start in a vendor's policies.</t>
  </si>
  <si>
    <t>If the vendor does not have document information security policy, follow-up questions about training, company practices, awareness efforts, auditing, and system protection practices are appropriate.</t>
  </si>
  <si>
    <t>Understanding the maturity of a vendor's awareness program will indicate the value they place on protecting institutional data. Security involves all parts of an organization, end-user staff included. Awareness training should be prevalent, continuous, and well-documented.</t>
  </si>
  <si>
    <t>If a vendor's awareness training is not prevalent, continuous, and well-documented, it is cause for concern. Inquire about other mandatory training, verify its scope, and confirm the training cycles.</t>
  </si>
  <si>
    <t>The focus of this question is if they audit, how they audit, what they audit, and how it is properly documented and consistently conducted.</t>
  </si>
  <si>
    <t>Follow-up inquiries for internal audit strategies will be institution/implementation specific.</t>
  </si>
  <si>
    <t>Not every software/product/service will have everything an institution will need, at all times, during the lifecycle of a system. The ability to influence development efforts is a valuable position for a higher ed institution. Knowing that a vendor is listening and wants to deliver viable solutions builds trust in the implementation.</t>
  </si>
  <si>
    <t>Ask how requests should be submitted, how requests are prioritized, and by whom. Ask about product roadmaps (1yr, 2yr, 5yr, depending on use case).</t>
  </si>
  <si>
    <t>Oftentimes an institution will want to evaluate a solution before committing to purchase or deploying future functionality. Based on the use case, flexibility in product evaluation may be a requirement.</t>
  </si>
  <si>
    <t>Follow-up inquiries for evaluations sites will be institution/implementation specific.</t>
  </si>
  <si>
    <t>Institutions vary broadly on how QA is handled so any follow-up questions will be contract/institution/implementation specific.</t>
  </si>
  <si>
    <t>Standard documentation, relevant to institutions requiring a vendor to comply with ISO 9001.</t>
  </si>
  <si>
    <t xml:space="preserve">Follow-up inquiries for ISO 9001 content will be institution/implementation specific. </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</si>
  <si>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</si>
  <si>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</si>
  <si>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</si>
  <si>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</si>
  <si>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 xml:space="preserve">This question is used to gauge the importance of our industry (higher education) to the vendor. </t>
  </si>
  <si>
    <t>This is a general information question - any follow-up will be institution/implementation specific.</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</si>
  <si>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</si>
  <si>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</si>
  <si>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</si>
  <si>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 xml:space="preserve">The focus of this question is confidentiality. Vendor employees accessing institutional data from personal, unmanaged (by vendor) devices pose a risk of loss of confidentiality. </t>
  </si>
  <si>
    <t>Follow-up inquiries for mobile device management procedures/practices will be institution/implementation specific. Increased scrutiny should be placed on compensating controls, data loss prevention, access controls, auditing, etc.</t>
  </si>
  <si>
    <t xml:space="preserve">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t>
  </si>
  <si>
    <t>Follow-up with a robust question set if the vendor cannot clearly state full-control of the integrity of their system(s). Questions about administrator access on end-user devices and other maintenance and patching type questions are appropriate.</t>
  </si>
  <si>
    <t>If "No", inquiry if there are plans to implement these processes. Ask the vendor to summarize their decision behind not scanning their applications for vulnerabilities. Prior to release.</t>
  </si>
  <si>
    <t>Every infrastructure has a set of tools best suited to evaluate and protect it from vulnerability. Regardless of focus (i.e. code, hardware systems, etc.), professional, well-established tools are ideal when performing vulnerability assessment. In addition, the talent/skillset of a vulnerability assessor is also important.</t>
  </si>
  <si>
    <t>If a vendor is hesitant to share the report, ask for a summarized version - some insight is better than none.</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</si>
  <si>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</si>
  <si>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</si>
  <si>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</si>
  <si>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Follow-up inquiries for HIPAA requirements will be institution/implementation specific.</t>
  </si>
  <si>
    <t>Inquiry into a vendor's use of electronic health records (EHRs).</t>
  </si>
  <si>
    <t>§164.308(a)(1)(ii)(D)</t>
  </si>
  <si>
    <t>Follow-up inquiries for PCI DSS requirements will be institution/implementation specific.</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</si>
  <si>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</si>
  <si>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Updated name, converted question text on Standards Crosswalk tab to vlookups, added Analyst Reference, fixed external links</t>
  </si>
  <si>
    <t>Higher Education Community Vendor Assessment Tool (HECVAT) - Full</t>
  </si>
  <si>
    <t>Higher Education Community Vendor Assessment Tool (HECVAT) - Full - Standards Crosswalk</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</si>
  <si>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tab</t>
    </r>
    <r>
      <rPr>
        <sz val="11"/>
        <color rgb="FF000000"/>
        <rFont val="Verdana"/>
        <family val="2"/>
      </rPr>
      <t>.</t>
    </r>
  </si>
  <si>
    <t>Higher Education Community Vendor Assessment Tool - Full - Instructions</t>
  </si>
  <si>
    <t>Any school, college, or university using the Higher Education Community Vendor Assessment Tool - Full.</t>
  </si>
  <si>
    <t>Higher Education Community Vendor Assessment Tool (HECVAT) - Full - Analyst Reference</t>
  </si>
  <si>
    <t>HECVAT - Full - Analyst Report</t>
  </si>
  <si>
    <t>HECVAT - Full - Summary Report</t>
  </si>
  <si>
    <t>v2.02</t>
  </si>
  <si>
    <t>v2.03</t>
  </si>
  <si>
    <t>v2.04</t>
  </si>
  <si>
    <t>v2.10</t>
  </si>
  <si>
    <t>Proceed to the next tab, HECVAT - Full.</t>
  </si>
  <si>
    <r>
      <t xml:space="preserve">1. Raw vendor answers can be viewed on the </t>
    </r>
    <r>
      <rPr>
        <b/>
        <sz val="11"/>
        <color rgb="FF000000"/>
        <rFont val="Verdana"/>
        <family val="2"/>
      </rPr>
      <t>HECVAT - Full</t>
    </r>
    <r>
      <rPr>
        <sz val="11"/>
        <color indexed="8"/>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</si>
  <si>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Include both end-user and administrative features and functions.</t>
  </si>
  <si>
    <t>Are the data centers staffed 24 hours a day, seven days a week (i.e., 24x7x365)?</t>
  </si>
  <si>
    <t>In addition to stating your intrusion monitoring strategy, provide a brief summary of its implementation.</t>
  </si>
  <si>
    <t>Describe or provide references explaining how tertiary services are redundant (i.e. DNS, ISP, etc.).</t>
  </si>
  <si>
    <t>Reference the Mobile Application section for follow-up review. Many "applications" run in a web-browser and vendors incorrectly respond due to this common word use. Ensure that responses are in the context of true mobile applications, not just web-based systems.</t>
  </si>
  <si>
    <t xml:space="preserve">The use of standalone, mobile applications is the focus of this qualifier and sets the Mobile Application section as required if in use. When a mobile application is implemented for system communication, data flows, encryption, and storage strategies on a mobile device become important. </t>
  </si>
  <si>
    <t>Vendors oftentimes use other vendors to supplement and/or host their infrastructures and it is important to know what, if any, institutional data is shared with fourth-parties. Responses to this qualifier set the response requirement for the Third Parties section.</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</si>
  <si>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</si>
  <si>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</si>
  <si>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</si>
  <si>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Normally a vendor will state their overall longevity but not talk about the software/service/product under evaluation. Follow-up's includes specific questions about the origins of the software/service/product and references will be requested.</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</si>
  <si>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</si>
  <si>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Vendors oftentimes use other vendors to supplement and/or host their infrastructures and it is important to know what, if any, institutional data is shared with fourth-parties. This questions has multiple parts, therefore setting expectations that vendors provide robust responses.</t>
  </si>
  <si>
    <t>This question sets the stage for what the institution must do to accommodate the consultant(s). The question is important because it gives the institution the knowledge necessary to enact appropriate controls. For example, if the answer is "Yes", then access to appropriate locations can be granted, and equipment can be provisioned if needed. Whereas a "No" answer may require remote access control measures, such as the provisioning of VPN access for the consultant.</t>
  </si>
  <si>
    <t>This question is designed to get outright confirmation on whether your institution's data will transfer out and possibly reside, even temporarily, on the contractors' infrastructure. It is also designed to allow you to ask whether it transfers to the *company*, or to the *individual consultant*. That way, you will know what terms or controls to require (for example: 'Our institution's data can be stored and accessed on company owned equipment, but never on personally owned devices.')</t>
  </si>
  <si>
    <t xml:space="preserve">Where will this be stored? Who will have access to it? How long will you retain it? Will you use secure, multi-pass erase methods to dispose of the data once the job is complete? Basically, use this as an opportunity to track what will happen to the data once it's in the contractors' hands, and also to set the expectations with the contractor on how your institution's data should be handled, stored, erased, etc. </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</si>
  <si>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</si>
  <si>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</si>
  <si>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Ask the vendor to summarize why a multi-tenant (or other) environment/strategy is implemented and what compensating controls they have in place to ensure appropriate levels of confidentiality and integrity.</t>
  </si>
  <si>
    <t>This question allows a vendor to describe situations in which their software/product/service cannot operate or be supported. The value of this question is relative, depending on the institution's operating environment.</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</si>
  <si>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</si>
  <si>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password/passphrase encrypted storage will be institution/implementation specific.</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</si>
  <si>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</si>
  <si>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 xml:space="preserve">In the context of the CIA triad, this question is focused on availability and is often in need of a follow-up. Understanding the maturing of a vendor's BCP can shed light on many other aspects of a vendor's overall security state. </t>
  </si>
  <si>
    <t>General inquiry for documentation. As BCPs may contain some sensitive data, a robust summary is appropriate in lieu of a full BCPP.</t>
  </si>
  <si>
    <t>Having a BCP and maintaining/updating/testing a BCP are very different. Establishing a responsible party is fundamental to this process and this question looks to verify that within the vendor.</t>
  </si>
  <si>
    <t>Testing a BCP is an important action that improves the efficiency and accuracy of a vendor's continuity plans. Annual updates are generally expected.</t>
  </si>
  <si>
    <t>Understanding the maturity of a vendor's training and awareness program will indicate the value they place on protecting institutional data. BCP related awareness training should be prevalent, continuous, and well-documented.</t>
  </si>
  <si>
    <t>Testing a BCP is an important action that improves the efficiency and accuracy of a vendor's continuity plans. Vague responses to this question should be met with concern and appropriate follow-up, based on your institutions risk tolerance.</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</si>
  <si>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</si>
  <si>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</si>
  <si>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</si>
  <si>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</si>
  <si>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When cancelling a software/product/service, an institution will commonly want all institutional data that was provided to a vendor. This questions allows the vendor to state their general practices when a customer leaves their environment.</t>
  </si>
  <si>
    <t>When cancelling a software/product/service, an institution will commonly want all institutional data that was provided to a vendor. The vendor's response should verify if the institution can extract data or if it is a manual extraction by vendor staff.</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</si>
  <si>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</si>
  <si>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Depending on the use case, full database encryption may not always be required, or ideal. The ability to encrypt specific fields (data elements) can be advantageous to a system. Performance is sometimes an issue, based on the use case, and this granular approach to encryption provides an institution more options.</t>
  </si>
  <si>
    <t>Standard documentation, relevant to institutions requiring a vendor to maintain a specific Uptime Institute Tier Level.</t>
  </si>
  <si>
    <t xml:space="preserve">In the context of the CIA triad, this question is focused on availability and is often in need of a follow-up. Understanding the maturing of a vendor's DRP can shed light on many other aspects of a vendor's overall security state. </t>
  </si>
  <si>
    <t>Having a DRP and maintaining/updating/testing a DRP are very different. Establishing a responsible party is fundamental to this process and this question looks to verify that within the vendor.</t>
  </si>
  <si>
    <t>General inquiry for documentation. As DRPs may contain some sensitive data, a robust summary is appropriate in lieu of a full DRP.</t>
  </si>
  <si>
    <t>Testing a DRP is an important action that improves the efficiency and accuracy of a vendor's recovery plans. Vague responses to this question should be met with concern and appropriate follow-up, based on your institutions risk tolerance.</t>
  </si>
  <si>
    <t xml:space="preserve">Testing a DRP is an important action that improves the efficiency and accuracy of a vendor's recovery plans. Vague responses to this question should be met with concern and appropriate follow-up, based on your institutions risk tolerance. </t>
  </si>
  <si>
    <t>Ensure that a separation of duties exists in network security configurations. Pay close attention to responsibility overlap in small organizations, where staff often fill multiple roles.</t>
  </si>
  <si>
    <t>The adherence to secure coding best practices better positions a vendor to maintain the CIA triad. Use the knowledge of this response when evaluating other vendor statements, particularly those focused on development and the protection of communications.</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</si>
  <si>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</si>
  <si>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</si>
  <si>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 xml:space="preserve">If "No", inquiry is there has ever been a vulnerability scan. A short lapse in external assessment validity can be understood (if there is a planned assessment) but a significant time lapse or none whatsoever is cause for elevated levels of concern. </t>
  </si>
  <si>
    <t xml:space="preserve">This question is primarily focused on system(s) integrity. If institutional data is stored in a system that is not physically secured from unauthorized access, the need for compensating controls is often higher. This question also encompasses office (and other) spaces used by the vendor to conduct operations. </t>
  </si>
  <si>
    <t xml:space="preserve">Integrity and availability are the focus of this question. The existence of a well-documented quality assurance program, with demonstrated and published metrics, may provide insight into the inner workings (mindset) of a vendor.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</si>
  <si>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</si>
  <si>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</si>
  <si>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External verification of system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</si>
  <si>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Inquiries should be focused on matching tools to policy/procedures and ensuring that a vendor has the skillset/knowledge to properly scan their environments for vulnerabilities and address them adequately, when discovered.</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</si>
  <si>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</si>
  <si>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</si>
  <si>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Completed base formulas for all Guidance fields. Changed Qualifier formatting to make questions readable (and optional).</t>
  </si>
  <si>
    <t>Added tertiary services narrative question (DNS, ISP, etc.).</t>
  </si>
  <si>
    <t>Understanding system requirements and/or dependencies (e.g., frameworks, libraries, toolkits, modules, etc.) can reveal infrastructure risks that may not be apparent by other means. In some cases, the use of trusted components may be favorable. In others, it may initiate the assessment the vendor's environment in more detail and/or expand the scope of the institution's assessment.</t>
  </si>
  <si>
    <t xml:space="preserve">Refusal to share diagrams (even sanitized ones) should be met with increased concern. 
Ask for systems architecture diagrams (e.g., Visio, OmniGraffle, etc.). 
Ask for detailed data flow diagrams. </t>
  </si>
  <si>
    <t xml:space="preserve">This open-ended question allows a vendor to describe the software/product/service from the perspective of an end-user (e.g., customer). Use the vendor's response to this question to confirm the use of mobile applications or web applications. This is oftentimes misinterpreted by vendor parties [that populate the HECVAT] that do not come from a technical background.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</si>
  <si>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</si>
  <si>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Follow-up inquiries for system authentication will be unique to your institution (e.g., policy, infrastructure, etc.)</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</si>
  <si>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</si>
  <si>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When data is moved digitally (e.g., cloud provider, vendor-owned facility, etc.) offsite, the policies and implemented procedures are important to know. The protections implemented to prevent compromise will be technical in nature and should be well-documented.</t>
  </si>
  <si>
    <t xml:space="preserve">Confidentiality is the focus of this question. Based on the capabilities of administrators (vendor), the institution may require additional safeguards to protect the confidentiality of data stored by/shared with a vendor (e.g., additional layer of encryption, etc.). </t>
  </si>
  <si>
    <t>Managing a software/product/service may rely on various professionals to administrate a system. This question is focused on how administration, and the segregation of functions, can be implemented within the system. Securing the administration portion of a system has additional implications (e.g., logging, administration, etc.) beyond that of end-users.</t>
  </si>
  <si>
    <t>Have you undergone a SSAE 18 audit?</t>
  </si>
  <si>
    <t>v2.11</t>
  </si>
  <si>
    <t>Updated SSAE 16 to 18.  Fixed reference to Standards crosswalk on Summary Report.</t>
  </si>
  <si>
    <t>Version 2.11</t>
  </si>
  <si>
    <r>
      <rPr>
        <i/>
        <sz val="11"/>
        <color rgb="FF000000"/>
        <rFont val="Verdana"/>
        <family val="2"/>
      </rPr>
      <t>https://www.instructure.com/policies/privacy</t>
    </r>
    <r>
      <rPr>
        <i/>
        <sz val="11"/>
        <color rgb="FF000000"/>
        <rFont val="Verdana"/>
        <family val="2"/>
      </rPr>
      <t xml:space="preserve">
</t>
    </r>
  </si>
  <si>
    <r>
      <rPr>
        <sz val="11"/>
        <color rgb="FF000000"/>
        <rFont val="Verdana"/>
        <family val="2"/>
      </rPr>
      <t>After the developers finish their work which is based off our development playbook, the code is then peer-reviewed, then following a product management acceptance phase. Once accepted - the code is run through our CI/CD pipeline for testing and analyzation. Then finally, ran through our Quality assurance team, and once verified, released to production.</t>
    </r>
    <r>
      <rPr>
        <sz val="11"/>
        <color rgb="FF000000"/>
        <rFont val="Verdana"/>
        <family val="2"/>
      </rPr>
      <t xml:space="preserve">
</t>
    </r>
  </si>
  <si>
    <r>
      <rPr>
        <sz val="11"/>
        <color rgb="FF000000"/>
        <rFont val="Verdana"/>
        <family val="2"/>
      </rPr>
      <t xml:space="preserve">Because of Portfolium's hosted nature, all clients are on the same versionless distribution of the software which is updated regularly.  </t>
    </r>
    <r>
      <rPr>
        <sz val="11"/>
        <color rgb="FF000000"/>
        <rFont val="Verdana"/>
        <family val="2"/>
      </rPr>
      <t xml:space="preserve">
</t>
    </r>
  </si>
  <si>
    <r>
      <rPr>
        <sz val="11"/>
        <color rgb="FF000000"/>
        <rFont val="Verdana"/>
        <family val="2"/>
      </rPr>
      <t>As mentioned in CHNG-05, Portfolioum is a versionless platform which in use by 100% of Portfolium's clients.</t>
    </r>
    <r>
      <rPr>
        <sz val="11"/>
        <color rgb="FF000000"/>
        <rFont val="Verdana"/>
        <family val="2"/>
      </rPr>
      <t xml:space="preserve">
</t>
    </r>
  </si>
  <si>
    <r>
      <rPr>
        <i/>
        <sz val="11"/>
        <color rgb="FF000000"/>
        <rFont val="Verdana"/>
        <family val="2"/>
      </rPr>
      <t>For new clients: info@instructure.com</t>
    </r>
    <r>
      <rPr>
        <i/>
        <sz val="11"/>
        <color rgb="FF000000"/>
        <rFont val="Verdana"/>
        <family val="2"/>
      </rPr>
      <t xml:space="preserve">
</t>
    </r>
    <r>
      <rPr>
        <i/>
        <sz val="11"/>
        <color rgb="FF000000"/>
        <rFont val="Verdana"/>
        <family val="2"/>
      </rPr>
      <t>For existing customers, please reach out to your Customer Success Manager or Regional Director.</t>
    </r>
    <r>
      <rPr>
        <i/>
        <sz val="11"/>
        <color rgb="FF000000"/>
        <rFont val="Verdana"/>
        <family val="2"/>
      </rPr>
      <t xml:space="preserve">
</t>
    </r>
  </si>
  <si>
    <r>
      <rPr>
        <i/>
        <sz val="11"/>
        <color rgb="FF000000"/>
        <rFont val="Verdana"/>
        <family val="2"/>
      </rPr>
      <t>For new clients: 1.800.203.6755</t>
    </r>
    <r>
      <rPr>
        <i/>
        <sz val="11"/>
        <color rgb="FF000000"/>
        <rFont val="Verdana"/>
        <family val="2"/>
      </rPr>
      <t xml:space="preserve">
</t>
    </r>
    <r>
      <rPr>
        <i/>
        <sz val="11"/>
        <color rgb="FF000000"/>
        <rFont val="Verdana"/>
        <family val="2"/>
      </rPr>
      <t>For existing customers, please reach out to your Customer Success Manager or Regional Director.</t>
    </r>
    <r>
      <rPr>
        <i/>
        <sz val="11"/>
        <color rgb="FF000000"/>
        <rFont val="Verdana"/>
        <family val="2"/>
      </rPr>
      <t xml:space="preserve">
</t>
    </r>
  </si>
  <si>
    <r>
      <rPr>
        <sz val="11"/>
        <color rgb="FF000000"/>
        <rFont val="Verdana"/>
        <family val="2"/>
      </rPr>
      <t>Data are backed up daily for 60 days and monthly backups are retained for 12 months.</t>
    </r>
    <r>
      <rPr>
        <sz val="11"/>
        <color rgb="FF000000"/>
        <rFont val="Verdana"/>
        <family val="2"/>
      </rPr>
      <t xml:space="preserve">
</t>
    </r>
  </si>
  <si>
    <r>
      <rPr>
        <i/>
        <sz val="11"/>
        <color rgb="FF000000"/>
        <rFont val="Verdana"/>
        <family val="2"/>
      </rPr>
      <t>Instructure complies with all laws and regulations in the data zones it serves. With offices in the United States, United Kingdom, Hungary, Australia, Hong Kong, and Brazil, Instructure serves a broad range of data zones.</t>
    </r>
    <r>
      <rPr>
        <i/>
        <sz val="11"/>
        <color rgb="FF000000"/>
        <rFont val="Verdana"/>
        <family val="2"/>
      </rPr>
      <t xml:space="preserve">
</t>
    </r>
  </si>
  <si>
    <r>
      <rPr>
        <sz val="11"/>
        <color rgb="FF000000"/>
        <rFont val="Verdana"/>
        <family val="2"/>
      </rPr>
      <t>Per AWS Security Processes documentation: "Automatic fire detection and suppression equipment has been installed to reduce risk. The fire detection system utilizes smoke detection sensors in all data center environments, mechanical and electrical infrastructure spaces, chiller rooms and generator equipment rooms. These areas are protected by either wet-pipe, double-interlocked pre-action, or gaseous sprinkler systems... Climate control is required to maintain a constant operating temperature for servers and other hardware, which prevents overheating and reduces the possibility of service outages. Data centers are conditioned to maintain atmospheric conditions at optimal levels. Personnel and systems monitor and control temperature and humidity at appropriate levels."</t>
    </r>
    <r>
      <rPr>
        <sz val="11"/>
        <color rgb="FF000000"/>
        <rFont val="Verdana"/>
        <family val="2"/>
      </rPr>
      <t xml:space="preserve">
</t>
    </r>
  </si>
  <si>
    <r>
      <rPr>
        <sz val="11"/>
        <color rgb="FF000000"/>
        <rFont val="Verdana"/>
        <family val="2"/>
      </rPr>
      <t>Amazon has multiple providers to each availability zone and each availability zone (roughly analogous to a datacenter) has multiple internet connections from tier one backbone providers. Amazon does not disclose the exact number of providers; however, their services are independently assessed and certified to ensure compliance with ISO standards.</t>
    </r>
    <r>
      <rPr>
        <sz val="11"/>
        <color rgb="FF000000"/>
        <rFont val="Verdana"/>
        <family val="2"/>
      </rPr>
      <t xml:space="preserve">
</t>
    </r>
  </si>
  <si>
    <r>
      <rPr>
        <sz val="11"/>
        <color rgb="FF000000"/>
        <rFont val="Verdana"/>
        <family val="2"/>
      </rPr>
      <t>We backup our database daily. We hope to never restore data, though in case of a major issue causing data loss or corruption, we can restore to any point in time in the backup. All data is written to multiple disks instantly, backed up daily, and stored in multiple locations. Files that our customers upload are stored on servers that use modern techniques to remove bottlenecks and points of failure.</t>
    </r>
    <r>
      <rPr>
        <sz val="11"/>
        <color rgb="FF000000"/>
        <rFont val="Verdana"/>
        <family val="2"/>
      </rPr>
      <t xml:space="preserve">
</t>
    </r>
    <r>
      <rPr>
        <sz val="11"/>
        <color rgb="FF000000"/>
        <rFont val="Verdana"/>
        <family val="2"/>
      </rPr>
      <t>Portfolium is hosted at AWS in the US-EAST-1 Data Center (IAD). At the infrastructure level, we utilize Availability Zones (AZ) within the data center to ensure each layer of our application doesn’t have one-failure point. For the application layer, both WEB and API layers are stateless, and hold no persisted information important to the server itself. Thus, if a server/layer goes down, it is removed from the load balancer and service is continued as usual. For a catastrophic event, our database is securely backed up and distributed to different AWS regions around the world daily with the availability to do a point in time restore.</t>
    </r>
    <r>
      <rPr>
        <sz val="11"/>
        <color rgb="FF000000"/>
        <rFont val="Verdana"/>
        <family val="2"/>
      </rPr>
      <t xml:space="preserve">
</t>
    </r>
    <r>
      <rPr>
        <sz val="11"/>
        <color rgb="FF000000"/>
        <rFont val="Verdana"/>
        <family val="2"/>
      </rPr>
      <t>Everything at the server level is scripted via Chef using AWS OpsWorks. The servers are stateless, and all of the data is backed up. The only important piece in our stack is the data itself. We spin up and down new servers to test a server level disaster every quarter. We test a database restore and failover once a quarter.</t>
    </r>
    <r>
      <rPr>
        <sz val="11"/>
        <color rgb="FF000000"/>
        <rFont val="Verdana"/>
        <family val="2"/>
      </rPr>
      <t xml:space="preserve">
</t>
    </r>
  </si>
  <si>
    <r>
      <rPr>
        <sz val="11"/>
        <color rgb="FF000000"/>
        <rFont val="Verdana"/>
        <family val="2"/>
      </rPr>
      <t>Portfolium performs a disaster recovery test simulation once a year. Additionally, we ensure that the plan is tested whenever major components are changed. The scope of this test covers complete end-to-end recovery of the application.</t>
    </r>
    <r>
      <rPr>
        <sz val="11"/>
        <color rgb="FF000000"/>
        <rFont val="Verdana"/>
        <family val="2"/>
      </rPr>
      <t xml:space="preserve">
</t>
    </r>
  </si>
  <si>
    <r>
      <rPr>
        <sz val="11"/>
        <color rgb="FF000000"/>
        <rFont val="Verdana"/>
        <family val="2"/>
      </rPr>
      <t>Only authorized members of Operations with justifiable business need have access to the VPC and can adjust firewall rules. Access to the VPC is only granted via SSH Tunneling based on their SSH keys into our gateway server (that lives in the production VPC.</t>
    </r>
    <r>
      <rPr>
        <sz val="11"/>
        <color rgb="FF000000"/>
        <rFont val="Verdana"/>
        <family val="2"/>
      </rPr>
      <t xml:space="preserve">
</t>
    </r>
  </si>
  <si>
    <r>
      <rPr>
        <sz val="11"/>
        <color rgb="FF000000"/>
        <rFont val="Verdana"/>
        <family val="2"/>
      </rPr>
      <t>Network layer monitoring is provided by AWS. Software layer monitoring is provided by Portfolium. Public intrusion monitoring is performed via CloudFlare.</t>
    </r>
    <r>
      <rPr>
        <sz val="11"/>
        <color rgb="FF000000"/>
        <rFont val="Verdana"/>
        <family val="2"/>
      </rPr>
      <t xml:space="preserve">
</t>
    </r>
  </si>
  <si>
    <r>
      <rPr>
        <sz val="11"/>
        <color rgb="FF000000"/>
        <rFont val="Verdana"/>
        <family val="2"/>
      </rPr>
      <t>Any OS that is capable of running a supported browser can be used.</t>
    </r>
    <r>
      <rPr>
        <sz val="11"/>
        <color rgb="FF000000"/>
        <rFont val="Verdana"/>
        <family val="2"/>
      </rPr>
      <t xml:space="preserve">
</t>
    </r>
  </si>
  <si>
    <r>
      <rPr>
        <sz val="11"/>
        <color rgb="FF000000"/>
        <rFont val="Verdana"/>
        <family val="2"/>
      </rPr>
      <t>Portfolium provides a fully mobile-responsive website and a native iOS app. The Portolium iOS app allows you access to its features from the web, including: capturing and uploading work and projects in an organized portfolio; connecting with like-minded doers, thinkers, and employers looking for great talent; browsing and discovering the work and projects of others across all fields of study; sending private invitations to family, friends and classmates to be instantly connected; and searching the network of connections to view their showcased work.﻿</t>
    </r>
    <r>
      <rPr>
        <sz val="11"/>
        <color rgb="FF000000"/>
        <rFont val="Verdana"/>
        <family val="2"/>
      </rPr>
      <t xml:space="preserve">
</t>
    </r>
  </si>
  <si>
    <r>
      <rPr>
        <sz val="11"/>
        <color rgb="FF000000"/>
        <rFont val="Verdana"/>
        <family val="2"/>
      </rPr>
      <t>The most recent penetration test was performed by cobalt.io in June of 2019.</t>
    </r>
    <r>
      <rPr>
        <sz val="11"/>
        <color rgb="FF000000"/>
        <rFont val="Verdana"/>
        <family val="2"/>
      </rPr>
      <t xml:space="preserve">
</t>
    </r>
  </si>
  <si>
    <r>
      <rPr>
        <sz val="11"/>
        <color rgb="FF000000"/>
        <rFont val="Verdana"/>
        <family val="2"/>
      </rPr>
      <t>Portfolium applies an Agile methodology with an integrated Quality Assurance (QA) process to the design, development, and maintenance of Canvas. Engineers write automated unit and integration tests to cover all new code that is written. In addition, all code changes are run through the full Portfolium QA test suite before they can be accepted into the main product. Code changes are closely reviewed and must be peer-approved by other engineering team members before inclusion in the upgrade/update package.</t>
    </r>
    <r>
      <rPr>
        <sz val="11"/>
        <color rgb="FF000000"/>
        <rFont val="Verdana"/>
        <family val="2"/>
      </rPr>
      <t xml:space="preserve">
</t>
    </r>
  </si>
  <si>
    <r>
      <rPr>
        <sz val="11"/>
        <color rgb="FF000000"/>
        <rFont val="Verdana"/>
        <family val="2"/>
      </rPr>
      <t xml:space="preserve">Portfolium leverages cobalt.io to perform annual external vulnerability scanning and penetration testing. </t>
    </r>
    <r>
      <rPr>
        <sz val="11"/>
        <color rgb="FF000000"/>
        <rFont val="Verdana"/>
        <family val="2"/>
      </rPr>
      <t xml:space="preserve">
</t>
    </r>
  </si>
  <si>
    <r>
      <rPr>
        <sz val="11"/>
        <color rgb="FF000000"/>
        <rFont val="Verdana"/>
        <family val="2"/>
      </rPr>
      <t xml:space="preserve">Portfolium uses Cloudflare, built-in web app framework securities, standard and best coding practices, and third-party audits to ensure protection against vulnerabilities. </t>
    </r>
    <r>
      <rPr>
        <sz val="11"/>
        <color rgb="FF000000"/>
        <rFont val="Verdana"/>
        <family val="2"/>
      </rPr>
      <t xml:space="preserve">
</t>
    </r>
  </si>
  <si>
    <r>
      <rPr>
        <sz val="11"/>
        <color rgb="FF000000"/>
        <rFont val="Verdana"/>
        <family val="2"/>
      </rPr>
      <t>Portfolium was founded in 2014 and has been conducting business in this area and with this product since then.</t>
    </r>
    <r>
      <rPr>
        <sz val="11"/>
        <color rgb="FF000000"/>
        <rFont val="Verdana"/>
        <family val="2"/>
      </rPr>
      <t xml:space="preserve">
</t>
    </r>
  </si>
  <si>
    <r>
      <rPr>
        <sz val="11"/>
        <color rgb="FF000000"/>
        <rFont val="Verdana"/>
        <family val="2"/>
      </rPr>
      <t>The Amazon Web Services infrastructure on which Portfolium is hosted has a variety of formal accreditations. Some of the many certifications include:</t>
    </r>
    <r>
      <rPr>
        <sz val="11"/>
        <color rgb="FF000000"/>
        <rFont val="Verdana"/>
        <family val="2"/>
      </rPr>
      <t xml:space="preserve">
</t>
    </r>
    <r>
      <rPr>
        <sz val="11"/>
        <color rgb="FF000000"/>
        <rFont val="Verdana"/>
        <family val="2"/>
      </rPr>
      <t xml:space="preserve">
</t>
    </r>
    <r>
      <rPr>
        <sz val="11"/>
        <color rgb="FF000000"/>
        <rFont val="Verdana"/>
        <family val="2"/>
      </rPr>
      <t xml:space="preserve">    • DoD SRG</t>
    </r>
    <r>
      <rPr>
        <sz val="11"/>
        <color rgb="FF000000"/>
        <rFont val="Verdana"/>
        <family val="2"/>
      </rPr>
      <t xml:space="preserve">
</t>
    </r>
    <r>
      <rPr>
        <sz val="11"/>
        <color rgb="FF000000"/>
        <rFont val="Verdana"/>
        <family val="2"/>
      </rPr>
      <t xml:space="preserve">    • FIPS</t>
    </r>
    <r>
      <rPr>
        <sz val="11"/>
        <color rgb="FF000000"/>
        <rFont val="Verdana"/>
        <family val="2"/>
      </rPr>
      <t xml:space="preserve">
</t>
    </r>
    <r>
      <rPr>
        <sz val="11"/>
        <color rgb="FF000000"/>
        <rFont val="Verdana"/>
        <family val="2"/>
      </rPr>
      <t xml:space="preserve">    • IRAP</t>
    </r>
    <r>
      <rPr>
        <sz val="11"/>
        <color rgb="FF000000"/>
        <rFont val="Verdana"/>
        <family val="2"/>
      </rPr>
      <t xml:space="preserve">
</t>
    </r>
    <r>
      <rPr>
        <sz val="11"/>
        <color rgb="FF000000"/>
        <rFont val="Verdana"/>
        <family val="2"/>
      </rPr>
      <t xml:space="preserve">    • ISO 9001</t>
    </r>
    <r>
      <rPr>
        <sz val="11"/>
        <color rgb="FF000000"/>
        <rFont val="Verdana"/>
        <family val="2"/>
      </rPr>
      <t xml:space="preserve">
</t>
    </r>
    <r>
      <rPr>
        <sz val="11"/>
        <color rgb="FF000000"/>
        <rFont val="Verdana"/>
        <family val="2"/>
      </rPr>
      <t xml:space="preserve">    • ISO 27001</t>
    </r>
    <r>
      <rPr>
        <sz val="11"/>
        <color rgb="FF000000"/>
        <rFont val="Verdana"/>
        <family val="2"/>
      </rPr>
      <t xml:space="preserve">
</t>
    </r>
    <r>
      <rPr>
        <sz val="11"/>
        <color rgb="FF000000"/>
        <rFont val="Verdana"/>
        <family val="2"/>
      </rPr>
      <t xml:space="preserve">    • ISO 27017</t>
    </r>
    <r>
      <rPr>
        <sz val="11"/>
        <color rgb="FF000000"/>
        <rFont val="Verdana"/>
        <family val="2"/>
      </rPr>
      <t xml:space="preserve">
</t>
    </r>
    <r>
      <rPr>
        <sz val="11"/>
        <color rgb="FF000000"/>
        <rFont val="Verdana"/>
        <family val="2"/>
      </rPr>
      <t xml:space="preserve">    • ISO 27018</t>
    </r>
    <r>
      <rPr>
        <sz val="11"/>
        <color rgb="FF000000"/>
        <rFont val="Verdana"/>
        <family val="2"/>
      </rPr>
      <t xml:space="preserve">
</t>
    </r>
    <r>
      <rPr>
        <sz val="11"/>
        <color rgb="FF000000"/>
        <rFont val="Verdana"/>
        <family val="2"/>
      </rPr>
      <t xml:space="preserve">    • MLPS Level 3</t>
    </r>
    <r>
      <rPr>
        <sz val="11"/>
        <color rgb="FF000000"/>
        <rFont val="Verdana"/>
        <family val="2"/>
      </rPr>
      <t xml:space="preserve">
</t>
    </r>
    <r>
      <rPr>
        <sz val="11"/>
        <color rgb="FF000000"/>
        <rFont val="Verdana"/>
        <family val="2"/>
      </rPr>
      <t xml:space="preserve">    • MTCS</t>
    </r>
    <r>
      <rPr>
        <sz val="11"/>
        <color rgb="FF000000"/>
        <rFont val="Verdana"/>
        <family val="2"/>
      </rPr>
      <t xml:space="preserve">
</t>
    </r>
    <r>
      <rPr>
        <sz val="11"/>
        <color rgb="FF000000"/>
        <rFont val="Verdana"/>
        <family val="2"/>
      </rPr>
      <t xml:space="preserve">    • PCI DSS Level 1</t>
    </r>
    <r>
      <rPr>
        <sz val="11"/>
        <color rgb="FF000000"/>
        <rFont val="Verdana"/>
        <family val="2"/>
      </rPr>
      <t xml:space="preserve">
</t>
    </r>
    <r>
      <rPr>
        <sz val="11"/>
        <color rgb="FF000000"/>
        <rFont val="Verdana"/>
        <family val="2"/>
      </rPr>
      <t xml:space="preserve">    • SEC Rule 17-a-4(f)</t>
    </r>
    <r>
      <rPr>
        <sz val="11"/>
        <color rgb="FF000000"/>
        <rFont val="Verdana"/>
        <family val="2"/>
      </rPr>
      <t xml:space="preserve">
</t>
    </r>
    <r>
      <rPr>
        <sz val="11"/>
        <color rgb="FF000000"/>
        <rFont val="Verdana"/>
        <family val="2"/>
      </rPr>
      <t xml:space="preserve">    • SOC 1</t>
    </r>
    <r>
      <rPr>
        <sz val="11"/>
        <color rgb="FF000000"/>
        <rFont val="Verdana"/>
        <family val="2"/>
      </rPr>
      <t xml:space="preserve">
</t>
    </r>
    <r>
      <rPr>
        <sz val="11"/>
        <color rgb="FF000000"/>
        <rFont val="Verdana"/>
        <family val="2"/>
      </rPr>
      <t xml:space="preserve">    • SOC 2</t>
    </r>
    <r>
      <rPr>
        <sz val="11"/>
        <color rgb="FF000000"/>
        <rFont val="Verdana"/>
        <family val="2"/>
      </rPr>
      <t xml:space="preserve">
</t>
    </r>
    <r>
      <rPr>
        <sz val="11"/>
        <color rgb="FF000000"/>
        <rFont val="Verdana"/>
        <family val="2"/>
      </rPr>
      <t xml:space="preserve">    • SOC 3</t>
    </r>
    <r>
      <rPr>
        <sz val="11"/>
        <color rgb="FF000000"/>
        <rFont val="Verdana"/>
        <family val="2"/>
      </rPr>
      <t xml:space="preserve">
</t>
    </r>
    <r>
      <rPr>
        <sz val="14"/>
        <color rgb="FF222222"/>
        <rFont val="Verdana"/>
        <family val="2"/>
      </rPr>
      <t xml:space="preserve">This list is not comprehensive. </t>
    </r>
    <r>
      <rPr>
        <sz val="11"/>
        <color rgb="FF000000"/>
        <rFont val="Verdana"/>
        <family val="2"/>
      </rPr>
      <t>For additional information about AWS security certifications and standards compliance, please refer to http://aws.amazon.com/security and http://aws.amazon.com/compliance/.</t>
    </r>
    <r>
      <rPr>
        <sz val="11"/>
        <color rgb="FF000000"/>
        <rFont val="Verdana"/>
        <family val="2"/>
      </rPr>
      <t xml:space="preserve">
</t>
    </r>
  </si>
  <si>
    <r>
      <rPr>
        <sz val="11"/>
        <color rgb="FF000000"/>
        <rFont val="Verdana"/>
        <family val="2"/>
      </rPr>
      <t xml:space="preserve">Instructure has a robust third party due diligence process for each of its sub-contractors. Prior to using sub-contractors (or any software supporting Portfolium and handling customer data by sub-contractors) and, on an annual basis thereafter, Instructure’s security team performs a security review of these vendors. Included as part of this review, the security team requests a copy of each sub-contractor’s SOC2 Type 2 report. If any exceptions or other issues are noted in these reports, the security team follows up with the sub-contractor as necessary to determine scope and impact of the failure. If a SOC2 Type 2 report is not available for these sub-contractors, the security team provides the sub-contractor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each sub-contractor to help ensure security practices are in place and operating effectively. </t>
    </r>
    <r>
      <rPr>
        <sz val="11"/>
        <color rgb="FF000000"/>
        <rFont val="Verdana"/>
        <family val="2"/>
      </rPr>
      <t xml:space="preserve">
</t>
    </r>
  </si>
  <si>
    <r>
      <rPr>
        <sz val="11"/>
        <color rgb="FF000000"/>
        <rFont val="Verdana"/>
        <family val="2"/>
      </rPr>
      <t>If we send data outside of the core system, it's to provide the service and support to the end users and to support the business.</t>
    </r>
    <r>
      <rPr>
        <sz val="11"/>
        <color rgb="FF000000"/>
        <rFont val="Verdana"/>
        <family val="2"/>
      </rPr>
      <t xml:space="preserve">
</t>
    </r>
    <r>
      <rPr>
        <sz val="11"/>
        <color rgb="FF000000"/>
        <rFont val="Verdana"/>
        <family val="2"/>
      </rPr>
      <t>1. Amazon Web Services: Provides infrastructure as a Service (IaaS) products, which include but are not limited to virtualized servers, storage and networking.</t>
    </r>
    <r>
      <rPr>
        <sz val="11"/>
        <color rgb="FF000000"/>
        <rFont val="Verdana"/>
        <family val="2"/>
      </rPr>
      <t xml:space="preserve">
</t>
    </r>
    <r>
      <rPr>
        <sz val="11"/>
        <color rgb="FF000000"/>
        <rFont val="Verdana"/>
        <family val="2"/>
      </rPr>
      <t>2. Google Analytics: Used for anonymized application usage analytics and product improvement.</t>
    </r>
    <r>
      <rPr>
        <sz val="11"/>
        <color rgb="FF000000"/>
        <rFont val="Verdana"/>
        <family val="2"/>
      </rPr>
      <t xml:space="preserve">
</t>
    </r>
    <r>
      <rPr>
        <sz val="11"/>
        <color rgb="FF000000"/>
        <rFont val="Verdana"/>
        <family val="2"/>
      </rPr>
      <t>3. see others in diagram below</t>
    </r>
    <r>
      <rPr>
        <sz val="11"/>
        <color rgb="FF000000"/>
        <rFont val="Verdana"/>
        <family val="2"/>
      </rPr>
      <t xml:space="preserve">
</t>
    </r>
  </si>
  <si>
    <r>
      <rPr>
        <sz val="11"/>
        <color rgb="FF000000"/>
        <rFont val="Verdana"/>
        <family val="2"/>
      </rPr>
      <t>Instructure takes full responsibility for sub contractors it may engage to provide cloud-related infrastructure elements. Instructure engages these third parties by entering into contractual agreements and, where appropriate, data processing agreements related to data privacy laws.</t>
    </r>
    <r>
      <rPr>
        <sz val="11"/>
        <color rgb="FF000000"/>
        <rFont val="Verdana"/>
        <family val="2"/>
      </rPr>
      <t xml:space="preserve">
</t>
    </r>
  </si>
  <si>
    <r>
      <rPr>
        <sz val="11"/>
        <color rgb="FF000000"/>
        <rFont val="Verdana"/>
        <family val="2"/>
      </rPr>
      <t xml:space="preserve">Portfolium integrates with LMS platforms through the LTI standard. Documentation on these integrations can be found at https://help.portfolium.com/edu-platform#lms-integrations </t>
    </r>
    <r>
      <rPr>
        <sz val="11"/>
        <color rgb="FF000000"/>
        <rFont val="Verdana"/>
        <family val="2"/>
      </rPr>
      <t xml:space="preserve">
</t>
    </r>
  </si>
  <si>
    <r>
      <rPr>
        <sz val="11"/>
        <color rgb="FF000000"/>
        <rFont val="Verdana"/>
        <family val="2"/>
      </rPr>
      <t>Portfolium utilizes the Debian-based Linux operating system on all servers which make up the Portfolium platform. Instructure employees use various operating systems, including Mac OS, Windows, and Linux, to support and service the application. Employee devices are managed through an MDM platform.</t>
    </r>
    <r>
      <rPr>
        <sz val="11"/>
        <color rgb="FF000000"/>
        <rFont val="Verdana"/>
        <family val="2"/>
      </rPr>
      <t xml:space="preserve">
</t>
    </r>
  </si>
  <si>
    <r>
      <rPr>
        <i/>
        <sz val="11"/>
        <color rgb="FF000000"/>
        <rFont val="Verdana"/>
        <family val="2"/>
      </rPr>
      <t>Instructure</t>
    </r>
    <r>
      <rPr>
        <i/>
        <sz val="11"/>
        <color rgb="FF000000"/>
        <rFont val="Verdana"/>
        <family val="2"/>
      </rPr>
      <t xml:space="preserve">
</t>
    </r>
  </si>
  <si>
    <r>
      <rPr>
        <sz val="11"/>
        <color rgb="FF000000"/>
        <rFont val="Verdana"/>
        <family val="2"/>
      </rPr>
      <t>Portfolium does not require any additional products to support the core software functionality. Portfolium is a Software-as-a-Service and therefore its only requirements are an internet connection and a browser-enabled computer or mobile device.</t>
    </r>
    <r>
      <rPr>
        <sz val="11"/>
        <color rgb="FF000000"/>
        <rFont val="Verdana"/>
        <family val="2"/>
      </rPr>
      <t xml:space="preserve">
</t>
    </r>
  </si>
  <si>
    <r>
      <rPr>
        <b/>
        <sz val="11"/>
        <color rgb="FF000000"/>
        <rFont val="Verdana"/>
        <family val="2"/>
      </rPr>
      <t>Data Storage with Amazon S3</t>
    </r>
    <r>
      <rPr>
        <sz val="11"/>
        <color rgb="FF000000"/>
        <rFont val="Verdana"/>
        <family val="2"/>
      </rPr>
      <t xml:space="preserve">
</t>
    </r>
    <r>
      <rPr>
        <sz val="11"/>
        <color rgb="FF000000"/>
        <rFont val="Verdana"/>
        <family val="2"/>
      </rPr>
      <t xml:space="preserve">Portfolium utilizes Amazon S3 (Simple Storage Service) to store user-uploaded artifacts (documents, images, etc.). Amazon S3 provides a highly durable storage infrastructure designed for mission-critical and primary data storage. Objects are redundantly stored on multiple devices across multiple facilities in an Amazon S3 region. </t>
    </r>
    <r>
      <rPr>
        <sz val="11"/>
        <color rgb="FF000000"/>
        <rFont val="Verdana"/>
        <family val="2"/>
      </rPr>
      <t xml:space="preserve">
</t>
    </r>
    <r>
      <rPr>
        <sz val="11"/>
        <color rgb="FF000000"/>
        <rFont val="Verdana"/>
        <family val="2"/>
      </rPr>
      <t>Amazon S3 also regularly verifies the integrity of data stored using checksums. If Amazon S3 detects data corruption, it is repaired using redundant data. In addition, Amazon S3 calculates checksums on all network traffic to detect corruption of data packets when storing or retrieving data.</t>
    </r>
    <r>
      <rPr>
        <sz val="11"/>
        <color rgb="FF000000"/>
        <rFont val="Verdana"/>
        <family val="2"/>
      </rPr>
      <t xml:space="preserve">
</t>
    </r>
    <r>
      <rPr>
        <sz val="11"/>
        <color rgb="FF000000"/>
        <rFont val="Verdana"/>
        <family val="2"/>
      </rPr>
      <t>Amazon S3's standard storage is:</t>
    </r>
    <r>
      <rPr>
        <sz val="11"/>
        <color rgb="FF000000"/>
        <rFont val="Verdana"/>
        <family val="2"/>
      </rPr>
      <t xml:space="preserve">
</t>
    </r>
    <r>
      <rPr>
        <sz val="11"/>
        <color rgb="FF000000"/>
        <rFont val="Verdana"/>
        <family val="2"/>
      </rPr>
      <t xml:space="preserve">
</t>
    </r>
    <r>
      <rPr>
        <sz val="11"/>
        <color rgb="FF000000"/>
        <rFont val="Verdana"/>
        <family val="2"/>
      </rPr>
      <t xml:space="preserve">    • Backed with the Amazon S3 Service Level Agreement</t>
    </r>
    <r>
      <rPr>
        <sz val="11"/>
        <color rgb="FF000000"/>
        <rFont val="Verdana"/>
        <family val="2"/>
      </rPr>
      <t xml:space="preserve">
</t>
    </r>
    <r>
      <rPr>
        <sz val="11"/>
        <color rgb="FF000000"/>
        <rFont val="Verdana"/>
        <family val="2"/>
      </rPr>
      <t xml:space="preserve">    • Designed to provide 99.999999999% durability and 99.99% availability of objects over a given year</t>
    </r>
    <r>
      <rPr>
        <sz val="11"/>
        <color rgb="FF000000"/>
        <rFont val="Verdana"/>
        <family val="2"/>
      </rPr>
      <t xml:space="preserve">
</t>
    </r>
    <r>
      <rPr>
        <sz val="11"/>
        <color rgb="FF000000"/>
        <rFont val="Verdana"/>
        <family val="2"/>
      </rPr>
      <t xml:space="preserve">    • Designed to sustain the concurrent loss of data in two facilities</t>
    </r>
    <r>
      <rPr>
        <sz val="11"/>
        <color rgb="FF000000"/>
        <rFont val="Verdana"/>
        <family val="2"/>
      </rPr>
      <t xml:space="preserve">
</t>
    </r>
    <r>
      <rPr>
        <b/>
        <sz val="11"/>
        <color rgb="FF000000"/>
        <rFont val="Verdana"/>
        <family val="2"/>
      </rPr>
      <t>Physical and Network Security</t>
    </r>
    <r>
      <rPr>
        <sz val="11"/>
        <color rgb="FF000000"/>
        <rFont val="Verdana"/>
        <family val="2"/>
      </rPr>
      <t xml:space="preserve">
</t>
    </r>
    <r>
      <rPr>
        <sz val="11"/>
        <color rgb="FF000000"/>
        <rFont val="Verdana"/>
        <family val="2"/>
      </rPr>
      <t>The physical security is handled at the AWS data centers by their security teams.</t>
    </r>
    <r>
      <rPr>
        <sz val="11"/>
        <color rgb="FF000000"/>
        <rFont val="Verdana"/>
        <family val="2"/>
      </rPr>
      <t xml:space="preserve">
</t>
    </r>
    <r>
      <rPr>
        <sz val="11"/>
        <color rgb="FF000000"/>
        <rFont val="Verdana"/>
        <family val="2"/>
      </rPr>
      <t>Our virtual security is handled by AWS VPC (virtual private cloud). There are policies that lock everything down from networking ports to IP access. Only port 80 is open on the web servers, and only 22 is open on our gateway SSH servers.</t>
    </r>
    <r>
      <rPr>
        <sz val="11"/>
        <color rgb="FF000000"/>
        <rFont val="Verdana"/>
        <family val="2"/>
      </rPr>
      <t xml:space="preserve">
</t>
    </r>
    <r>
      <rPr>
        <sz val="11"/>
        <color rgb="FF000000"/>
        <rFont val="Verdana"/>
        <family val="2"/>
      </rPr>
      <t>For software security, we implement the latest web security practices such as CSRF protected form posts, one-way salted &amp; hashed password storage, database escaping policies, XSS output protection, etc. This covers our servers and database.</t>
    </r>
    <r>
      <rPr>
        <sz val="11"/>
        <color rgb="FF000000"/>
        <rFont val="Verdana"/>
        <family val="2"/>
      </rPr>
      <t xml:space="preserve">
</t>
    </r>
    <r>
      <rPr>
        <sz val="11"/>
        <color rgb="FF000000"/>
        <rFont val="Verdana"/>
        <family val="2"/>
      </rPr>
      <t>Additional information is found at https://portfolium.com/security</t>
    </r>
    <r>
      <rPr>
        <sz val="11"/>
        <color rgb="FF000000"/>
        <rFont val="Verdana"/>
        <family val="2"/>
      </rPr>
      <t xml:space="preserve">
</t>
    </r>
  </si>
  <si>
    <r>
      <rPr>
        <sz val="11"/>
        <color rgb="FF000000"/>
        <rFont val="Verdana"/>
        <family val="2"/>
      </rPr>
      <t>Documentation for the product can be found here: https://help.portfolium.com</t>
    </r>
    <r>
      <rPr>
        <sz val="11"/>
        <color rgb="FF000000"/>
        <rFont val="Verdana"/>
        <family val="2"/>
      </rPr>
      <t xml:space="preserve">
</t>
    </r>
  </si>
  <si>
    <r>
      <rPr>
        <sz val="11"/>
        <color rgb="FF000000"/>
        <rFont val="Verdana"/>
        <family val="2"/>
      </rPr>
      <t>Within Portfolium, users are granted access and permissions based on core roles.</t>
    </r>
    <r>
      <rPr>
        <sz val="11"/>
        <color rgb="FF000000"/>
        <rFont val="Verdana"/>
        <family val="2"/>
      </rPr>
      <t xml:space="preserve">
</t>
    </r>
  </si>
  <si>
    <r>
      <rPr>
        <sz val="11"/>
        <color rgb="FF000000"/>
        <rFont val="Verdana"/>
        <family val="2"/>
      </rPr>
      <t xml:space="preserve">Portfolium uses RBAC to manage access. Initially, administrators are provisioned and assigned permissions during implementation. Provisioning of additional administrators is performed by each client either programmatically through the API, through integration with a system of record (such as student information system), or manually through the UI. </t>
    </r>
    <r>
      <rPr>
        <sz val="11"/>
        <color rgb="FF000000"/>
        <rFont val="Verdana"/>
        <family val="2"/>
      </rPr>
      <t xml:space="preserve">
</t>
    </r>
    <r>
      <rPr>
        <sz val="11"/>
        <color rgb="FF000000"/>
        <rFont val="Verdana"/>
        <family val="2"/>
      </rPr>
      <t>Regarding Instructure's internal operations and system management, Instructure uses a multiple approval system for granting access to employees. First, the manager of the employee requesting access must fill out a ticket requesting detailed level of access to the system and specifying which parts, functions, and features are to be accessible by the employee. Clear, valid, and necessary business justification must be provided for the user in question.</t>
    </r>
    <r>
      <rPr>
        <sz val="11"/>
        <color rgb="FF000000"/>
        <rFont val="Verdana"/>
        <family val="2"/>
      </rPr>
      <t xml:space="preserve">
</t>
    </r>
    <r>
      <rPr>
        <sz val="11"/>
        <color rgb="FF000000"/>
        <rFont val="Verdana"/>
        <family val="2"/>
      </rPr>
      <t>The completed access request ticket is then reviewed by the direct manager of the requester. If management approves, the request ticket is routed to the Operations team for final approval. If all parties approve the employee’s access, the Operations team grants access as requested in the ticket. Per the employee exit policy, user accounts are deleted upon termination of employment.</t>
    </r>
    <r>
      <rPr>
        <sz val="11"/>
        <color rgb="FF000000"/>
        <rFont val="Verdana"/>
        <family val="2"/>
      </rPr>
      <t xml:space="preserve">
</t>
    </r>
  </si>
  <si>
    <r>
      <rPr>
        <sz val="11"/>
        <color rgb="FF000000"/>
        <rFont val="Verdana"/>
        <family val="2"/>
      </rPr>
      <t>In accordance with ISO 27001 standards, Amazon Web Services provides an array of redundancy for all systems including fire suppression, cooling, electrical, multiple ISP providers, multiple DNS providers, etc.</t>
    </r>
    <r>
      <rPr>
        <sz val="11"/>
        <color rgb="FF000000"/>
        <rFont val="Verdana"/>
        <family val="2"/>
      </rPr>
      <t xml:space="preserve">
</t>
    </r>
    <r>
      <rPr>
        <sz val="11"/>
        <color rgb="FF000000"/>
        <rFont val="Verdana"/>
        <family val="2"/>
      </rPr>
      <t>For more information on AWS' security practices, please see AWS' security white paper at http://d0.awsstatic.com/whitepapers/Security/AWS%20Security%20Whitepaper.pdf.</t>
    </r>
    <r>
      <rPr>
        <sz val="11"/>
        <color rgb="FF000000"/>
        <rFont val="Verdana"/>
        <family val="2"/>
      </rPr>
      <t xml:space="preserve">
</t>
    </r>
  </si>
  <si>
    <r>
      <rPr>
        <i/>
        <sz val="11"/>
        <color rgb="FF000000"/>
        <rFont val="Verdana"/>
        <family val="2"/>
      </rPr>
      <t>Portfolium</t>
    </r>
    <r>
      <rPr>
        <i/>
        <sz val="11"/>
        <color rgb="FF000000"/>
        <rFont val="Verdana"/>
        <family val="2"/>
      </rPr>
      <t xml:space="preserve">
</t>
    </r>
  </si>
  <si>
    <r>
      <rPr>
        <sz val="11"/>
        <color rgb="FF000000"/>
        <rFont val="Verdana"/>
        <family val="2"/>
      </rPr>
      <t>Portfolium is hosted on AWS, where redundancy of these tertiary services is built-in to all AWS services used by Portfolium.</t>
    </r>
    <r>
      <rPr>
        <sz val="11"/>
        <color rgb="FF000000"/>
        <rFont val="Verdana"/>
        <family val="2"/>
      </rPr>
      <t xml:space="preserve">
</t>
    </r>
  </si>
  <si>
    <r>
      <rPr>
        <sz val="11"/>
        <color rgb="FF000000"/>
        <rFont val="Verdana"/>
        <family val="2"/>
      </rPr>
      <t xml:space="preserve">
</t>
    </r>
    <r>
      <rPr>
        <sz val="11"/>
        <color rgb="FF000000"/>
        <rFont val="Verdana"/>
        <family val="2"/>
      </rPr>
      <t xml:space="preserve">
</t>
    </r>
    <r>
      <rPr>
        <b/>
        <sz val="16"/>
        <color rgb="FF000000"/>
        <rFont val="Verdana"/>
        <family val="2"/>
      </rPr>
      <t>Portfolium Disaster Recovery Policy</t>
    </r>
    <r>
      <rPr>
        <sz val="11"/>
        <color rgb="FF000000"/>
        <rFont val="Verdana"/>
        <family val="2"/>
      </rPr>
      <t xml:space="preserve">
</t>
    </r>
    <r>
      <rPr>
        <b/>
        <sz val="11"/>
        <color rgb="FF000000"/>
        <rFont val="Verdana"/>
        <family val="2"/>
      </rPr>
      <t>Last Updated December 19, 2018</t>
    </r>
    <r>
      <rPr>
        <sz val="11"/>
        <color rgb="FF000000"/>
        <rFont val="Verdana"/>
        <family val="2"/>
      </rPr>
      <t xml:space="preserve">
</t>
    </r>
    <r>
      <rPr>
        <sz val="11"/>
        <color rgb="FF000000"/>
        <rFont val="Verdana"/>
        <family val="2"/>
      </rPr>
      <t xml:space="preserve">
</t>
    </r>
    <r>
      <rPr>
        <sz val="10"/>
        <color rgb="FF000000"/>
        <rFont val="Verdana"/>
        <family val="2"/>
      </rPr>
      <t>The Portfolium Disaster Recovery &amp; Business Continuity Policy are subject to change at the discretion of the Executive Team and/or Board of Directors. Any changes or updates to the Disaster Recovery &amp; Business Continuity Policy will be documented and timestamped.</t>
    </r>
    <r>
      <rPr>
        <sz val="11"/>
        <color rgb="FF000000"/>
        <rFont val="Verdana"/>
        <family val="2"/>
      </rPr>
      <t xml:space="preserve">
</t>
    </r>
    <r>
      <rPr>
        <sz val="11"/>
        <color rgb="FF000000"/>
        <rFont val="Verdana"/>
        <family val="2"/>
      </rPr>
      <t xml:space="preserve">
</t>
    </r>
    <r>
      <rPr>
        <sz val="11"/>
        <color rgb="FF000000"/>
        <rFont val="Verdana"/>
        <family val="2"/>
      </rPr>
      <t xml:space="preserve">Portfolium is architected as an n-tier ephemeral system. The web servers auto-scale based on load/traffic into the </t>
    </r>
    <r>
      <rPr>
        <u/>
        <sz val="11"/>
        <color rgb="FF1155CC"/>
        <rFont val="Verdana"/>
        <family val="2"/>
      </rPr>
      <t>ELBs</t>
    </r>
    <r>
      <rPr>
        <sz val="11"/>
        <color rgb="FF000000"/>
        <rFont val="Verdana"/>
        <family val="2"/>
      </rPr>
      <t xml:space="preserve"> (https://aws.amazon.com/elasticloadbalancing/)</t>
    </r>
    <r>
      <rPr>
        <sz val="11"/>
        <color rgb="FF000000"/>
        <rFont val="Verdana"/>
        <family val="2"/>
      </rPr>
      <t xml:space="preserve"> (Elastic Load Balancers), and can go away at any time without impacting the continuity of the application. Supporting systems and servers such as Redis (caching) and MySQL (persistent storage) all are deployed across multiple </t>
    </r>
    <r>
      <rPr>
        <u/>
        <sz val="11"/>
        <color rgb="FF1155CC"/>
        <rFont val="Verdana"/>
        <family val="2"/>
      </rPr>
      <t>AZ’s</t>
    </r>
    <r>
      <rPr>
        <sz val="11"/>
        <color rgb="FF000000"/>
        <rFont val="Verdana"/>
        <family val="2"/>
      </rPr>
      <t xml:space="preserve"> (https://docs.aws.amazon.com/AWSEC2/latest/UserGuide/using-regions-availability-zones.html)</t>
    </r>
    <r>
      <rPr>
        <sz val="11"/>
        <color rgb="FF000000"/>
        <rFont val="Verdana"/>
        <family val="2"/>
      </rPr>
      <t xml:space="preserve"> (Availability Zones), with real-time replication.</t>
    </r>
    <r>
      <rPr>
        <sz val="11"/>
        <color rgb="FF000000"/>
        <rFont val="Verdana"/>
        <family val="2"/>
      </rPr>
      <t xml:space="preserve">
</t>
    </r>
    <r>
      <rPr>
        <sz val="11"/>
        <color rgb="FF000000"/>
        <rFont val="Verdana"/>
        <family val="2"/>
      </rPr>
      <t xml:space="preserve">
</t>
    </r>
    <r>
      <rPr>
        <sz val="11"/>
        <color rgb="FF000000"/>
        <rFont val="Verdana"/>
        <family val="2"/>
      </rPr>
      <t>Utilizing AWS and all of the services that are provided, Portfolium is able to deliver a highly available robust solution. In case of a disaster, there are clear steps to follow to ensure continuity in the service.</t>
    </r>
    <r>
      <rPr>
        <sz val="11"/>
        <color rgb="FF000000"/>
        <rFont val="Verdana"/>
        <family val="2"/>
      </rPr>
      <t xml:space="preserve">
</t>
    </r>
    <r>
      <rPr>
        <sz val="11"/>
        <color rgb="FF000000"/>
        <rFont val="Verdana"/>
        <family val="2"/>
      </rPr>
      <t xml:space="preserve">
</t>
    </r>
    <r>
      <rPr>
        <b/>
        <sz val="14"/>
        <color rgb="FF434343"/>
        <rFont val="Verdana"/>
        <family val="2"/>
      </rPr>
      <t>Disaster Recovery Site</t>
    </r>
    <r>
      <rPr>
        <sz val="11"/>
        <color rgb="FF000000"/>
        <rFont val="Verdana"/>
        <family val="2"/>
      </rPr>
      <t xml:space="preserve">
</t>
    </r>
    <r>
      <rPr>
        <sz val="11"/>
        <color rgb="FF000000"/>
        <rFont val="Verdana"/>
        <family val="2"/>
      </rPr>
      <t xml:space="preserve">
</t>
    </r>
    <r>
      <rPr>
        <sz val="11"/>
        <color rgb="FF000000"/>
        <rFont val="Verdana"/>
        <family val="2"/>
      </rPr>
      <t xml:space="preserve">Portfolium uses Availability Zones within the </t>
    </r>
    <r>
      <rPr>
        <u/>
        <sz val="11"/>
        <color rgb="FF1155CC"/>
        <rFont val="Verdana"/>
        <family val="2"/>
      </rPr>
      <t>US-EAST-1 region</t>
    </r>
    <r>
      <rPr>
        <sz val="11"/>
        <color rgb="FF000000"/>
        <rFont val="Verdana"/>
        <family val="2"/>
      </rPr>
      <t xml:space="preserve"> (https://docs.aws.amazon.com/AWSEC2/latest/UserGuide/using-regions-availability-zones.html)</t>
    </r>
    <r>
      <rPr>
        <sz val="11"/>
        <color rgb="FF000000"/>
        <rFont val="Verdana"/>
        <family val="2"/>
      </rPr>
      <t xml:space="preserve"> (which is in North Virginia). </t>
    </r>
    <r>
      <rPr>
        <sz val="11"/>
        <color rgb="FF000000"/>
        <rFont val="Verdana"/>
        <family val="2"/>
      </rPr>
      <t xml:space="preserve">
</t>
    </r>
    <r>
      <rPr>
        <sz val="11"/>
        <color rgb="FF000000"/>
        <rFont val="Verdana"/>
        <family val="2"/>
      </rPr>
      <t xml:space="preserve">
</t>
    </r>
    <r>
      <rPr>
        <sz val="11"/>
        <color rgb="FF000000"/>
        <rFont val="Verdana"/>
        <family val="2"/>
      </rPr>
      <t>Each Amazon Region is designed to be completely isolated from the other Amazon Regions. This achieves the greatest possible fault tolerance and stability. Each Availability Zone is isolated, but the Availability Zones in a Region are connected through low-latency links. AWS provides Portfolium with the flexibility to place instances and store data within multiple geographic regions as well as across multiple Availability Zones within each AWS Region. Each Availability Zone is designed as an independent failure zone. This means that Availability Zones are physically separated within a typical metropolitan region and are located in lower risk flood plains (specific flood zone categorization varies by AWS Region). In addition to discrete uninterruptible power supply (UPS) and onsite backup generation facilities, they are each fed via different grids from independent utilities to further reduce single points of failure. Availability Zones are all redundantly connected to multiple tier-1 transit providers.</t>
    </r>
    <r>
      <rPr>
        <sz val="11"/>
        <color rgb="FF000000"/>
        <rFont val="Verdana"/>
        <family val="2"/>
      </rPr>
      <t xml:space="preserve">
</t>
    </r>
    <r>
      <rPr>
        <sz val="11"/>
        <color rgb="FF000000"/>
        <rFont val="Verdana"/>
        <family val="2"/>
      </rPr>
      <t xml:space="preserve">
</t>
    </r>
    <r>
      <rPr>
        <sz val="11"/>
        <color rgb="FF000000"/>
        <rFont val="Verdana"/>
        <family val="2"/>
      </rPr>
      <t>Portfolium currently does not deploy its services across different AWS regions.</t>
    </r>
    <r>
      <rPr>
        <sz val="11"/>
        <color rgb="FF000000"/>
        <rFont val="Verdana"/>
        <family val="2"/>
      </rPr>
      <t xml:space="preserve">
</t>
    </r>
    <r>
      <rPr>
        <sz val="11"/>
        <color rgb="FF000000"/>
        <rFont val="Verdana"/>
        <family val="2"/>
      </rPr>
      <t xml:space="preserve">
</t>
    </r>
    <r>
      <rPr>
        <b/>
        <sz val="14"/>
        <color rgb="FF434343"/>
        <rFont val="Verdana"/>
        <family val="2"/>
      </rPr>
      <t>How to replicate and sync data between sites</t>
    </r>
    <r>
      <rPr>
        <sz val="11"/>
        <color rgb="FF000000"/>
        <rFont val="Verdana"/>
        <family val="2"/>
      </rPr>
      <t xml:space="preserve">
</t>
    </r>
    <r>
      <rPr>
        <sz val="11"/>
        <color rgb="FF000000"/>
        <rFont val="Verdana"/>
        <family val="2"/>
      </rPr>
      <t xml:space="preserve">
</t>
    </r>
    <r>
      <rPr>
        <sz val="11"/>
        <color rgb="FF000000"/>
        <rFont val="Verdana"/>
        <family val="2"/>
      </rPr>
      <t>AWS take care of Multiple Availability Zone replication automatically. Every time a file is uploaded to S3, it’s replicated to two other zones in the same region. All of Portfolium’s data services (ElastiCache, RDS, etc) are set up to utilize AZs. As the web servers auto-scale up and down, they’re evenly distributed across the available AZ’s within the US-EAST-1 region.</t>
    </r>
    <r>
      <rPr>
        <sz val="11"/>
        <color rgb="FF000000"/>
        <rFont val="Verdana"/>
        <family val="2"/>
      </rPr>
      <t xml:space="preserve">
</t>
    </r>
    <r>
      <rPr>
        <sz val="11"/>
        <color rgb="FF000000"/>
        <rFont val="Verdana"/>
        <family val="2"/>
      </rPr>
      <t xml:space="preserve">
</t>
    </r>
    <r>
      <rPr>
        <b/>
        <sz val="14"/>
        <color rgb="FF434343"/>
        <rFont val="Verdana"/>
        <family val="2"/>
      </rPr>
      <t>Monitoring &amp; Alerting</t>
    </r>
    <r>
      <rPr>
        <sz val="11"/>
        <color rgb="FF000000"/>
        <rFont val="Verdana"/>
        <family val="2"/>
      </rPr>
      <t xml:space="preserve">
</t>
    </r>
    <r>
      <rPr>
        <sz val="11"/>
        <color rgb="FF000000"/>
        <rFont val="Verdana"/>
        <family val="2"/>
      </rPr>
      <t xml:space="preserve">
</t>
    </r>
    <r>
      <rPr>
        <sz val="11"/>
        <color rgb="FF000000"/>
        <rFont val="Verdana"/>
        <family val="2"/>
      </rPr>
      <t>Portfolium partners with various providers to get a holistic view into the delivery of its services (availability, performance, engagement, defects, etc).</t>
    </r>
    <r>
      <rPr>
        <sz val="11"/>
        <color rgb="FF000000"/>
        <rFont val="Verdana"/>
        <family val="2"/>
      </rPr>
      <t xml:space="preserve">
</t>
    </r>
    <r>
      <rPr>
        <sz val="11"/>
        <color rgb="FF000000"/>
        <rFont val="Verdana"/>
        <family val="2"/>
      </rPr>
      <t xml:space="preserve">
</t>
    </r>
    <r>
      <rPr>
        <u/>
        <sz val="11"/>
        <color rgb="FF1155CC"/>
        <rFont val="Verdana"/>
        <family val="2"/>
      </rPr>
      <t>Pingdom</t>
    </r>
    <r>
      <rPr>
        <sz val="11"/>
        <color rgb="FF000000"/>
        <rFont val="Verdana"/>
        <family val="2"/>
      </rPr>
      <t xml:space="preserve"> (https://www.pingdom.com/)</t>
    </r>
    <r>
      <rPr>
        <sz val="11"/>
        <color rgb="FF000000"/>
        <rFont val="Verdana"/>
        <family val="2"/>
      </rPr>
      <t>: Pingdom is a health-check service that monitors the availability of defined endpoints/URLs around the world. We run Pingdom on key pages that would determine availability of the service. If ever unavailable, mobile push-notifications are sent out to the Chief Technology Officer and Site Reliability Engineer, and emails are sent to the whole dev and management team.</t>
    </r>
    <r>
      <rPr>
        <sz val="11"/>
        <color rgb="FF000000"/>
        <rFont val="Verdana"/>
        <family val="2"/>
      </rPr>
      <t xml:space="preserve">
</t>
    </r>
    <r>
      <rPr>
        <sz val="11"/>
        <color rgb="FF000000"/>
        <rFont val="Verdana"/>
        <family val="2"/>
      </rPr>
      <t xml:space="preserve">
</t>
    </r>
    <r>
      <rPr>
        <u/>
        <sz val="11"/>
        <color rgb="FF1155CC"/>
        <rFont val="Verdana"/>
        <family val="2"/>
      </rPr>
      <t>CloudWatch</t>
    </r>
    <r>
      <rPr>
        <sz val="11"/>
        <color rgb="FF000000"/>
        <rFont val="Verdana"/>
        <family val="2"/>
      </rPr>
      <t xml:space="preserve"> (https://aws.amazon.com/cloudwatch/)</t>
    </r>
    <r>
      <rPr>
        <sz val="11"/>
        <color rgb="FF000000"/>
        <rFont val="Verdana"/>
        <family val="2"/>
      </rPr>
      <t>: CloudWatch provides Portfolium with data and actionable insights to monitor the applications, understand and respond to system-wide performance changes, optimize resource utilization, and get a unified view of operational health. There are a multitude of alerting policies set up across all services that monitor CPU, Memory, Disk, Load, etc. Alerts are delivered via email to the Chief Technology Officer, Site Reliability Engineer, and Senior Engineer on the team.</t>
    </r>
    <r>
      <rPr>
        <sz val="11"/>
        <color rgb="FF000000"/>
        <rFont val="Verdana"/>
        <family val="2"/>
      </rPr>
      <t xml:space="preserve">
</t>
    </r>
    <r>
      <rPr>
        <sz val="11"/>
        <color rgb="FF000000"/>
        <rFont val="Verdana"/>
        <family val="2"/>
      </rPr>
      <t xml:space="preserve">
</t>
    </r>
    <r>
      <rPr>
        <u/>
        <sz val="11"/>
        <color rgb="FF1155CC"/>
        <rFont val="Verdana"/>
        <family val="2"/>
      </rPr>
      <t>Datadog</t>
    </r>
    <r>
      <rPr>
        <sz val="11"/>
        <color rgb="FF000000"/>
        <rFont val="Verdana"/>
        <family val="2"/>
      </rPr>
      <t xml:space="preserve"> (https://www.datadoghq.com/)</t>
    </r>
    <r>
      <rPr>
        <sz val="11"/>
        <color rgb="FF000000"/>
        <rFont val="Verdana"/>
        <family val="2"/>
      </rPr>
      <t>: Datadog is a application performance monitoring tool along side a system and application log aggregator. Which allows the Portfolium dev team to pinpoint an issue or unperformant transaction, and be able to do a system wide investigation (logs, application, and system) to analyze and resolve the concern.</t>
    </r>
    <r>
      <rPr>
        <sz val="11"/>
        <color rgb="FF000000"/>
        <rFont val="Verdana"/>
        <family val="2"/>
      </rPr>
      <t xml:space="preserve">
</t>
    </r>
    <r>
      <rPr>
        <sz val="11"/>
        <color rgb="FF000000"/>
        <rFont val="Verdana"/>
        <family val="2"/>
      </rPr>
      <t xml:space="preserve">
</t>
    </r>
    <r>
      <rPr>
        <u/>
        <sz val="11"/>
        <color rgb="FF1155CC"/>
        <rFont val="Verdana"/>
        <family val="2"/>
      </rPr>
      <t>Google Analytics</t>
    </r>
    <r>
      <rPr>
        <sz val="11"/>
        <color rgb="FF000000"/>
        <rFont val="Verdana"/>
        <family val="2"/>
      </rPr>
      <t xml:space="preserve"> (https://marketingplatform.google.com/about/analytics/)</t>
    </r>
    <r>
      <rPr>
        <sz val="11"/>
        <color rgb="FF000000"/>
        <rFont val="Verdana"/>
        <family val="2"/>
      </rPr>
      <t>: Google Analytics allows us to analyze traffic patterns and overall site load in real-time. During office hours, the live traffic is always visible to employees on a TV, and monitors are set up to alert developers for slow response times.</t>
    </r>
    <r>
      <rPr>
        <sz val="11"/>
        <color rgb="FF000000"/>
        <rFont val="Verdana"/>
        <family val="2"/>
      </rPr>
      <t xml:space="preserve">
</t>
    </r>
    <r>
      <rPr>
        <sz val="11"/>
        <color rgb="FF000000"/>
        <rFont val="Verdana"/>
        <family val="2"/>
      </rPr>
      <t xml:space="preserve">
</t>
    </r>
    <r>
      <rPr>
        <u/>
        <sz val="11"/>
        <color rgb="FF1155CC"/>
        <rFont val="Verdana"/>
        <family val="2"/>
      </rPr>
      <t>Sentry</t>
    </r>
    <r>
      <rPr>
        <sz val="11"/>
        <color rgb="FF000000"/>
        <rFont val="Verdana"/>
        <family val="2"/>
      </rPr>
      <t xml:space="preserve"> (https://sentry.io/welcome/)</t>
    </r>
    <r>
      <rPr>
        <sz val="11"/>
        <color rgb="FF000000"/>
        <rFont val="Verdana"/>
        <family val="2"/>
      </rPr>
      <t>: Sentry is a client-side error tracking software that helps Portfolium monitor and fix Javascript crashes in real time, iterate continuously, boost efficiency, and improve the user experience.</t>
    </r>
    <r>
      <rPr>
        <sz val="11"/>
        <color rgb="FF000000"/>
        <rFont val="Verdana"/>
        <family val="2"/>
      </rPr>
      <t xml:space="preserve">
</t>
    </r>
    <r>
      <rPr>
        <b/>
        <sz val="14"/>
        <color rgb="FF434343"/>
        <rFont val="Verdana"/>
        <family val="2"/>
      </rPr>
      <t>Disaster Recovery Steps</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1. </t>
    </r>
    <r>
      <rPr>
        <sz val="11"/>
        <color rgb="FF000000"/>
        <rFont val="Verdana"/>
        <family val="2"/>
      </rPr>
      <t xml:space="preserve">Go to </t>
    </r>
    <r>
      <rPr>
        <u/>
        <sz val="11"/>
        <color rgb="FF1155CC"/>
        <rFont val="Verdana"/>
        <family val="2"/>
      </rPr>
      <t>https://status.aws.amazon.com/</t>
    </r>
    <r>
      <rPr>
        <sz val="11"/>
        <color rgb="FF000000"/>
        <rFont val="Verdana"/>
        <family val="2"/>
      </rPr>
      <t xml:space="preserve"> (https://status.aws.amazon.com/)</t>
    </r>
    <r>
      <rPr>
        <sz val="11"/>
        <color rgb="FF000000"/>
        <rFont val="Verdana"/>
        <family val="2"/>
      </rPr>
      <t xml:space="preserve"> and make sure there are no known service level outages.</t>
    </r>
    <r>
      <rPr>
        <sz val="11"/>
        <color rgb="FF000000"/>
        <rFont val="Verdana"/>
        <family val="2"/>
      </rPr>
      <t xml:space="preserve">
</t>
    </r>
    <r>
      <rPr>
        <sz val="11"/>
        <color rgb="FF000000"/>
        <rFont val="Verdana"/>
        <family val="2"/>
      </rPr>
      <t xml:space="preserve">    2. </t>
    </r>
    <r>
      <rPr>
        <sz val="11"/>
        <color rgb="FF000000"/>
        <rFont val="Verdana"/>
        <family val="2"/>
      </rPr>
      <t>Log into AWS Console and quickly analyze:</t>
    </r>
    <r>
      <rPr>
        <sz val="11"/>
        <color rgb="FF000000"/>
        <rFont val="Verdana"/>
        <family val="2"/>
      </rPr>
      <t xml:space="preserve">
</t>
    </r>
    <r>
      <rPr>
        <sz val="11"/>
        <color rgb="FF000000"/>
        <rFont val="Verdana"/>
        <family val="2"/>
      </rPr>
      <t xml:space="preserve">    3. </t>
    </r>
    <r>
      <rPr>
        <sz val="11"/>
        <color rgb="FF000000"/>
        <rFont val="Verdana"/>
        <family val="2"/>
      </rPr>
      <t xml:space="preserve">
</t>
    </r>
    <r>
      <rPr>
        <sz val="11"/>
        <color rgb="FF000000"/>
        <rFont val="Verdana"/>
        <family val="2"/>
      </rPr>
      <t xml:space="preserve">        1. </t>
    </r>
    <r>
      <rPr>
        <sz val="11"/>
        <color rgb="FF000000"/>
        <rFont val="Verdana"/>
        <family val="2"/>
      </rPr>
      <t>The production RDS instance for CPU and connections</t>
    </r>
    <r>
      <rPr>
        <sz val="11"/>
        <color rgb="FF000000"/>
        <rFont val="Verdana"/>
        <family val="2"/>
      </rPr>
      <t xml:space="preserve">
</t>
    </r>
    <r>
      <rPr>
        <sz val="11"/>
        <color rgb="FF000000"/>
        <rFont val="Verdana"/>
        <family val="2"/>
      </rPr>
      <t xml:space="preserve">        2. </t>
    </r>
    <r>
      <rPr>
        <sz val="11"/>
        <color rgb="FF000000"/>
        <rFont val="Verdana"/>
        <family val="2"/>
      </rPr>
      <t>OpsWorks production stack, and that the instances are all up</t>
    </r>
    <r>
      <rPr>
        <sz val="11"/>
        <color rgb="FF000000"/>
        <rFont val="Verdana"/>
        <family val="2"/>
      </rPr>
      <t xml:space="preserve">
</t>
    </r>
    <r>
      <rPr>
        <sz val="11"/>
        <color rgb="FF000000"/>
        <rFont val="Verdana"/>
        <family val="2"/>
      </rPr>
      <t xml:space="preserve">        3. </t>
    </r>
    <r>
      <rPr>
        <sz val="11"/>
        <color rgb="FF000000"/>
        <rFont val="Verdana"/>
        <family val="2"/>
      </rPr>
      <t>ElastiCache Redis instance for CPU, connections, and engine CPU</t>
    </r>
    <r>
      <rPr>
        <sz val="11"/>
        <color rgb="FF000000"/>
        <rFont val="Verdana"/>
        <family val="2"/>
      </rPr>
      <t xml:space="preserve">
</t>
    </r>
    <r>
      <rPr>
        <sz val="11"/>
        <color rgb="FF000000"/>
        <rFont val="Verdana"/>
        <family val="2"/>
      </rPr>
      <t xml:space="preserve">    4. </t>
    </r>
    <r>
      <rPr>
        <sz val="11"/>
        <color rgb="FF000000"/>
        <rFont val="Verdana"/>
        <family val="2"/>
      </rPr>
      <t>After analysis, if determined an availability zone is down, review services auto-failover logs to make sure things are switching over to the available zone.</t>
    </r>
    <r>
      <rPr>
        <sz val="11"/>
        <color rgb="FF000000"/>
        <rFont val="Verdana"/>
        <family val="2"/>
      </rPr>
      <t xml:space="preserve">
</t>
    </r>
    <r>
      <rPr>
        <sz val="11"/>
        <color rgb="FF000000"/>
        <rFont val="Verdana"/>
        <family val="2"/>
      </rPr>
      <t xml:space="preserve">    5. </t>
    </r>
    <r>
      <rPr>
        <sz val="11"/>
        <color rgb="FF000000"/>
        <rFont val="Verdana"/>
        <family val="2"/>
      </rPr>
      <t>After analysis, if determined employee-disaster</t>
    </r>
    <r>
      <rPr>
        <sz val="11"/>
        <color rgb="FF000000"/>
        <rFont val="Verdana"/>
        <family val="2"/>
      </rPr>
      <t xml:space="preserve">
</t>
    </r>
    <r>
      <rPr>
        <sz val="11"/>
        <color rgb="FF000000"/>
        <rFont val="Verdana"/>
        <family val="2"/>
      </rPr>
      <t xml:space="preserve">    6. </t>
    </r>
    <r>
      <rPr>
        <sz val="11"/>
        <color rgb="FF000000"/>
        <rFont val="Verdana"/>
        <family val="2"/>
      </rPr>
      <t xml:space="preserve">
</t>
    </r>
    <r>
      <rPr>
        <sz val="11"/>
        <color rgb="FF000000"/>
        <rFont val="Verdana"/>
        <family val="2"/>
      </rPr>
      <t xml:space="preserve">        1. </t>
    </r>
    <r>
      <rPr>
        <sz val="11"/>
        <color rgb="FF000000"/>
        <rFont val="Verdana"/>
        <family val="2"/>
      </rPr>
      <t>put the splash page up at the load balancer level blocking all incoming traffic to the web servers</t>
    </r>
    <r>
      <rPr>
        <sz val="11"/>
        <color rgb="FF000000"/>
        <rFont val="Verdana"/>
        <family val="2"/>
      </rPr>
      <t xml:space="preserve">
</t>
    </r>
    <r>
      <rPr>
        <sz val="11"/>
        <color rgb="FF000000"/>
        <rFont val="Verdana"/>
        <family val="2"/>
      </rPr>
      <t xml:space="preserve">        2. </t>
    </r>
    <r>
      <rPr>
        <sz val="11"/>
        <color rgb="FF000000"/>
        <rFont val="Verdana"/>
        <family val="2"/>
      </rPr>
      <t>Start a point in time restore to the 5-min interval before the incident</t>
    </r>
    <r>
      <rPr>
        <sz val="11"/>
        <color rgb="FF000000"/>
        <rFont val="Verdana"/>
        <family val="2"/>
      </rPr>
      <t xml:space="preserve">
</t>
    </r>
    <r>
      <rPr>
        <sz val="11"/>
        <color rgb="FF000000"/>
        <rFont val="Verdana"/>
        <family val="2"/>
      </rPr>
      <t xml:space="preserve">        3. </t>
    </r>
    <r>
      <rPr>
        <sz val="11"/>
        <color rgb="FF000000"/>
        <rFont val="Verdana"/>
        <family val="2"/>
      </rPr>
      <t>remove the splash page allowing normal operations to continue</t>
    </r>
  </si>
  <si>
    <r>
      <rPr>
        <sz val="11"/>
        <color rgb="FF000000"/>
        <rFont val="Verdana"/>
        <family val="2"/>
      </rPr>
      <t>Key employees in the SRE team are responsible for the BCP</t>
    </r>
    <r>
      <rPr>
        <sz val="11"/>
        <color rgb="FF000000"/>
        <rFont val="Verdana"/>
        <family val="2"/>
      </rPr>
      <t xml:space="preserve">
</t>
    </r>
  </si>
  <si>
    <r>
      <rPr>
        <sz val="11"/>
        <color rgb="FF000000"/>
        <rFont val="Verdana"/>
        <family val="2"/>
      </rPr>
      <t>All key engineers and management are trained on how to implement, and communicate during any major outage. Documents are available upon request and are updated to reflect all new and improved procedures.</t>
    </r>
    <r>
      <rPr>
        <sz val="11"/>
        <color rgb="FF000000"/>
        <rFont val="Verdana"/>
        <family val="2"/>
      </rPr>
      <t xml:space="preserve">
</t>
    </r>
  </si>
  <si>
    <r>
      <rPr>
        <sz val="11"/>
        <color rgb="FF000000"/>
        <rFont val="Verdana"/>
        <family val="2"/>
      </rPr>
      <t>All BCP components are reviewed and - at the very least - tested once per year to ensure compliancy.</t>
    </r>
    <r>
      <rPr>
        <sz val="11"/>
        <color rgb="FF000000"/>
        <rFont val="Verdana"/>
        <family val="2"/>
      </rPr>
      <t xml:space="preserve">
</t>
    </r>
  </si>
  <si>
    <r>
      <rPr>
        <sz val="11"/>
        <color rgb="FF000000"/>
        <rFont val="Verdana"/>
        <family val="2"/>
      </rPr>
      <t xml:space="preserve">Our BCP processes are of the highest priority and are tested once a year in the event of a region-wide issue. All data is snapshotted and held encrypted in remote zones to ensure that fast recovery is attainable. </t>
    </r>
    <r>
      <rPr>
        <sz val="11"/>
        <color rgb="FF000000"/>
        <rFont val="Verdana"/>
        <family val="2"/>
      </rPr>
      <t xml:space="preserve">
</t>
    </r>
  </si>
  <si>
    <r>
      <rPr>
        <sz val="11"/>
        <color rgb="FF000000"/>
        <rFont val="Verdana"/>
        <family val="2"/>
      </rPr>
      <t>Portfolium and Instructure are very forward-facing regarding training - budgets are allowed for - and utilized - to ensure that our employees are properly trained on the latest and most advanced procedures and processes.</t>
    </r>
    <r>
      <rPr>
        <sz val="11"/>
        <color rgb="FF000000"/>
        <rFont val="Verdana"/>
        <family val="2"/>
      </rPr>
      <t xml:space="preserve">
</t>
    </r>
  </si>
  <si>
    <r>
      <rPr>
        <sz val="11"/>
        <color rgb="FF000000"/>
        <rFont val="Verdana"/>
        <family val="2"/>
      </rPr>
      <t>Crisis Management roles are assigned to our DevOps and SRE departments on a least-required-access ACL - all roles are documented within our departments and defined upon hire and request.</t>
    </r>
    <r>
      <rPr>
        <sz val="11"/>
        <color rgb="FF000000"/>
        <rFont val="Verdana"/>
        <family val="2"/>
      </rPr>
      <t xml:space="preserve">
</t>
    </r>
  </si>
  <si>
    <r>
      <rPr>
        <sz val="11"/>
        <color rgb="FF000000"/>
        <rFont val="Verdana"/>
        <family val="2"/>
      </rPr>
      <t>Disaster Recovery is self-contained within the AWS infrastructure - all processes are tested and architected for immediacy in the event of a region-wide failure.</t>
    </r>
    <r>
      <rPr>
        <sz val="11"/>
        <color rgb="FF000000"/>
        <rFont val="Verdana"/>
        <family val="2"/>
      </rPr>
      <t xml:space="preserve">
</t>
    </r>
  </si>
  <si>
    <r>
      <rPr>
        <sz val="11"/>
        <color rgb="FF000000"/>
        <rFont val="Verdana"/>
        <family val="2"/>
      </rPr>
      <t>Please review the Disaster Recovery section of this document to get details on our DR implementations.</t>
    </r>
    <r>
      <rPr>
        <sz val="11"/>
        <color rgb="FF000000"/>
        <rFont val="Verdana"/>
        <family val="2"/>
      </rPr>
      <t xml:space="preserve">
</t>
    </r>
  </si>
  <si>
    <r>
      <rPr>
        <sz val="11"/>
        <color rgb="FF000000"/>
        <rFont val="Verdana"/>
        <family val="2"/>
      </rPr>
      <t>Instructure has a wide-variety of applications within out business stack - however - we have a dedicated team solely assigned to Portfolium development and reliability.</t>
    </r>
    <r>
      <rPr>
        <sz val="11"/>
        <color rgb="FF000000"/>
        <rFont val="Verdana"/>
        <family val="2"/>
      </rPr>
      <t xml:space="preserve">
</t>
    </r>
  </si>
  <si>
    <r>
      <rPr>
        <sz val="11"/>
        <color rgb="FF000000"/>
        <rFont val="Verdana"/>
        <family val="2"/>
      </rPr>
      <t>Instructure has a software development life cycle that incorporates secure coding practice and controls.</t>
    </r>
    <r>
      <rPr>
        <sz val="11"/>
        <color rgb="FF000000"/>
        <rFont val="Verdana"/>
        <family val="2"/>
      </rPr>
      <t xml:space="preserve">
</t>
    </r>
    <r>
      <rPr>
        <sz val="11"/>
        <color rgb="FF000000"/>
        <rFont val="Verdana"/>
        <family val="2"/>
      </rPr>
      <t xml:space="preserve">Peer reviews of all source code changes are mandatory. Multiple peer reviews are conducted for each change to the Portfolium code base to detect and correct any bugs, security flaws, and any other code defects. Changes to Portfolium code must be validated by peer review </t>
    </r>
    <r>
      <rPr>
        <sz val="11"/>
        <color rgb="FF000000"/>
        <rFont val="Verdana"/>
        <family val="2"/>
      </rPr>
      <t>before</t>
    </r>
    <r>
      <rPr>
        <sz val="11"/>
        <color rgb="FF000000"/>
        <rFont val="Verdana"/>
        <family val="2"/>
      </rPr>
      <t xml:space="preserve"> the code is approved and committed to the code base repository. </t>
    </r>
    <r>
      <rPr>
        <sz val="11"/>
        <color rgb="FF000000"/>
        <rFont val="Verdana"/>
        <family val="2"/>
      </rPr>
      <t xml:space="preserve">
</t>
    </r>
    <r>
      <rPr>
        <sz val="11"/>
        <color rgb="FF000000"/>
        <rFont val="Verdana"/>
        <family val="2"/>
      </rPr>
      <t>The code review includes security auditing are based on the Open Web Application Security Project (OWASP) secure coding and code review documents and other community sources on best security practices.</t>
    </r>
    <r>
      <rPr>
        <sz val="11"/>
        <color rgb="FF000000"/>
        <rFont val="Verdana"/>
        <family val="2"/>
      </rPr>
      <t xml:space="preserve">
</t>
    </r>
    <r>
      <rPr>
        <sz val="11"/>
        <color rgb="FF000000"/>
        <rFont val="Verdana"/>
        <family val="2"/>
      </rPr>
      <t xml:space="preserve">All Portfolium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an internal wiki to discuss and share best practices for the mitigation and prevention of security pitfalls and vulnerabilities. </t>
    </r>
    <r>
      <rPr>
        <sz val="11"/>
        <color rgb="FF000000"/>
        <rFont val="Verdana"/>
        <family val="2"/>
      </rPr>
      <t xml:space="preserve">
</t>
    </r>
  </si>
  <si>
    <r>
      <rPr>
        <sz val="11"/>
        <color rgb="FF000000"/>
        <rFont val="Verdana"/>
        <family val="2"/>
      </rPr>
      <t>Portfolium is a SaaS based platform; as such, changes and improvements are made almost daily. Every time Portfolium code is updated, a notification will appear on the user’s screen.</t>
    </r>
    <r>
      <rPr>
        <sz val="11"/>
        <color rgb="FF000000"/>
        <rFont val="Verdana"/>
        <family val="2"/>
      </rPr>
      <t xml:space="preserve">
</t>
    </r>
  </si>
  <si>
    <r>
      <rPr>
        <sz val="11"/>
        <color rgb="FF000000"/>
        <rFont val="Verdana"/>
        <family val="2"/>
      </rPr>
      <t>As a native cloud-based solution, all users are on the same version of Portfolium.  Currently there is no method to postpone any updates.</t>
    </r>
    <r>
      <rPr>
        <sz val="11"/>
        <color rgb="FF000000"/>
        <rFont val="Verdana"/>
        <family val="2"/>
      </rPr>
      <t xml:space="preserve">
</t>
    </r>
  </si>
  <si>
    <r>
      <rPr>
        <sz val="11"/>
        <color rgb="FF000000"/>
        <rFont val="Verdana"/>
        <family val="2"/>
      </rPr>
      <t xml:space="preserve">In addition to LMS integration, Portfolium customers are also able to customize several areas including logo, branding, descriptions and colors displayed on gallery pages.   These integrations and customizations are supported from one release to another. </t>
    </r>
    <r>
      <rPr>
        <sz val="11"/>
        <color rgb="FF000000"/>
        <rFont val="Verdana"/>
        <family val="2"/>
      </rPr>
      <t xml:space="preserve">
</t>
    </r>
  </si>
  <si>
    <r>
      <rPr>
        <sz val="11"/>
        <color rgb="FF000000"/>
        <rFont val="Verdana"/>
        <family val="2"/>
      </rPr>
      <t>After the developers finish their work which is based off our approved development playbook, the code is then peer-reviewed after following a product management acceptance phase. Once this phase is complete, the code is ran through our Quality Assurance team.  Once the code is approved and verified, it is released to the production.</t>
    </r>
    <r>
      <rPr>
        <sz val="11"/>
        <color rgb="FF000000"/>
        <rFont val="Verdana"/>
        <family val="2"/>
      </rPr>
      <t xml:space="preserve">
</t>
    </r>
  </si>
  <si>
    <r>
      <rPr>
        <sz val="11"/>
        <color rgb="FF000000"/>
        <rFont val="Verdana"/>
        <family val="2"/>
      </rPr>
      <t xml:space="preserve">Minor updates are released daily and major updates are released 3-4 times per year. Portfolium's service is never interrupted during these releases and we maintain a 99.9% uptime SLA.  Portfolium's Customer Success team maintains regular communication with its customers to inform them of upcoming product updates. </t>
    </r>
    <r>
      <rPr>
        <sz val="11"/>
        <color rgb="FF000000"/>
        <rFont val="Verdana"/>
        <family val="2"/>
      </rPr>
      <t xml:space="preserve">
</t>
    </r>
  </si>
  <si>
    <r>
      <rPr>
        <sz val="11"/>
        <color rgb="FF000000"/>
        <rFont val="Verdana"/>
        <family val="2"/>
      </rPr>
      <t xml:space="preserve">Portfolium utilizes an Agile development approach and - as a result - builds are completed within 2-week sprints. Long-term projects are handled within the Product team and can span from 1-8 Quarters based on product complexity. Bugs are given high priority within each sprint and are heavily documented until completion. </t>
    </r>
    <r>
      <rPr>
        <sz val="11"/>
        <color rgb="FF000000"/>
        <rFont val="Verdana"/>
        <family val="2"/>
      </rPr>
      <t xml:space="preserve">
</t>
    </r>
  </si>
  <si>
    <r>
      <rPr>
        <sz val="11"/>
        <color rgb="FF000000"/>
        <rFont val="Verdana"/>
        <family val="2"/>
      </rPr>
      <t>Portfolium updates are "hand-free." Updates are pushed to production environments without any involvement of an institution's IT staff or faculty. As a truly "versionless" software, Portfolium ensures all institutions have access to the same features while maintaining the flexibility to use them in a manner that best fits each organization's individual needs.</t>
    </r>
    <r>
      <rPr>
        <sz val="11"/>
        <color rgb="FF000000"/>
        <rFont val="Verdana"/>
        <family val="2"/>
      </rPr>
      <t xml:space="preserve">
</t>
    </r>
  </si>
  <si>
    <r>
      <rPr>
        <sz val="11"/>
        <color rgb="FF000000"/>
        <rFont val="Verdana"/>
        <family val="2"/>
      </rPr>
      <t>Portfolium maintains a goal of implementing critical patches within 24-72 hours.</t>
    </r>
    <r>
      <rPr>
        <sz val="11"/>
        <color rgb="FF000000"/>
        <rFont val="Verdana"/>
        <family val="2"/>
      </rPr>
      <t xml:space="preserve">
</t>
    </r>
  </si>
  <si>
    <r>
      <rPr>
        <sz val="11"/>
        <color rgb="FF000000"/>
        <rFont val="Verdana"/>
        <family val="2"/>
      </rPr>
      <t>Portfolium does not maintain a formal policy on mitigating risks prior to patch application.</t>
    </r>
    <r>
      <rPr>
        <sz val="11"/>
        <color rgb="FF000000"/>
        <rFont val="Verdana"/>
        <family val="2"/>
      </rPr>
      <t xml:space="preserve">
</t>
    </r>
  </si>
  <si>
    <r>
      <rPr>
        <sz val="11"/>
        <color rgb="FF000000"/>
        <rFont val="Verdana"/>
        <family val="2"/>
      </rPr>
      <t>Portfolium's rolling release methodology rarely incurs any system downtime. Portfolium upgrades and updates are released on a regular basis and are designed to be seamless with no impact on the customer.</t>
    </r>
    <r>
      <rPr>
        <sz val="11"/>
        <color rgb="FF000000"/>
        <rFont val="Verdana"/>
        <family val="2"/>
      </rPr>
      <t xml:space="preserve">
</t>
    </r>
  </si>
  <si>
    <r>
      <rPr>
        <sz val="11"/>
        <color rgb="FF000000"/>
        <rFont val="Verdana"/>
        <family val="2"/>
      </rPr>
      <t>Every line of code is documented in Portfolium's source control. Any pull request into the master branch must be approved by a Manager, tested, then released to production in a continuous development environment.</t>
    </r>
    <r>
      <rPr>
        <sz val="11"/>
        <color rgb="FF000000"/>
        <rFont val="Verdana"/>
        <family val="2"/>
      </rPr>
      <t xml:space="preserve">
</t>
    </r>
  </si>
  <si>
    <r>
      <rPr>
        <sz val="11"/>
        <color rgb="FF000000"/>
        <rFont val="Verdana"/>
        <family val="2"/>
      </rPr>
      <t>Data is separated via a Foreign Key in the database to the user’s primary Portfolium user ID. This is audited by unit tests, functional tests, code reviews, and quality assurance reviews.</t>
    </r>
    <r>
      <rPr>
        <sz val="11"/>
        <color rgb="FF000000"/>
        <rFont val="Verdana"/>
        <family val="2"/>
      </rPr>
      <t xml:space="preserve">
</t>
    </r>
  </si>
  <si>
    <r>
      <rPr>
        <sz val="11"/>
        <color rgb="FF000000"/>
        <rFont val="Verdana"/>
        <family val="2"/>
      </rPr>
      <t>Client data is not stored on non-RFC 1918/4193 (publicly routable) IP addresses.</t>
    </r>
    <r>
      <rPr>
        <sz val="11"/>
        <color rgb="FF000000"/>
        <rFont val="Verdana"/>
        <family val="2"/>
      </rPr>
      <t xml:space="preserve">
</t>
    </r>
  </si>
  <si>
    <r>
      <rPr>
        <sz val="11"/>
        <color rgb="FF000000"/>
        <rFont val="Verdana"/>
        <family val="2"/>
      </rPr>
      <t xml:space="preserve">All customer data elements are encrypted in transit and at rest. </t>
    </r>
    <r>
      <rPr>
        <sz val="11"/>
        <color rgb="FF000000"/>
        <rFont val="Verdana"/>
        <family val="2"/>
      </rPr>
      <t xml:space="preserve">
</t>
    </r>
  </si>
  <si>
    <r>
      <rPr>
        <sz val="11"/>
        <color rgb="FF000000"/>
        <rFont val="Verdana"/>
        <family val="2"/>
      </rPr>
      <t>All customer data elements are encrypted in transit and at rest.</t>
    </r>
    <r>
      <rPr>
        <sz val="11"/>
        <color rgb="FF000000"/>
        <rFont val="Verdana"/>
        <family val="2"/>
      </rPr>
      <t xml:space="preserve">
</t>
    </r>
  </si>
  <si>
    <r>
      <rPr>
        <sz val="11"/>
        <color rgb="FF000000"/>
        <rFont val="Verdana"/>
        <family val="2"/>
      </rPr>
      <t>Cryptographic modules used with Portfolium conform with FIPS PUB 140-2</t>
    </r>
    <r>
      <rPr>
        <sz val="11"/>
        <color rgb="FF000000"/>
        <rFont val="Verdana"/>
        <family val="2"/>
      </rPr>
      <t xml:space="preserve">
</t>
    </r>
  </si>
  <si>
    <r>
      <rPr>
        <sz val="11"/>
        <color rgb="FF000000"/>
        <rFont val="Verdana"/>
        <family val="2"/>
      </rPr>
      <t>All data is transported via SSL with TLS 1.2</t>
    </r>
    <r>
      <rPr>
        <sz val="11"/>
        <color rgb="FF000000"/>
        <rFont val="Verdana"/>
        <family val="2"/>
      </rPr>
      <t xml:space="preserve">
</t>
    </r>
  </si>
  <si>
    <r>
      <rPr>
        <sz val="11"/>
        <color rgb="FF000000"/>
        <rFont val="Verdana"/>
        <family val="2"/>
      </rPr>
      <t>Portoflium users have access their data at all times including 90 days after termination of the contract.</t>
    </r>
    <r>
      <rPr>
        <sz val="11"/>
        <color rgb="FF000000"/>
        <rFont val="Verdana"/>
        <family val="2"/>
      </rPr>
      <t xml:space="preserve">
</t>
    </r>
  </si>
  <si>
    <r>
      <rPr>
        <sz val="11"/>
        <color rgb="FF000000"/>
        <rFont val="Verdana"/>
        <family val="2"/>
      </rPr>
      <t>Per Instructure's Terms and Conditions; following expiration or termination of the contract, customers will have 3 months following expiration or termination to export customer content by using the export feature within the service.</t>
    </r>
    <r>
      <rPr>
        <sz val="11"/>
        <color rgb="FF000000"/>
        <rFont val="Verdana"/>
        <family val="2"/>
      </rPr>
      <t xml:space="preserve">
</t>
    </r>
  </si>
  <si>
    <r>
      <rPr>
        <sz val="11"/>
        <color rgb="FF000000"/>
        <rFont val="Verdana"/>
        <family val="2"/>
      </rPr>
      <t>Portfolium offers its users multiple methods of extracting data from its catalog of products, including but not limited to CSV, PDF, Text, of SQL.</t>
    </r>
    <r>
      <rPr>
        <sz val="11"/>
        <color rgb="FF000000"/>
        <rFont val="Verdana"/>
        <family val="2"/>
      </rPr>
      <t xml:space="preserve">
</t>
    </r>
  </si>
  <si>
    <r>
      <rPr>
        <sz val="11"/>
        <color rgb="FF000000"/>
        <rFont val="Verdana"/>
        <family val="2"/>
      </rPr>
      <t>Per Instructure's Terms and Conditions: As between Instructure and Customer, any and all information, data, results, plans, sketches, text, files, links, images, photos, videos, audio files, notes, or other materials uploaded by a User through the Service (“</t>
    </r>
    <r>
      <rPr>
        <b/>
        <sz val="11"/>
        <color rgb="FF000000"/>
        <rFont val="Verdana"/>
        <family val="2"/>
      </rPr>
      <t>Customer Content</t>
    </r>
    <r>
      <rPr>
        <sz val="11"/>
        <color rgb="FF000000"/>
        <rFont val="Verdana"/>
        <family val="2"/>
      </rPr>
      <t>”) remain the sole property of Customer.</t>
    </r>
    <r>
      <rPr>
        <sz val="11"/>
        <color rgb="FF000000"/>
        <rFont val="Verdana"/>
        <family val="2"/>
      </rPr>
      <t xml:space="preserve">
</t>
    </r>
  </si>
  <si>
    <r>
      <rPr>
        <sz val="11"/>
        <color rgb="FF000000"/>
        <rFont val="Verdana"/>
        <family val="2"/>
      </rPr>
      <t>These rights are enforced and detailed in Instructure's Terms and Conditions.</t>
    </r>
    <r>
      <rPr>
        <sz val="11"/>
        <color rgb="FF000000"/>
        <rFont val="Verdana"/>
        <family val="2"/>
      </rPr>
      <t xml:space="preserve">
</t>
    </r>
  </si>
  <si>
    <r>
      <rPr>
        <sz val="11"/>
        <color rgb="FF000000"/>
        <rFont val="Verdana"/>
        <family val="2"/>
      </rPr>
      <t xml:space="preserve">Per Instructure's Terms and Conditions, customers will have 3 months to export content by using the export feature within the particular service being used. </t>
    </r>
    <r>
      <rPr>
        <sz val="11"/>
        <color rgb="FF000000"/>
        <rFont val="Verdana"/>
        <family val="2"/>
      </rPr>
      <t xml:space="preserve">
</t>
    </r>
  </si>
  <si>
    <r>
      <rPr>
        <sz val="11"/>
        <color rgb="FF000000"/>
        <rFont val="Verdana"/>
        <family val="2"/>
      </rPr>
      <t>Full backups are performed daily.</t>
    </r>
    <r>
      <rPr>
        <sz val="11"/>
        <color rgb="FF000000"/>
        <rFont val="Verdana"/>
        <family val="2"/>
      </rPr>
      <t xml:space="preserve">
</t>
    </r>
  </si>
  <si>
    <r>
      <rPr>
        <sz val="11"/>
        <color rgb="FF000000"/>
        <rFont val="Verdana"/>
        <family val="2"/>
      </rPr>
      <t>Data backups are fully-encrypted - as are our running instances.</t>
    </r>
    <r>
      <rPr>
        <sz val="11"/>
        <color rgb="FF000000"/>
        <rFont val="Verdana"/>
        <family val="2"/>
      </rPr>
      <t xml:space="preserve">
</t>
    </r>
  </si>
  <si>
    <r>
      <rPr>
        <sz val="11"/>
        <color rgb="FF000000"/>
        <rFont val="Verdana"/>
        <family val="2"/>
      </rPr>
      <t xml:space="preserve">Portfolium uses Amazon Web Services' Key Management Services to control access to Amazon's RDS for SQL servers.  </t>
    </r>
    <r>
      <rPr>
        <sz val="11"/>
        <color rgb="FF000000"/>
        <rFont val="Verdana"/>
        <family val="2"/>
      </rPr>
      <t xml:space="preserve">
</t>
    </r>
  </si>
  <si>
    <r>
      <rPr>
        <sz val="11"/>
        <color rgb="FF000000"/>
        <rFont val="Verdana"/>
        <family val="2"/>
      </rPr>
      <t>Portfolium backups are known as "snapshots." They are identical copies of the environment and contain all the data/configurations necessary to restore the application. When restoring from a snapshot, data is restored to the exact image of the environment when the backup was created. Portfolium tests this process regularly.</t>
    </r>
    <r>
      <rPr>
        <sz val="11"/>
        <color rgb="FF000000"/>
        <rFont val="Verdana"/>
        <family val="2"/>
      </rPr>
      <t xml:space="preserve">
</t>
    </r>
  </si>
  <si>
    <r>
      <rPr>
        <sz val="11"/>
        <color rgb="FF000000"/>
        <rFont val="Verdana"/>
        <family val="2"/>
      </rPr>
      <t>Portfolium client data is backed-up automatically both in near-real-time and on a 24 hour schedule to multiple geographic locations, ensuring the security and reliability of data in the event of a disaster or outage of any scale. Database backups are done from one live database to another with no additional load on the system and require no recovery/import time. Static files are stored on secure, geographically redundant storage systems.</t>
    </r>
    <r>
      <rPr>
        <sz val="11"/>
        <color rgb="FF000000"/>
        <rFont val="Verdana"/>
        <family val="2"/>
      </rPr>
      <t xml:space="preserve">
</t>
    </r>
  </si>
  <si>
    <r>
      <rPr>
        <sz val="11"/>
        <color rgb="FF000000"/>
        <rFont val="Verdana"/>
        <family val="2"/>
      </rPr>
      <t xml:space="preserve">As a cloud-based system, Portfolium does not require physical backups.  </t>
    </r>
    <r>
      <rPr>
        <sz val="11"/>
        <color rgb="FF000000"/>
        <rFont val="Verdana"/>
        <family val="2"/>
      </rPr>
      <t xml:space="preserve">
</t>
    </r>
  </si>
  <si>
    <r>
      <rPr>
        <sz val="11"/>
        <color rgb="FF000000"/>
        <rFont val="Verdana"/>
        <family val="2"/>
      </rPr>
      <t>For U.S.-based customers, backups never leave the institution's Data Zone.  Currently, Portfolium is only hosted within the U.S.</t>
    </r>
    <r>
      <rPr>
        <sz val="11"/>
        <color rgb="FF000000"/>
        <rFont val="Verdana"/>
        <family val="2"/>
      </rPr>
      <t xml:space="preserve">
</t>
    </r>
  </si>
  <si>
    <r>
      <rPr>
        <sz val="11"/>
        <color rgb="FF000000"/>
        <rFont val="Verdana"/>
        <family val="2"/>
      </rPr>
      <t>In alignment with ISO 27001 standards, when a storage device has reached the end of its useful life, AWS procedures include a decommissioning process that is designed to prevent customer data from being exposed to unauthorized individuals. AWS uses the techniques detailed in DoD 5220.22-M (“National Industrial Security Program Operating Manual “) or NIST 800-88 (“Guidelines for Media Sanitization”) to destroy data as part of the decommissioning process. If a hardware device is unable to be decommissioned using these procedures, the device will be degaussed or physically destroyed in accordance with industry-standard practices.</t>
    </r>
    <r>
      <rPr>
        <sz val="11"/>
        <color rgb="FF000000"/>
        <rFont val="Verdana"/>
        <family val="2"/>
      </rPr>
      <t xml:space="preserve">
</t>
    </r>
  </si>
  <si>
    <r>
      <rPr>
        <sz val="11"/>
        <color rgb="FF000000"/>
        <rFont val="Verdana"/>
        <family val="2"/>
      </rPr>
      <t>AWS uses the techniques detailed in DoD 5220.22-M (“National Industrial Security Program Operating Manual “) or NIST 800-88 (“Guidelines for Media Sanitization”) to destroy data as part of the decommissioning process.</t>
    </r>
    <r>
      <rPr>
        <sz val="11"/>
        <color rgb="FF000000"/>
        <rFont val="Verdana"/>
        <family val="2"/>
      </rPr>
      <t xml:space="preserve">
</t>
    </r>
  </si>
  <si>
    <r>
      <rPr>
        <sz val="11"/>
        <color rgb="FF000000"/>
        <rFont val="Verdana"/>
        <family val="2"/>
      </rPr>
      <t>Instructure has documented data retention and destruction policies in line with business and regulatory requirements. Instructure does not delete client data during the term of the agreement unless requested by an authorized contact at the institution, e.g. to meet data privacy requirements. For example, if a portfolio is created, it will remain in Portfolium as long as the account is active unless deleted or removed by an authorized user of the institution.</t>
    </r>
    <r>
      <rPr>
        <sz val="11"/>
        <color rgb="FF000000"/>
        <rFont val="Verdana"/>
        <family val="2"/>
      </rPr>
      <t xml:space="preserve">
</t>
    </r>
    <r>
      <rPr>
        <sz val="11"/>
        <color rgb="FF000000"/>
        <rFont val="Verdana"/>
        <family val="2"/>
      </rPr>
      <t xml:space="preserve">
In regards to backups, for services without a point-in-time restore option enabled, Instructure will retain backups (also known as ""snapshots"") for various periods of time--ultimately up to 12 months. We retain 4-hour snapshots (data backed up every four hours) for a 42 hour window, daily snapshots for a 60 day window, and monthly snapshots for a 12 month window.</t>
    </r>
    <r>
      <rPr>
        <sz val="11"/>
        <color rgb="FF000000"/>
        <rFont val="Verdana"/>
        <family val="2"/>
      </rPr>
      <t xml:space="preserve">
</t>
    </r>
    <r>
      <rPr>
        <sz val="11"/>
        <color rgb="FF000000"/>
        <rFont val="Verdana"/>
        <family val="2"/>
      </rPr>
      <t xml:space="preserve">
If point-in-time restore capabilities are enabled for a service, Instructure will determine the appropriate storage time for snapshot (backup) storage.</t>
    </r>
    <r>
      <rPr>
        <sz val="11"/>
        <color rgb="FF000000"/>
        <rFont val="Verdana"/>
        <family val="2"/>
      </rPr>
      <t xml:space="preserve">
</t>
    </r>
    <r>
      <rPr>
        <sz val="11"/>
        <color rgb="FF000000"/>
        <rFont val="Verdana"/>
        <family val="2"/>
      </rPr>
      <t xml:space="preserve">
Object data, like files, documents, uploaded media, etc., are recoverable (in the event of a deletion or modification) for a period of one year.</t>
    </r>
    <r>
      <rPr>
        <sz val="11"/>
        <color rgb="FF000000"/>
        <rFont val="Verdana"/>
        <family val="2"/>
      </rPr>
      <t xml:space="preserve">
</t>
    </r>
    <r>
      <rPr>
        <sz val="11"/>
        <color rgb="FF000000"/>
        <rFont val="Verdana"/>
        <family val="2"/>
      </rPr>
      <t xml:space="preserve">
AWS uses the techniques detailed in DoD 5220.22-M (“National Industrial Security Program Operating Manual “) or NIST 800-88 (“Guidelines for Media Sanitization”) to destroy data as part of the decommissioning process."</t>
    </r>
    <r>
      <rPr>
        <sz val="11"/>
        <color rgb="FF000000"/>
        <rFont val="Verdana"/>
        <family val="2"/>
      </rPr>
      <t xml:space="preserve">
</t>
    </r>
  </si>
  <si>
    <r>
      <rPr>
        <sz val="11"/>
        <color rgb="FF000000"/>
        <rFont val="Verdana"/>
        <family val="2"/>
      </rPr>
      <t>Media used for long-term retention of business data and archival purposes is stored within Amazon Web Services whose security and environmental protection is in line with ISO 27001 standards.</t>
    </r>
    <r>
      <rPr>
        <sz val="11"/>
        <color rgb="FF000000"/>
        <rFont val="Verdana"/>
        <family val="2"/>
      </rPr>
      <t xml:space="preserve">
</t>
    </r>
  </si>
  <si>
    <r>
      <rPr>
        <sz val="11"/>
        <color rgb="FF000000"/>
        <rFont val="Verdana"/>
        <family val="2"/>
      </rPr>
      <t xml:space="preserve">Portfolium is FERPA compliant.  Details can be found here: </t>
    </r>
    <r>
      <rPr>
        <sz val="11"/>
        <color rgb="FF000000"/>
        <rFont val="Verdana"/>
        <family val="2"/>
      </rPr>
      <t>https://portfolium.com/ferpa</t>
    </r>
    <r>
      <rPr>
        <sz val="11"/>
        <color rgb="FF000000"/>
        <rFont val="Verdana"/>
        <family val="2"/>
      </rPr>
      <t xml:space="preserve"> </t>
    </r>
    <r>
      <rPr>
        <sz val="11"/>
        <color rgb="FF000000"/>
        <rFont val="Verdana"/>
        <family val="2"/>
      </rPr>
      <t xml:space="preserve">
</t>
    </r>
  </si>
  <si>
    <r>
      <rPr>
        <sz val="11"/>
        <color rgb="FF000000"/>
        <rFont val="Verdana"/>
        <family val="2"/>
      </rPr>
      <t>As a cloud-native solution, Instructure hosts each client's Portfolium environment. Instructure's support and operations staff have access to client data for the purposes of delivering the service and providing troubleshooting/support per an agreement. This data is restricted to authorized personnel with appropriate legal and business justification. Safe guards are in place to ensure data can only be accessed by appropriate staff and permissions are audited regularly.</t>
    </r>
    <r>
      <rPr>
        <sz val="11"/>
        <color rgb="FF000000"/>
        <rFont val="Verdana"/>
        <family val="2"/>
      </rPr>
      <t xml:space="preserve">
</t>
    </r>
  </si>
  <si>
    <t>The disk is encrypted, also the passwords are salted and one way hashed. Everything is encrypted in transport.</t>
  </si>
  <si>
    <r>
      <rPr>
        <sz val="11"/>
        <color rgb="FF000000"/>
        <rFont val="Verdana"/>
        <family val="2"/>
      </rPr>
      <t>Portfolium uses Amazon Web Services' Relational Database Services which utilize the AES 256 encryption standard.</t>
    </r>
    <r>
      <rPr>
        <sz val="11"/>
        <color rgb="FF000000"/>
        <rFont val="Verdana"/>
        <family val="2"/>
      </rPr>
      <t xml:space="preserve">
</t>
    </r>
  </si>
  <si>
    <r>
      <rPr>
        <sz val="11"/>
        <color rgb="FF000000"/>
        <rFont val="Verdana"/>
        <family val="2"/>
      </rPr>
      <t>Data centers are owned and operated by Amazon Web Services (AWS) which is ISO/IEC 27001:2013 compliant. Detailed descriptions of hosting locations are not published by AWS; however, data for U.S. customers will be hosted in an AWS region within the United States.</t>
    </r>
    <r>
      <rPr>
        <sz val="11"/>
        <color rgb="FF000000"/>
        <rFont val="Verdana"/>
        <family val="2"/>
      </rPr>
      <t xml:space="preserve">
</t>
    </r>
  </si>
  <si>
    <r>
      <rPr>
        <sz val="11"/>
        <color rgb="FF000000"/>
        <rFont val="Verdana"/>
        <family val="2"/>
      </rPr>
      <t xml:space="preserve">Amazon Web Services (hosting provider) holds several SOC reports which can be accessed here: </t>
    </r>
    <r>
      <rPr>
        <sz val="11"/>
        <color rgb="FF000000"/>
        <rFont val="Verdana"/>
        <family val="2"/>
      </rPr>
      <t>https://aws.amazon.com/compliance/soc-faqs/</t>
    </r>
    <r>
      <rPr>
        <sz val="11"/>
        <color rgb="FF000000"/>
        <rFont val="Verdana"/>
        <family val="2"/>
      </rPr>
      <t xml:space="preserve"> </t>
    </r>
    <r>
      <rPr>
        <sz val="11"/>
        <color rgb="FF000000"/>
        <rFont val="Verdana"/>
        <family val="2"/>
      </rPr>
      <t xml:space="preserve">
</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</si>
  <si>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t>
    </r>
    <r>
      <rPr>
        <sz val="11"/>
        <color rgb="FF000000"/>
        <rFont val="Verdana"/>
        <family val="2"/>
      </rPr>
      <t xml:space="preserve">
</t>
    </r>
    <r>
      <rPr>
        <sz val="11"/>
        <color rgb="FF000000"/>
        <rFont val="Verdana"/>
        <family val="2"/>
      </rPr>
      <t xml:space="preserve">The data centers are operated in compliance with ISO27001 standards.  More details on AWS security procedures (including staffing details) can be found in the AWS Security White Paper located here: </t>
    </r>
    <r>
      <rPr>
        <sz val="11"/>
        <color rgb="FF000000"/>
        <rFont val="Verdana"/>
        <family val="2"/>
      </rPr>
      <t>﻿ (http://d0.awsstatic.com/whitepapers/Security/AWS%20Security%20Whitepaper.pdf)</t>
    </r>
    <r>
      <rPr>
        <sz val="11"/>
        <color rgb="FF000000"/>
        <rFont val="Verdana"/>
        <family val="2"/>
      </rPr>
      <t>﻿</t>
    </r>
    <r>
      <rPr>
        <sz val="11"/>
        <color rgb="FF000000"/>
        <rFont val="Verdana"/>
        <family val="2"/>
      </rPr>
      <t>https://d1.awsstatic.com/whitepapers/aws-security-whitepaper.pdf</t>
    </r>
    <r>
      <rPr>
        <sz val="11"/>
        <color rgb="FF000000"/>
        <rFont val="Verdana"/>
        <family val="2"/>
      </rPr>
      <t xml:space="preserve"> </t>
    </r>
    <r>
      <rPr>
        <sz val="11"/>
        <color rgb="FF000000"/>
        <rFont val="Verdana"/>
        <family val="2"/>
      </rPr>
      <t xml:space="preserve">
</t>
    </r>
  </si>
  <si>
    <r>
      <rPr>
        <sz val="11"/>
        <color rgb="FF000000"/>
        <rFont val="Verdana"/>
        <family val="2"/>
      </rPr>
      <t>Instructure products are native cloud-based products which do not rely on co-located data centers. The system utilizes the AWS networking schema and maintains co-location strategies via separate AWS physical regions.</t>
    </r>
    <r>
      <rPr>
        <sz val="11"/>
        <color rgb="FF000000"/>
        <rFont val="Verdana"/>
        <family val="2"/>
      </rPr>
      <t xml:space="preserve">
</t>
    </r>
  </si>
  <si>
    <r>
      <rPr>
        <sz val="11"/>
        <color rgb="FF000000"/>
        <rFont val="Verdana"/>
        <family val="2"/>
      </rPr>
      <t>Portfolium uses VPC networks provided by Amazon Web Services. Each AWS availability zone has multiple internet connections from tier one backbone providers.</t>
    </r>
    <r>
      <rPr>
        <sz val="11"/>
        <color rgb="FF000000"/>
        <rFont val="Verdana"/>
        <family val="2"/>
      </rPr>
      <t xml:space="preserve">
</t>
    </r>
  </si>
  <si>
    <r>
      <rPr>
        <sz val="11"/>
        <color rgb="FF000000"/>
        <rFont val="Verdana"/>
        <family val="2"/>
      </rPr>
      <t>All U.S. customers are hosted within data centers located within the U.S.</t>
    </r>
    <r>
      <rPr>
        <sz val="11"/>
        <color rgb="FF000000"/>
        <rFont val="Verdana"/>
        <family val="2"/>
      </rPr>
      <t xml:space="preserve">
</t>
    </r>
  </si>
  <si>
    <r>
      <rPr>
        <sz val="11"/>
        <color rgb="FF000000"/>
        <rFont val="Verdana"/>
        <family val="2"/>
      </rPr>
      <t>Institution data for U.S.-based customers will never leave the institutional data zone (U.S.A.)</t>
    </r>
    <r>
      <rPr>
        <sz val="11"/>
        <color rgb="FF000000"/>
        <rFont val="Verdana"/>
        <family val="2"/>
      </rPr>
      <t xml:space="preserve">
</t>
    </r>
  </si>
  <si>
    <r>
      <rPr>
        <sz val="11"/>
        <color rgb="FF000000"/>
        <rFont val="Verdana"/>
        <family val="2"/>
      </rPr>
      <t>Portfolium customer data will be primarily stored in either the AWS US East region within a multi-AZ (Availability Zone) deployment.  Each availability zone contains a datacenter which is geographically separate from other zones.</t>
    </r>
    <r>
      <rPr>
        <sz val="11"/>
        <color rgb="FF000000"/>
        <rFont val="Verdana"/>
        <family val="2"/>
      </rPr>
      <t xml:space="preserve">
</t>
    </r>
  </si>
  <si>
    <r>
      <rPr>
        <sz val="11"/>
        <color rgb="FF000000"/>
        <rFont val="Verdana"/>
        <family val="2"/>
      </rPr>
      <t>Instructure has complete control over the data hosting model. All data resides within the U.S.</t>
    </r>
    <r>
      <rPr>
        <sz val="11"/>
        <color rgb="FF000000"/>
        <rFont val="Verdana"/>
        <family val="2"/>
      </rPr>
      <t xml:space="preserve">
</t>
    </r>
  </si>
  <si>
    <r>
      <rPr>
        <sz val="11"/>
        <color rgb="FF000000"/>
        <rFont val="Verdana"/>
        <family val="2"/>
      </rPr>
      <t>Quote from AWS: "AWS operates our data centers in alignment with the Tier III+ guidelines, but we have chosen not to have a certified Uptime Institute based tiering level so that we have more flexibility to expand and improve performance. AWS' approach to infrastructure performance acknowledges the Uptime Institute's Tiering guidelines and applies them to our global data center infrastructure design to ensure the highest level of performance and availability for our customers. AWS then improves on the guidelines provided by the Uptime Institute to scale for global operations and produce an operating outcome for availability and performance that far exceeds that which would be achieved through the Uptime Institute tiering guidelines alone. Although we do not claim alignment with Tier 4, we can ensure that our systems have a fault tolerant sequence of operations with self-correcting mitigations in place."</t>
    </r>
    <r>
      <rPr>
        <sz val="11"/>
        <color rgb="FF000000"/>
        <rFont val="Verdana"/>
        <family val="2"/>
      </rPr>
      <t xml:space="preserve">
</t>
    </r>
  </si>
  <si>
    <r>
      <rPr>
        <sz val="11"/>
        <color rgb="FF000000"/>
        <rFont val="Verdana"/>
        <family val="2"/>
      </rPr>
      <t>The Portfolium platform is hosted in a high availability environment provided by Amazon Web Services. Services used by Portfolium include Elastic Compute Cloud (EC2), Elastic Load Balancing (ELB), Auto Scaling Groups (ASG), Simple Storage Service (S3), Virtual Private Cloud (VPC), Simple Email Service (SES), and several others. The Portfolium application is designed to make full use of the real-time redundancy and capacity capabilities offered by AWS, running across multiple availability zones. Primary storage is provided by Amazon S3, which is designed for durability exceeding 99.99999999%.</t>
    </r>
    <r>
      <rPr>
        <sz val="11"/>
        <color rgb="FF000000"/>
        <rFont val="Verdana"/>
        <family val="2"/>
      </rPr>
      <t xml:space="preserve">
</t>
    </r>
  </si>
  <si>
    <r>
      <rPr>
        <sz val="11"/>
        <color rgb="FF000000"/>
        <rFont val="Verdana"/>
        <family val="2"/>
      </rPr>
      <t>AWS's data center electrical power systems are designed to be fully redundant and maintainable without impact to operations, 24 hours a day, and seven days a week. Uninterruptible Power Supply (UPS) units provide back-up power in the event of an electrical failure for critical and essential loads in the facility. Data centers use generators to provide back-up power for the entire facility.</t>
    </r>
    <r>
      <rPr>
        <sz val="11"/>
        <color rgb="FF000000"/>
        <rFont val="Verdana"/>
        <family val="2"/>
      </rPr>
      <t xml:space="preserve">
</t>
    </r>
  </si>
  <si>
    <r>
      <rPr>
        <sz val="11"/>
        <color rgb="FF000000"/>
        <rFont val="Verdana"/>
        <family val="2"/>
      </rPr>
      <t>As described in AWS's Security Whitepaper: "AWS’s data centers are state of the art, utilizing innovative architectural and engineering approaches. Amazon has many years of experience in designing, constructing, and operating large-scale data centers.</t>
    </r>
    <r>
      <rPr>
        <sz val="11"/>
        <color rgb="FF000000"/>
        <rFont val="Verdana"/>
        <family val="2"/>
      </rPr>
      <t xml:space="preserve">
</t>
    </r>
    <r>
      <rPr>
        <sz val="11"/>
        <color rgb="FF000000"/>
        <rFont val="Verdana"/>
        <family val="2"/>
      </rPr>
      <t>Although the frequency of testing for redundant power strategies is not specifically disclosed, you can move forward with confidence knowing the systems storing your data are being run by the best, most-advanced technologies in the industry. As described in the requirement above, AWS data centers use generators to provide back-up power for their facilities. For additional information, please visit https://aws.amazon.com/security/."</t>
    </r>
    <r>
      <rPr>
        <sz val="11"/>
        <color rgb="FF000000"/>
        <rFont val="Verdana"/>
        <family val="2"/>
      </rPr>
      <t xml:space="preserve">
</t>
    </r>
  </si>
  <si>
    <r>
      <rPr>
        <sz val="11"/>
        <color rgb="FF000000"/>
        <rFont val="Verdana"/>
        <family val="2"/>
      </rPr>
      <t>Our DRP has been included along with this document.</t>
    </r>
    <r>
      <rPr>
        <sz val="11"/>
        <color rgb="FF000000"/>
        <rFont val="Verdana"/>
        <family val="2"/>
      </rPr>
      <t xml:space="preserve">
</t>
    </r>
  </si>
  <si>
    <r>
      <rPr>
        <sz val="11"/>
        <color rgb="FF000000"/>
        <rFont val="Verdana"/>
        <family val="2"/>
      </rPr>
      <t>Portfolium contains DR locations outside of our main operating zone of us-east-1; in the event of a disaster within that region - all services/data can be relocated to numerous active regions within the AWS infrastructure.</t>
    </r>
    <r>
      <rPr>
        <sz val="11"/>
        <color rgb="FF000000"/>
        <rFont val="Verdana"/>
        <family val="2"/>
      </rPr>
      <t xml:space="preserve">
</t>
    </r>
  </si>
  <si>
    <r>
      <rPr>
        <sz val="11"/>
        <color rgb="FF000000"/>
        <rFont val="Verdana"/>
        <family val="2"/>
      </rPr>
      <t>We leverage disaster recovery sites made available by hosting with AWS. All data is written to multiple disks instantly, backed up daily, and stored in multiple geographical locations.</t>
    </r>
    <r>
      <rPr>
        <sz val="11"/>
        <color rgb="FF000000"/>
        <rFont val="Verdana"/>
        <family val="2"/>
      </rPr>
      <t xml:space="preserve">
</t>
    </r>
    <r>
      <rPr>
        <sz val="11"/>
        <color rgb="FF000000"/>
        <rFont val="Verdana"/>
        <family val="2"/>
      </rPr>
      <t>Portfolium is hosted at AWS in the US-EAST-1 Data Center (IAD). At the infrastructure level, we utilize Availability Zones (AZ) within the data center to ensure each layer of our application doesn’t contain a single-point-of-failure. For the application layer, both WEB and API layers are stateless, and hold no persisted information important to the server itself. Thus, if a server/layer goes down, it is removed from the load balancer and service is continued as usual. For a catastrophic event, our database is securely backed up and distributed to different AWS regions around the world daily with the availability to do a point in time restore.</t>
    </r>
    <r>
      <rPr>
        <sz val="11"/>
        <color rgb="FF000000"/>
        <rFont val="Verdana"/>
        <family val="2"/>
      </rPr>
      <t xml:space="preserve">
</t>
    </r>
    <r>
      <rPr>
        <sz val="11"/>
        <color rgb="FF000000"/>
        <rFont val="Verdana"/>
        <family val="2"/>
      </rPr>
      <t>Per AWS, they will use commercially reasonable efforts to make the services used by Portfolium, including EC2 and EBS, available for each AWS region with a Monthly Uptime Percentage of at least 99.99%.</t>
    </r>
    <r>
      <rPr>
        <sz val="11"/>
        <color rgb="FF000000"/>
        <rFont val="Verdana"/>
        <family val="2"/>
      </rPr>
      <t xml:space="preserve">
</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</si>
  <si>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t>
    </r>
    <r>
      <rPr>
        <sz val="11"/>
        <color rgb="FF000000"/>
        <rFont val="Verdana"/>
        <family val="2"/>
      </rPr>
      <t xml:space="preserve">
</t>
    </r>
  </si>
  <si>
    <r>
      <rPr>
        <sz val="11"/>
        <color rgb="FF000000"/>
        <rFont val="Verdana"/>
        <family val="2"/>
      </rPr>
      <t>The incident response officer is responsible for making sure the DRT and any other necessary staff are notified of a disaster event and mobilized. Notification of staff will generally happen via cell phone.</t>
    </r>
    <r>
      <rPr>
        <sz val="11"/>
        <color rgb="FF000000"/>
        <rFont val="Verdana"/>
        <family val="2"/>
      </rPr>
      <t xml:space="preserve">
</t>
    </r>
    <r>
      <rPr>
        <sz val="11"/>
        <color rgb="FF000000"/>
        <rFont val="Verdana"/>
        <family val="2"/>
      </rPr>
      <t>Clients and business partners will be notified at various stages of disaster recovery using email and our official status page. If these methods are unavailable, notification will happen via alternative means (cell phone, etc.) as provided by each client institution.</t>
    </r>
    <r>
      <rPr>
        <sz val="11"/>
        <color rgb="FF000000"/>
        <rFont val="Verdana"/>
        <family val="2"/>
      </rPr>
      <t xml:space="preserve">
</t>
    </r>
  </si>
  <si>
    <r>
      <rPr>
        <sz val="11"/>
        <color rgb="FF000000"/>
        <rFont val="Verdana"/>
        <family val="2"/>
      </rPr>
      <t>Portfolium's Disaster Recovery Plan has been tested in the last year. Our test uses ready to go, or "hot", production instances in a geographically separate AWS region. These instances are synced from live production databases for superior recovery in the event of a disaster.</t>
    </r>
    <r>
      <rPr>
        <sz val="11"/>
        <color rgb="FF000000"/>
        <rFont val="Verdana"/>
        <family val="2"/>
      </rPr>
      <t xml:space="preserve">
</t>
    </r>
  </si>
  <si>
    <r>
      <rPr>
        <sz val="11"/>
        <color rgb="FF000000"/>
        <rFont val="Verdana"/>
        <family val="2"/>
      </rPr>
      <t>Portfolium will use all commercially reasonable efforts available to restore service within 48 hours. This is the case only in the most catastrophic events, such as the loss of an entire AWS region. We maintain a 99.9% uptime SLA and have structured our application infrastructure to support this even in the event of a disaster.</t>
    </r>
    <r>
      <rPr>
        <sz val="11"/>
        <color rgb="FF000000"/>
        <rFont val="Verdana"/>
        <family val="2"/>
      </rPr>
      <t xml:space="preserve">
</t>
    </r>
  </si>
  <si>
    <r>
      <rPr>
        <sz val="11"/>
        <color rgb="FF000000"/>
        <rFont val="Verdana"/>
        <family val="2"/>
      </rPr>
      <t>Portfolium's DRP is reviewed in its entirety at least annually and updated to reflect any changes needed.</t>
    </r>
    <r>
      <rPr>
        <sz val="11"/>
        <color rgb="FF000000"/>
        <rFont val="Verdana"/>
        <family val="2"/>
      </rPr>
      <t xml:space="preserve">
</t>
    </r>
  </si>
  <si>
    <r>
      <rPr>
        <sz val="11"/>
        <color rgb="FF000000"/>
        <rFont val="Verdana"/>
        <family val="2"/>
      </rPr>
      <t>Instructure’s general liability insurance includes Cyber Errors &amp; Omissions coverage (referred to as "Professional Errors &amp; Omission"). Instructure’s certificate of liability insurance can be provided with this documentation.</t>
    </r>
    <r>
      <rPr>
        <sz val="11"/>
        <color rgb="FF000000"/>
        <rFont val="Verdana"/>
        <family val="2"/>
      </rPr>
      <t xml:space="preserve">
</t>
    </r>
  </si>
  <si>
    <r>
      <rPr>
        <sz val="11"/>
        <color rgb="FF000000"/>
        <rFont val="Verdana"/>
        <family val="2"/>
      </rPr>
      <t>Amazon Web Services (AWS), which the Portfolium infrastructure is built on, provides built-in firewalls to protect network data. Additionally, Application and Database server connections occur over a heavily firewalled virtual network using AWS Security Group Firewall. AWS includes firewalls and other boundary devices that are in place to monitor and control communications at the external boundary of the network and at key internal boundaries within the network.</t>
    </r>
    <r>
      <rPr>
        <sz val="11"/>
        <color rgb="FF000000"/>
        <rFont val="Verdana"/>
        <family val="2"/>
      </rPr>
      <t xml:space="preserve">
</t>
    </r>
  </si>
  <si>
    <r>
      <rPr>
        <sz val="11"/>
        <color rgb="FF000000"/>
        <rFont val="Verdana"/>
        <family val="2"/>
      </rPr>
      <t xml:space="preserve">Portfolium does not use a stateful packet inspection (SPI). Prevention methods are in place, however, through best code development practices and external tools like Cloudflare, to prevent and disallow malicious or unauthorized network traffic and connections. </t>
    </r>
    <r>
      <rPr>
        <sz val="11"/>
        <color rgb="FF000000"/>
        <rFont val="Verdana"/>
        <family val="2"/>
      </rPr>
      <t xml:space="preserve">
</t>
    </r>
  </si>
  <si>
    <r>
      <rPr>
        <sz val="11"/>
        <color rgb="FF000000"/>
        <rFont val="Verdana"/>
        <family val="2"/>
      </rPr>
      <t>Portfolium has an internal Security Patching Policy and Process document which provides requirements for any changes to the infrastructure. This document can be made available upon request.</t>
    </r>
    <r>
      <rPr>
        <sz val="11"/>
        <color rgb="FF000000"/>
        <rFont val="Verdana"/>
        <family val="2"/>
      </rPr>
      <t xml:space="preserve">
</t>
    </r>
  </si>
  <si>
    <r>
      <rPr>
        <sz val="11"/>
        <color rgb="FF000000"/>
        <rFont val="Verdana"/>
        <family val="2"/>
      </rPr>
      <t xml:space="preserve">While we have not implemented an IDS/IPS directly, we use intrusion prevention methods to secure Portfolium's network. This includes disabling SSH on every machine and only allowing access on port 80. Our Operations team utilizes a bastion host for accessing the network. The network can only be accessed through SSH (port 22), and keys are configured using AWS OpsWorks. </t>
    </r>
    <r>
      <rPr>
        <sz val="11"/>
        <color rgb="FF000000"/>
        <rFont val="Verdana"/>
        <family val="2"/>
      </rPr>
      <t xml:space="preserve">
</t>
    </r>
    <r>
      <rPr>
        <sz val="11"/>
        <color rgb="FF000000"/>
        <rFont val="Verdana"/>
        <family val="2"/>
      </rPr>
      <t>Additionally, AWS's Elastic Cloud Computing (EC2) service offers key features to help protect Portfolium's EC2 instances. This includes alerting administrators of malicious activity and policy violations, as well as identifying and taking action against attacks.</t>
    </r>
    <r>
      <rPr>
        <sz val="11"/>
        <color rgb="FF000000"/>
        <rFont val="Verdana"/>
        <family val="2"/>
      </rPr>
      <t xml:space="preserve">
</t>
    </r>
  </si>
  <si>
    <r>
      <rPr>
        <sz val="11"/>
        <color rgb="FF000000"/>
        <rFont val="Verdana"/>
        <family val="2"/>
      </rPr>
      <t>Portfolium has implemented AWS's IDS/IDP solution, GuardDuty.</t>
    </r>
    <r>
      <rPr>
        <sz val="11"/>
        <color rgb="FF000000"/>
        <rFont val="Verdana"/>
        <family val="2"/>
      </rPr>
      <t xml:space="preserve">
</t>
    </r>
  </si>
  <si>
    <r>
      <rPr>
        <sz val="11"/>
        <color rgb="FF000000"/>
        <rFont val="Verdana"/>
        <family val="2"/>
      </rPr>
      <t>Please refer to Portfolium's implemented intrusion protections listed above in items FIDP-05 and FIDP-06.</t>
    </r>
    <r>
      <rPr>
        <sz val="11"/>
        <color rgb="FF000000"/>
        <rFont val="Verdana"/>
        <family val="2"/>
      </rPr>
      <t xml:space="preserve">
</t>
    </r>
  </si>
  <si>
    <r>
      <rPr>
        <sz val="11"/>
        <color rgb="FF000000"/>
        <rFont val="Verdana"/>
        <family val="2"/>
      </rPr>
      <t>Portfolium is currently implementing AWS GuardDuty for NGPT monitoring and will will be feature-complete early in Q3 of 2019.</t>
    </r>
    <r>
      <rPr>
        <sz val="11"/>
        <color rgb="FF000000"/>
        <rFont val="Verdana"/>
        <family val="2"/>
      </rPr>
      <t xml:space="preserve">
</t>
    </r>
  </si>
  <si>
    <r>
      <rPr>
        <sz val="11"/>
        <color rgb="FF000000"/>
        <rFont val="Verdana"/>
        <family val="2"/>
      </rPr>
      <t>AWS's built-in threat monitoring is always active. Portfolium also utilizes Cobalt for frequent penetration testing and security monitoring. CloudFlare is the industry leader in the public intrusion space and constantly and consistently audits Portfolium public traffic.</t>
    </r>
    <r>
      <rPr>
        <sz val="11"/>
        <color rgb="FF000000"/>
        <rFont val="Verdana"/>
        <family val="2"/>
      </rPr>
      <t xml:space="preserve">
</t>
    </r>
  </si>
  <si>
    <r>
      <rPr>
        <sz val="11"/>
        <color rgb="FF000000"/>
        <rFont val="Verdana"/>
        <family val="2"/>
      </rPr>
      <t>Audit logs of any modifications to network, firewall, IDS/IPS, etc. are maintained and stored in version control. Logs are available to Portfolium's internal security team for investigative purposes when needed.</t>
    </r>
    <r>
      <rPr>
        <sz val="11"/>
        <color rgb="FF000000"/>
        <rFont val="Verdana"/>
        <family val="2"/>
      </rPr>
      <t xml:space="preserve">
</t>
    </r>
  </si>
  <si>
    <r>
      <rPr>
        <sz val="11"/>
        <color rgb="FF000000"/>
        <rFont val="Verdana"/>
        <family val="2"/>
      </rPr>
      <t>Mobile applications are available in the Google Play Store and Apple's App Store.</t>
    </r>
    <r>
      <rPr>
        <sz val="11"/>
        <color rgb="FF000000"/>
        <rFont val="Verdana"/>
        <family val="2"/>
      </rPr>
      <t xml:space="preserve">
</t>
    </r>
  </si>
  <si>
    <r>
      <rPr>
        <sz val="11"/>
        <color rgb="FF000000"/>
        <rFont val="Verdana"/>
        <family val="2"/>
      </rPr>
      <t>Portfolium stores and processes limited critical data. The only requirement to access and use Portfolium is an email address and birthdate (required through public account creation only to ensure compliance with COPPA regulations). Other optional data that can be entered into Portfolium by a user or institution includes: name, birthday, phone number, gender, and race (school provided only).</t>
    </r>
    <r>
      <rPr>
        <sz val="11"/>
        <color rgb="FF000000"/>
        <rFont val="Verdana"/>
        <family val="2"/>
      </rPr>
      <t xml:space="preserve">
</t>
    </r>
    <r>
      <rPr>
        <sz val="11"/>
        <color rgb="FF000000"/>
        <rFont val="Verdana"/>
        <family val="2"/>
      </rPr>
      <t>Portfolium has securities in place to ensure the protection of user data. These protections are outlined throughout this document.</t>
    </r>
    <r>
      <rPr>
        <sz val="11"/>
        <color rgb="FF000000"/>
        <rFont val="Verdana"/>
        <family val="2"/>
      </rPr>
      <t xml:space="preserve">
</t>
    </r>
  </si>
  <si>
    <r>
      <rPr>
        <sz val="11"/>
        <color rgb="FF000000"/>
        <rFont val="Verdana"/>
        <family val="2"/>
      </rPr>
      <t xml:space="preserve">Everything in transit is encrypted over HTTPS with an SSL cert using the TLS v1.2 standards. </t>
    </r>
    <r>
      <rPr>
        <sz val="11"/>
        <color rgb="FF000000"/>
        <rFont val="Verdana"/>
        <family val="2"/>
      </rPr>
      <t xml:space="preserve">
</t>
    </r>
  </si>
  <si>
    <r>
      <rPr>
        <sz val="11"/>
        <color rgb="FF000000"/>
        <rFont val="Verdana"/>
        <family val="2"/>
      </rPr>
      <t>The only sensitive data stored by Portfolium is passwords which are salted and one way hashed. Data at rest is further encrypted on disk as stated within this document.</t>
    </r>
    <r>
      <rPr>
        <sz val="11"/>
        <color rgb="FF000000"/>
        <rFont val="Verdana"/>
        <family val="2"/>
      </rPr>
      <t xml:space="preserve">
</t>
    </r>
  </si>
  <si>
    <r>
      <rPr>
        <sz val="11"/>
        <color rgb="FF000000"/>
        <rFont val="Verdana"/>
        <family val="2"/>
      </rPr>
      <t>Users authenticate against Portfolium's built-in authentication or through an integrated identity provider (e.g. CAS, AD, LDAP, SAML, etc.).</t>
    </r>
    <r>
      <rPr>
        <sz val="11"/>
        <color rgb="FF000000"/>
        <rFont val="Verdana"/>
        <family val="2"/>
      </rPr>
      <t xml:space="preserve">
</t>
    </r>
  </si>
  <si>
    <r>
      <rPr>
        <sz val="11"/>
        <color rgb="FF000000"/>
        <rFont val="Verdana"/>
        <family val="2"/>
      </rPr>
      <t>If referring to authentication systems, identity providers (excluding Portfolium's internal authentication service) such as CAS or Active Directory are hosted on systems external from the Portfolium application and are managed by each client organization.
If referring to the mobile application, Portfolium's mobile app is a multi-tenant system meaning users will only have to download a single app that is shared among all Portfolium clients. Data is logically segmented via Portfolium's architecture and users will only have access to content based on their roles, permissions, and environment.</t>
    </r>
    <r>
      <rPr>
        <sz val="11"/>
        <color rgb="FF000000"/>
        <rFont val="Verdana"/>
        <family val="2"/>
      </rPr>
      <t xml:space="preserve">
</t>
    </r>
  </si>
  <si>
    <r>
      <rPr>
        <sz val="11"/>
        <color rgb="FF000000"/>
        <rFont val="Verdana"/>
        <family val="2"/>
      </rPr>
      <t>The Portfolium stack is hosted within AWS and adheres to all security and protocols protected therein. Portfolium software is developed with strict security in mind and utilizes various techniques and procedures to maintain a safe environment, ie; CSRF, XSS Filtering, ActiveRecord sanitization; all servers and instances are mirrored from AWS images which have been validated for security and the latest patches. All code developed by Portfolium developers is Reviewed and spun through a complete CI/CD pipeline for adherence before being posted to Quality Assurance.</t>
    </r>
    <r>
      <rPr>
        <sz val="11"/>
        <color rgb="FF000000"/>
        <rFont val="Verdana"/>
        <family val="2"/>
      </rPr>
      <t xml:space="preserve">
</t>
    </r>
  </si>
  <si>
    <r>
      <rPr>
        <sz val="11"/>
        <color rgb="FF000000"/>
        <rFont val="Verdana"/>
        <family val="2"/>
      </rPr>
      <t>Portfolium utilizes Cobalt for third-party testing. Results of the most recent test can be made available upon request.</t>
    </r>
    <r>
      <rPr>
        <sz val="11"/>
        <color rgb="FF000000"/>
        <rFont val="Verdana"/>
        <family val="2"/>
      </rPr>
      <t xml:space="preserve">
</t>
    </r>
  </si>
  <si>
    <r>
      <rPr>
        <sz val="11"/>
        <color rgb="FF000000"/>
        <rFont val="Verdana"/>
        <family val="2"/>
      </rPr>
      <t>Customer data is stored at Amazon Web Services (AWS) data centers. These are housed in undisclosed facilities.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center floors. All visitors and contractors are required to present identification and are signed in and continually escorted by authorized staff. Further information can be found in their security whitepaper: https://d1.awsstatic.com/whitepapers/aws-security-whitepaper.pdf.</t>
    </r>
    <r>
      <rPr>
        <sz val="11"/>
        <color rgb="FF000000"/>
        <rFont val="Verdana"/>
        <family val="2"/>
      </rPr>
      <t xml:space="preserve">
</t>
    </r>
    <r>
      <rPr>
        <sz val="11"/>
        <color rgb="FF000000"/>
        <rFont val="Verdana"/>
        <family val="2"/>
      </rPr>
      <t>At Instructure headquarters, where no client data is stored, guests must check in with reception and be escorted by an employee during their visit. Access to other areas of the offices are locked with key fobs possessed by Instructure employees. Instructure's office employ electronic key access and physical key access to secure areas.</t>
    </r>
    <r>
      <rPr>
        <sz val="11"/>
        <color rgb="FF000000"/>
        <rFont val="Verdana"/>
        <family val="2"/>
      </rPr>
      <t xml:space="preserve">
</t>
    </r>
  </si>
  <si>
    <r>
      <rPr>
        <sz val="11"/>
        <color rgb="FF000000"/>
        <rFont val="Verdana"/>
        <family val="2"/>
      </rPr>
      <t>Portfolium employees may have access to client data remotely in order perform their duties. As part of our commitment to security, however, we are dedicated to keeping our employees up-to-date and informed of the latest industry developments and practices. This includes ongoing training, as well as a documented approach to onboarding which requires all new employees to read, understand, and sign applicable policies.</t>
    </r>
    <r>
      <rPr>
        <sz val="11"/>
        <color rgb="FF000000"/>
        <rFont val="Verdana"/>
        <family val="2"/>
      </rPr>
      <t xml:space="preserve">
</t>
    </r>
    <r>
      <rPr>
        <sz val="11"/>
        <color rgb="FF000000"/>
        <rFont val="Verdana"/>
        <family val="2"/>
      </rPr>
      <t>Moreover, Portfolium's information security policies address acceptable use for computers, email, and the internet by employees, and employees take an annual security training that explains employee responsibilities for maintaining a safe and secure working environment.</t>
    </r>
    <r>
      <rPr>
        <sz val="11"/>
        <color rgb="FF000000"/>
        <rFont val="Verdana"/>
        <family val="2"/>
      </rPr>
      <t xml:space="preserve">
</t>
    </r>
    <r>
      <rPr>
        <sz val="11"/>
        <color rgb="FF000000"/>
        <rFont val="Verdana"/>
        <family val="2"/>
      </rPr>
      <t>Lastly, permission and access is granted on a least-privilege basis. This means only employees with a justifiable business case and appropriate approvals can access the appropriate data to perform their job duties and to deliver the Portfolium service.</t>
    </r>
    <r>
      <rPr>
        <sz val="11"/>
        <color rgb="FF000000"/>
        <rFont val="Verdana"/>
        <family val="2"/>
      </rPr>
      <t xml:space="preserve">
</t>
    </r>
  </si>
  <si>
    <r>
      <rPr>
        <sz val="11"/>
        <color rgb="FF000000"/>
        <rFont val="Verdana"/>
        <family val="2"/>
      </rPr>
      <t>Retention of video feeds is done by both Amazon Web Services (AWS) and Instructure.</t>
    </r>
    <r>
      <rPr>
        <sz val="11"/>
        <color rgb="FF000000"/>
        <rFont val="Verdana"/>
        <family val="2"/>
      </rPr>
      <t xml:space="preserve"> </t>
    </r>
    <r>
      <rPr>
        <sz val="11"/>
        <color rgb="FF000000"/>
        <rFont val="Verdana"/>
        <family val="2"/>
      </rPr>
      <t xml:space="preserve">
</t>
    </r>
    <r>
      <rPr>
        <b/>
        <sz val="11"/>
        <color rgb="FF000000"/>
        <rFont val="Verdana"/>
        <family val="2"/>
      </rPr>
      <t>AWS</t>
    </r>
    <r>
      <rPr>
        <sz val="11"/>
        <color rgb="FF000000"/>
        <rFont val="Verdana"/>
        <family val="2"/>
      </rPr>
      <t>, who provides the data centers and architecture for Portfolium, is in compliance with ISO 27001 standards and maintains security organizational controls as demonstrated in its SOC 2 report. Professional security staff utilize video surveillance, intrusion detection systems, and other electronic means. AWS retains images according to legal and compliance requirements. For additional information, please visit https://aws.amazon.com/security/.</t>
    </r>
    <r>
      <rPr>
        <sz val="11"/>
        <color rgb="FF000000"/>
        <rFont val="Verdana"/>
        <family val="2"/>
      </rPr>
      <t xml:space="preserve">
</t>
    </r>
    <r>
      <rPr>
        <b/>
        <sz val="11"/>
        <color rgb="FF000000"/>
        <rFont val="Verdana"/>
        <family val="2"/>
      </rPr>
      <t>Instructure</t>
    </r>
    <r>
      <rPr>
        <sz val="11"/>
        <color rgb="FF000000"/>
        <rFont val="Verdana"/>
        <family val="2"/>
      </rPr>
      <t xml:space="preserve"> retains surveillance video for at least 2 weeks.</t>
    </r>
    <r>
      <rPr>
        <sz val="11"/>
        <color rgb="FF000000"/>
        <rFont val="Verdana"/>
        <family val="2"/>
      </rPr>
      <t xml:space="preserve">
</t>
    </r>
  </si>
  <si>
    <r>
      <rPr>
        <sz val="11"/>
        <color rgb="FF000000"/>
        <rFont val="Verdana"/>
        <family val="2"/>
      </rPr>
      <t xml:space="preserve">AWS is in compliance with ISO 27001 standards and maintains security organizational controls as demonstrated in its SOC 2 report. Professional security staff utilize video surveillance, intrusion detection systems, and other electronic means. AWS retains images according to legal and compliance requirements. For additional information, please visit https://aws.amazon.com/security/.
</t>
    </r>
    <r>
      <rPr>
        <sz val="11"/>
        <color rgb="FF000000"/>
        <rFont val="Verdana"/>
        <family val="2"/>
      </rPr>
      <t xml:space="preserve">
</t>
    </r>
    <r>
      <rPr>
        <sz val="11"/>
        <color rgb="FF000000"/>
        <rFont val="Verdana"/>
        <family val="2"/>
      </rPr>
      <t>Instructure video feed archives are reviewed when the need is presented.</t>
    </r>
    <r>
      <rPr>
        <sz val="11"/>
        <color rgb="FF000000"/>
        <rFont val="Verdana"/>
        <family val="2"/>
      </rPr>
      <t xml:space="preserve">
</t>
    </r>
  </si>
  <si>
    <r>
      <rPr>
        <sz val="11"/>
        <color rgb="FF000000"/>
        <rFont val="Verdana"/>
        <family val="2"/>
      </rPr>
      <t>Within AWS data centers, all visitors and contractors are required to present identification. Visitors are signed in and continually escorted by authorized staff.</t>
    </r>
    <r>
      <rPr>
        <sz val="11"/>
        <color rgb="FF000000"/>
        <rFont val="Verdana"/>
        <family val="2"/>
      </rPr>
      <t xml:space="preserve">
</t>
    </r>
    <r>
      <rPr>
        <sz val="11"/>
        <color rgb="FF000000"/>
        <rFont val="Verdana"/>
        <family val="2"/>
      </rPr>
      <t>All visitors to Instructure offices are required to sign in/out regardless of purpose of visit. Employees are required to sign out any equipment that is not formally assigned to them.</t>
    </r>
    <r>
      <rPr>
        <sz val="11"/>
        <color rgb="FF000000"/>
        <rFont val="Verdana"/>
        <family val="2"/>
      </rPr>
      <t xml:space="preserve">
</t>
    </r>
  </si>
  <si>
    <r>
      <rPr>
        <sz val="11"/>
        <color rgb="FF000000"/>
        <rFont val="Verdana"/>
        <family val="2"/>
      </rPr>
      <t>Portfolium’s Security Staff is headed by Chief Information Officer, overseeing two Product Managers, that oversee multiple Engineers and QA Specialists.</t>
    </r>
    <r>
      <rPr>
        <sz val="11"/>
        <color rgb="FF000000"/>
        <rFont val="Verdana"/>
        <family val="2"/>
      </rPr>
      <t xml:space="preserve">
</t>
    </r>
  </si>
  <si>
    <r>
      <rPr>
        <sz val="11"/>
        <color rgb="FF000000"/>
        <rFont val="Verdana"/>
        <family val="2"/>
      </rPr>
      <t>Portfolium patches are handled as any other release. CICD, Quality Assurance, and code-review must all be passed and a tag is added with the required fixes/patches.</t>
    </r>
    <r>
      <rPr>
        <sz val="11"/>
        <color rgb="FF000000"/>
        <rFont val="Verdana"/>
        <family val="2"/>
      </rPr>
      <t xml:space="preserve">
</t>
    </r>
  </si>
  <si>
    <r>
      <rPr>
        <sz val="11"/>
        <color rgb="FF000000"/>
        <rFont val="Verdana"/>
        <family val="2"/>
      </rPr>
      <t>Portfolium currently encrypts data traffic while in transit from the client to our platform and while at rest within the database.</t>
    </r>
    <r>
      <rPr>
        <sz val="11"/>
        <color rgb="FF000000"/>
        <rFont val="Verdana"/>
        <family val="2"/>
      </rPr>
      <t xml:space="preserve">
</t>
    </r>
    <r>
      <rPr>
        <sz val="11"/>
        <color rgb="FF000000"/>
        <rFont val="Verdana"/>
        <family val="2"/>
      </rPr>
      <t>All data traffic in and out of Portfolium is encrypted using TLS. All inbound and outbound traffic is encrypted to ensure that all personally-identifiable information, credentials exchange, page requests, and session data are secure.</t>
    </r>
    <r>
      <rPr>
        <sz val="11"/>
        <color rgb="FF000000"/>
        <rFont val="Verdana"/>
        <family val="2"/>
      </rPr>
      <t xml:space="preserve">
</t>
    </r>
    <r>
      <rPr>
        <sz val="11"/>
        <color rgb="FF000000"/>
        <rFont val="Verdana"/>
        <family val="2"/>
      </rPr>
      <t>At rest, Portfolium data is protected within RDS using the AES-256 encryption standard.</t>
    </r>
    <r>
      <rPr>
        <sz val="11"/>
        <color rgb="FF000000"/>
        <rFont val="Verdana"/>
        <family val="2"/>
      </rPr>
      <t xml:space="preserve">
</t>
    </r>
  </si>
  <si>
    <r>
      <rPr>
        <sz val="11"/>
        <color rgb="FF000000"/>
        <rFont val="Verdana"/>
        <family val="2"/>
      </rPr>
      <t xml:space="preserve">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an internal wiki to discuss and share best practices for the mitigation and prevention of security pitfalls and vulnerabilities. The security and engineering teams keep up-to-date on general security practices, on recent attack vectors, and on any security issues specifically related to the languages, web applications, frameworks, and environments that Instructure employs to develop, host, and maintain our products.
</t>
    </r>
    <r>
      <rPr>
        <sz val="11"/>
        <color rgb="FF000000"/>
        <rFont val="Verdana"/>
        <family val="2"/>
      </rPr>
      <t xml:space="preserve">
</t>
    </r>
    <r>
      <rPr>
        <sz val="11"/>
        <color rgb="FF000000"/>
        <rFont val="Verdana"/>
        <family val="2"/>
      </rPr>
      <t>Portfolium has a software development life cycle that incorporates secure coding practice and controls. Peer reviews of all source code changes are mandatory. Multiple peer reviews are conducted for each change to the  code base to detect and correct any bugs, security flaws, and any other code defects. Changes to code must be validated by peer review before the code is approved and committed to the code base repository.</t>
    </r>
    <r>
      <rPr>
        <sz val="11"/>
        <color rgb="FF000000"/>
        <rFont val="Verdana"/>
        <family val="2"/>
      </rPr>
      <t xml:space="preserve">
</t>
    </r>
  </si>
  <si>
    <r>
      <rPr>
        <sz val="11"/>
        <color rgb="FF000000"/>
        <rFont val="Verdana"/>
        <family val="2"/>
      </rPr>
      <t xml:space="preserve">Portfolium has a software development life cycle that incorporates secure coding practice and controls.
</t>
    </r>
    <r>
      <rPr>
        <sz val="11"/>
        <color rgb="FF000000"/>
        <rFont val="Verdana"/>
        <family val="2"/>
      </rPr>
      <t xml:space="preserve">
</t>
    </r>
    <r>
      <rPr>
        <sz val="11"/>
        <color rgb="FF000000"/>
        <rFont val="Verdana"/>
        <family val="2"/>
      </rPr>
      <t>All code in the application must go through a developer peer review process before it is merged into the code base repository. The code review includes security auditing based on the Open Web Application Security Project (OWASP) secure coding and code review documents and other community sources on best security practices.</t>
    </r>
    <r>
      <rPr>
        <sz val="11"/>
        <color rgb="FF000000"/>
        <rFont val="Verdana"/>
        <family val="2"/>
      </rPr>
      <t xml:space="preserve">
</t>
    </r>
  </si>
  <si>
    <r>
      <rPr>
        <sz val="11"/>
        <color rgb="FF000000"/>
        <rFont val="Verdana"/>
        <family val="2"/>
      </rPr>
      <t>Portfolium uses PHP STAN (https://github.com/phpstan/phpstan), CodeSniffer (</t>
    </r>
    <r>
      <rPr>
        <sz val="11"/>
        <color rgb="FF000000"/>
        <rFont val="Verdana"/>
        <family val="2"/>
      </rPr>
      <t>https://github.com/squizlabs/PHP_CodeSniffer</t>
    </r>
    <r>
      <rPr>
        <sz val="11"/>
        <color rgb="FF000000"/>
        <rFont val="Verdana"/>
        <family val="2"/>
      </rPr>
      <t>), and JS Lint  (https://www.jslint.com/) to perform static code analysis.</t>
    </r>
    <r>
      <rPr>
        <sz val="11"/>
        <color rgb="FF000000"/>
        <rFont val="Verdana"/>
        <family val="2"/>
      </rPr>
      <t xml:space="preserve">
</t>
    </r>
    <r>
      <rPr>
        <sz val="11"/>
        <color rgb="FF000000"/>
        <rFont val="Verdana"/>
        <family val="2"/>
      </rPr>
      <t>We run every single commit to feature branches against these tools, and if it doesn't pass, we reject the build.</t>
    </r>
    <r>
      <rPr>
        <sz val="11"/>
        <color rgb="FF000000"/>
        <rFont val="Verdana"/>
        <family val="2"/>
      </rPr>
      <t xml:space="preserve">
</t>
    </r>
    <r>
      <rPr>
        <sz val="11"/>
        <color rgb="FF000000"/>
        <rFont val="Verdana"/>
        <family val="2"/>
      </rPr>
      <t>Additional security is ensured through QA, standards, practices integrated into our development process.</t>
    </r>
    <r>
      <rPr>
        <sz val="11"/>
        <color rgb="FF000000"/>
        <rFont val="Verdana"/>
        <family val="2"/>
      </rPr>
      <t xml:space="preserve">
</t>
    </r>
  </si>
  <si>
    <r>
      <rPr>
        <sz val="11"/>
        <color rgb="FF000000"/>
        <rFont val="Verdana"/>
        <family val="2"/>
      </rPr>
      <t>As described above in item PPPR-06, we utilize tools, policies, and standards to develop and test our software.</t>
    </r>
    <r>
      <rPr>
        <sz val="11"/>
        <color rgb="FF000000"/>
        <rFont val="Verdana"/>
        <family val="2"/>
      </rPr>
      <t xml:space="preserve">
</t>
    </r>
  </si>
  <si>
    <r>
      <rPr>
        <sz val="11"/>
        <color rgb="FF000000"/>
        <rFont val="Verdana"/>
        <family val="2"/>
      </rPr>
      <t>The code review during the product lifecycle which includes security auditing are based on the Open Web Application Security Project (OWASP) secure coding and code review documents and other community sources on best security practices.</t>
    </r>
    <r>
      <rPr>
        <sz val="11"/>
        <color rgb="FF000000"/>
        <rFont val="Verdana"/>
        <family val="2"/>
      </rPr>
      <t xml:space="preserve">
</t>
    </r>
  </si>
  <si>
    <r>
      <rPr>
        <sz val="11"/>
        <color rgb="FF000000"/>
        <rFont val="Verdana"/>
        <family val="2"/>
      </rPr>
      <t>Portfolium has a documented SDLC, based on the Agile methodology, which incorporates industry best-practices. Portfolium software is developed with strict security in mind and utilizes various techniques and procedures to maintain a safe environment, ie; CSRF, XSS Filtering, ActiveRecord sanitization; all servers and instances are mirrored from AWS images which have been validated for security and the latest patches. All code developed by Portfolium developers is Reviewed and spun through a complete CI/CD pipeline for adherence before being posted to Quality Assurance. Portfolium also utilizes Cobalt for frequent penetration testing and security monitoring.</t>
    </r>
    <r>
      <rPr>
        <sz val="11"/>
        <color rgb="FF000000"/>
        <rFont val="Verdana"/>
        <family val="2"/>
      </rPr>
      <t xml:space="preserve">
</t>
    </r>
  </si>
  <si>
    <r>
      <rPr>
        <sz val="11"/>
        <color rgb="FF000000"/>
        <rFont val="Verdana"/>
        <family val="2"/>
      </rPr>
      <t>Portfolium's Incident Response Plan is designed to provide a quick, effective, and orderly response to potential threats to Portfolium systems and data, as well as taking appropriate action in response to incidents such as virus infections, hacker attempts, improper disclosure of confidential information, breach of personal information, and other events with serious information security implications.</t>
    </r>
    <r>
      <rPr>
        <sz val="11"/>
        <color rgb="FF000000"/>
        <rFont val="Verdana"/>
        <family val="2"/>
      </rPr>
      <t xml:space="preserve">
</t>
    </r>
    <r>
      <rPr>
        <sz val="11"/>
        <color rgb="FF000000"/>
        <rFont val="Verdana"/>
        <family val="2"/>
      </rPr>
      <t>The Incident Response Team’s mission is to prevent a serious loss of profits, client confidence or information assets by providing an immediate, effective and skillful response to any unexpected event involving computer information systems, networks or databases.</t>
    </r>
    <r>
      <rPr>
        <sz val="11"/>
        <color rgb="FF000000"/>
        <rFont val="Verdana"/>
        <family val="2"/>
      </rPr>
      <t xml:space="preserve">
</t>
    </r>
    <r>
      <rPr>
        <sz val="11"/>
        <color rgb="FF000000"/>
        <rFont val="Verdana"/>
        <family val="2"/>
      </rPr>
      <t>The goals of the Portfolium Incident Response Plan are:</t>
    </r>
    <r>
      <rPr>
        <sz val="11"/>
        <color rgb="FF000000"/>
        <rFont val="Verdana"/>
        <family val="2"/>
      </rPr>
      <t xml:space="preserve">
</t>
    </r>
    <r>
      <rPr>
        <sz val="11"/>
        <color rgb="FF000000"/>
        <rFont val="Verdana"/>
        <family val="2"/>
      </rPr>
      <t xml:space="preserve">
</t>
    </r>
    <r>
      <rPr>
        <sz val="11"/>
        <color rgb="FF000000"/>
        <rFont val="Verdana"/>
        <family val="2"/>
      </rPr>
      <t xml:space="preserve">    • To minimize interruptions to our normal operations</t>
    </r>
    <r>
      <rPr>
        <sz val="11"/>
        <color rgb="FF000000"/>
        <rFont val="Verdana"/>
        <family val="2"/>
      </rPr>
      <t xml:space="preserve">
</t>
    </r>
    <r>
      <rPr>
        <sz val="11"/>
        <color rgb="FF000000"/>
        <rFont val="Verdana"/>
        <family val="2"/>
      </rPr>
      <t xml:space="preserve">    • To limit the extent of disruption and damage</t>
    </r>
    <r>
      <rPr>
        <sz val="11"/>
        <color rgb="FF000000"/>
        <rFont val="Verdana"/>
        <family val="2"/>
      </rPr>
      <t xml:space="preserve">
</t>
    </r>
    <r>
      <rPr>
        <sz val="11"/>
        <color rgb="FF000000"/>
        <rFont val="Verdana"/>
        <family val="2"/>
      </rPr>
      <t xml:space="preserve">    • To minimize the economic impact of a potential interruption</t>
    </r>
    <r>
      <rPr>
        <sz val="11"/>
        <color rgb="FF000000"/>
        <rFont val="Verdana"/>
        <family val="2"/>
      </rPr>
      <t xml:space="preserve">
</t>
    </r>
    <r>
      <rPr>
        <sz val="11"/>
        <color rgb="FF000000"/>
        <rFont val="Verdana"/>
        <family val="2"/>
      </rPr>
      <t xml:space="preserve">    • To establish an alternative means of operation in advance of an incident</t>
    </r>
    <r>
      <rPr>
        <sz val="11"/>
        <color rgb="FF000000"/>
        <rFont val="Verdana"/>
        <family val="2"/>
      </rPr>
      <t xml:space="preserve">
</t>
    </r>
    <r>
      <rPr>
        <sz val="11"/>
        <color rgb="FF000000"/>
        <rFont val="Verdana"/>
        <family val="2"/>
      </rPr>
      <t xml:space="preserve">    • To ensure a smooth and rapid restoration of service after an incident occur</t>
    </r>
  </si>
  <si>
    <r>
      <rPr>
        <sz val="11"/>
        <color rgb="FF000000"/>
        <rFont val="Verdana"/>
        <family val="2"/>
      </rPr>
      <t>Instructure has not experienced a breach to date. Should a breach occur, Instructure would notify clients as soon as possible, and no longer than 24 hours in the case of a FERPA violation, and no longer than 48 hours in the case of any other breach.</t>
    </r>
    <r>
      <rPr>
        <sz val="11"/>
        <color rgb="FF000000"/>
        <rFont val="Verdana"/>
        <family val="2"/>
      </rPr>
      <t xml:space="preserve">
</t>
    </r>
  </si>
  <si>
    <r>
      <rPr>
        <sz val="11"/>
        <color rgb="FF000000"/>
        <rFont val="Verdana"/>
        <family val="2"/>
      </rPr>
      <t>Instructure will abide by all applicable laws and regulations. Should the institution have policy compliance requirements beyond Instructure's current policies, we will negotiate in good faith once a contract is awarded.</t>
    </r>
    <r>
      <rPr>
        <sz val="11"/>
        <color rgb="FF000000"/>
        <rFont val="Verdana"/>
        <family val="2"/>
      </rPr>
      <t xml:space="preserve">
</t>
    </r>
  </si>
  <si>
    <r>
      <rPr>
        <sz val="11"/>
        <color rgb="FF000000"/>
        <rFont val="Verdana"/>
        <family val="2"/>
      </rPr>
      <t>As mentioned in PPPR-12, Instructure will abide by all applicable laws and regulations and will review the relevant sections of institution's IT policies when provided to us. Institution data for U.S.-based customers will never leave the institutional data zone (U.S.A.). For customers outside of the U.S., our security policies and practices ensure that data is protected according to applicable laws and regulations at all times. Specific regulatory compliance can be provided for the appropriate region upon request.</t>
    </r>
    <r>
      <rPr>
        <sz val="11"/>
        <color rgb="FF000000"/>
        <rFont val="Verdana"/>
        <family val="2"/>
      </rPr>
      <t xml:space="preserve">
</t>
    </r>
  </si>
  <si>
    <r>
      <rPr>
        <sz val="11"/>
        <color rgb="FF000000"/>
        <rFont val="Verdana"/>
        <family val="2"/>
      </rPr>
      <t>Instructure performs criminal background checks on all employees. Additional credit background checks are performed on key financial employees.</t>
    </r>
    <r>
      <rPr>
        <sz val="11"/>
        <color rgb="FF000000"/>
        <rFont val="Verdana"/>
        <family val="2"/>
      </rPr>
      <t xml:space="preserve">
</t>
    </r>
  </si>
  <si>
    <r>
      <rPr>
        <sz val="11"/>
        <color rgb="FF000000"/>
        <rFont val="Verdana"/>
        <family val="2"/>
      </rPr>
      <t>All of our employees sign contracts that include clauses on confidentiality of information. Additionally, all on-boarded Instructure employees are required to read, understand, and sign FERPA and COPPA compliance forms.</t>
    </r>
    <r>
      <rPr>
        <sz val="11"/>
        <color rgb="FF000000"/>
        <rFont val="Verdana"/>
        <family val="2"/>
      </rPr>
      <t xml:space="preserve">
</t>
    </r>
  </si>
  <si>
    <r>
      <rPr>
        <sz val="11"/>
        <color rgb="FF000000"/>
        <rFont val="Verdana"/>
        <family val="2"/>
      </rPr>
      <t>Instructure's security awareness program consists of in-person training for new-hires and annual computer-based training for all employees. As detailed in PPPR-18, employees are trained on privacy laws and various areas of security (online, mobile, physical, etc.).</t>
    </r>
    <r>
      <rPr>
        <sz val="11"/>
        <color rgb="FF000000"/>
        <rFont val="Verdana"/>
        <family val="2"/>
      </rPr>
      <t xml:space="preserve">
</t>
    </r>
  </si>
  <si>
    <r>
      <rPr>
        <sz val="11"/>
        <color rgb="FF000000"/>
        <rFont val="Verdana"/>
        <family val="2"/>
      </rPr>
      <t>All employees regardless of position are required to undertake annual security awareness training.
Instructure's annual security training covers several topics including (but not limited to) privacy laws and regulations (PII, FERPA, GDPR, COPPA etc.), data breaches, social engineering, account security, social media, physical security, online security, mobile security, software licensing, and clean desk policies.</t>
    </r>
    <r>
      <rPr>
        <sz val="11"/>
        <color rgb="FF000000"/>
        <rFont val="Verdana"/>
        <family val="2"/>
      </rPr>
      <t xml:space="preserve">
</t>
    </r>
  </si>
  <si>
    <r>
      <rPr>
        <sz val="11"/>
        <color rgb="FF000000"/>
        <rFont val="Verdana"/>
        <family val="2"/>
      </rPr>
      <t>Instructure's internal IT department regularly reviews user access based on the needs of their role. Access to Instructure is provided on a needs-only basis. Permissions are audited and updated to ensure internal systems security. Clear, valid, and necessary business justification must be provided before access is granted to any employee.</t>
    </r>
    <r>
      <rPr>
        <sz val="11"/>
        <color rgb="FF000000"/>
        <rFont val="Verdana"/>
        <family val="2"/>
      </rPr>
      <t xml:space="preserve">
</t>
    </r>
  </si>
  <si>
    <r>
      <rPr>
        <sz val="11"/>
        <color rgb="FF000000"/>
        <rFont val="Verdana"/>
        <family val="2"/>
      </rPr>
      <t xml:space="preserve">Portfolium's various department policies include provisions for regular auditing. Policies, processes, and procedures, have owners who are responsible for conducting reviews of existing policies and practices. </t>
    </r>
    <r>
      <rPr>
        <sz val="11"/>
        <color rgb="FF000000"/>
        <rFont val="Verdana"/>
        <family val="2"/>
      </rPr>
      <t xml:space="preserve">
</t>
    </r>
  </si>
  <si>
    <r>
      <rPr>
        <sz val="14"/>
        <color rgb="FF000000"/>
        <rFont val="Verdana"/>
        <family val="2"/>
      </rPr>
      <t xml:space="preserve">We have an open communication policy with our customers, and encourage product requests. We also invite customers to participate in the Portfolium Product Advisory Committee for continual product enhancements. </t>
    </r>
    <r>
      <rPr>
        <sz val="11"/>
        <color rgb="FF000000"/>
        <rFont val="Verdana"/>
        <family val="2"/>
      </rPr>
      <t xml:space="preserve">
</t>
    </r>
    <r>
      <rPr>
        <sz val="14"/>
        <color rgb="FF000000"/>
        <rFont val="Verdana"/>
        <family val="2"/>
      </rPr>
      <t>Our product management team uses a RICE scoring method for prioritization</t>
    </r>
    <r>
      <rPr>
        <sz val="14"/>
        <color rgb="FF212121"/>
        <rFont val="Verdana"/>
        <family val="2"/>
      </rPr>
      <t xml:space="preserve">. </t>
    </r>
    <r>
      <rPr>
        <sz val="14"/>
        <color rgb="FF212121"/>
        <rFont val="Verdana"/>
        <family val="2"/>
      </rPr>
      <t>RICE is an acronym for the four factors we use to evaluate each future enhancement idea: reach, impact, confidence and effort. Reach measures the number of customers a feature will affect across a given period of time. Impact refers to the estimate of maximizing customer delight with this new enhancement. Confidence is a score that allows us to factor in our confidence in the data we have on impact and reach. Effort is and score we use to estimate the time required by our team to plan, design and develop the enhancement. This scoring method allows us to prioritize and plan our product roadmap.</t>
    </r>
    <r>
      <rPr>
        <sz val="11"/>
        <color rgb="FF000000"/>
        <rFont val="Verdana"/>
        <family val="2"/>
      </rPr>
      <t xml:space="preserve">
</t>
    </r>
  </si>
  <si>
    <r>
      <rPr>
        <sz val="11"/>
        <color rgb="FF000000"/>
        <rFont val="Verdana"/>
        <family val="2"/>
      </rPr>
      <t>All users are give access to the Portfolium "demo" domain for testing at no additional cost.</t>
    </r>
    <r>
      <rPr>
        <sz val="11"/>
        <color rgb="FF000000"/>
        <rFont val="Verdana"/>
        <family val="2"/>
      </rPr>
      <t xml:space="preserve">
</t>
    </r>
  </si>
  <si>
    <r>
      <rPr>
        <sz val="11"/>
        <color rgb="FF000000"/>
        <rFont val="Verdana"/>
        <family val="2"/>
      </rPr>
      <t>Portfolium is a Cloud based system that is fully hosted by Amazon Web Services. Therefore Portfolium defers to Amazon's AWS certification, which is located online at: http://aws.amazon.com/compliance. AWS is certified in ISO 9001.</t>
    </r>
    <r>
      <rPr>
        <sz val="11"/>
        <color rgb="FF000000"/>
        <rFont val="Verdana"/>
        <family val="2"/>
      </rPr>
      <t xml:space="preserve">
</t>
    </r>
  </si>
  <si>
    <r>
      <rPr>
        <sz val="11"/>
        <color rgb="FF000000"/>
        <rFont val="Verdana"/>
        <family val="2"/>
      </rPr>
      <t>Portfolium uses an array of monitoring tools that are built into or integrate with AWS's VPC architecture. The AWS CloudWatch service enables our site reliability engineers to track and validate application performance. Status updates will be provided in accordance with the following until the issue is resolved:</t>
    </r>
    <r>
      <rPr>
        <sz val="11"/>
        <color rgb="FF000000"/>
        <rFont val="Verdana"/>
        <family val="2"/>
      </rPr>
      <t xml:space="preserve">
</t>
    </r>
    <r>
      <rPr>
        <sz val="11"/>
        <color rgb="FF000000"/>
        <rFont val="Verdana"/>
        <family val="2"/>
      </rPr>
      <t xml:space="preserve">
</t>
    </r>
    <r>
      <rPr>
        <sz val="11"/>
        <color rgb="FF000000"/>
        <rFont val="Verdana"/>
        <family val="2"/>
      </rPr>
      <t xml:space="preserve">    • Critical (Severity 1): Every 30 minutes until problem is resolved or severity level is changed</t>
    </r>
    <r>
      <rPr>
        <sz val="11"/>
        <color rgb="FF000000"/>
        <rFont val="Verdana"/>
        <family val="2"/>
      </rPr>
      <t xml:space="preserve">
</t>
    </r>
    <r>
      <rPr>
        <sz val="11"/>
        <color rgb="FF000000"/>
        <rFont val="Verdana"/>
        <family val="2"/>
      </rPr>
      <t xml:space="preserve">    • Urgent (Severity 2): Every 1 hour until problem is resolved or severity level is changed</t>
    </r>
    <r>
      <rPr>
        <sz val="11"/>
        <color rgb="FF000000"/>
        <rFont val="Verdana"/>
        <family val="2"/>
      </rPr>
      <t xml:space="preserve">
</t>
    </r>
    <r>
      <rPr>
        <sz val="11"/>
        <color rgb="FF000000"/>
        <rFont val="Verdana"/>
        <family val="2"/>
      </rPr>
      <t xml:space="preserve">    • Standard (Severity 3): Every 4 hours until problem is resolved or severity level is changed</t>
    </r>
    <r>
      <rPr>
        <sz val="11"/>
        <color rgb="FF000000"/>
        <rFont val="Verdana"/>
        <family val="2"/>
      </rPr>
      <t xml:space="preserve">
</t>
    </r>
    <r>
      <rPr>
        <sz val="11"/>
        <color rgb="FF000000"/>
        <rFont val="Verdana"/>
        <family val="2"/>
      </rPr>
      <t xml:space="preserve">    • Low (Severity 4): Every 24 hours until problem is resolved or severity level is changed</t>
    </r>
  </si>
  <si>
    <r>
      <rPr>
        <sz val="11"/>
        <color rgb="FF000000"/>
        <rFont val="Verdana"/>
        <family val="2"/>
      </rPr>
      <t>This information can be provided on request. For new clients, please reach out to contact@portfolium.com. We will put you in contact with the director for your region who can answer this for you. For existing clients, please reach out to your Customer Success Manager.</t>
    </r>
    <r>
      <rPr>
        <sz val="11"/>
        <color rgb="FF000000"/>
        <rFont val="Verdana"/>
        <family val="2"/>
      </rPr>
      <t xml:space="preserve">
</t>
    </r>
  </si>
  <si>
    <r>
      <rPr>
        <sz val="11"/>
        <color rgb="FF000000"/>
        <rFont val="Verdana"/>
        <family val="2"/>
      </rPr>
      <t xml:space="preserve">Instructure's Community is a space where institutions come together to discuss trends in education, issues, post feature ideas, form special interest groups, view release notes, and discover Guides. Market trends and adoption strategies are regular topics of discussions, and Portfolium has a dedicated group with helpful webinars, guides, and other resources: </t>
    </r>
    <r>
      <rPr>
        <sz val="11"/>
        <color rgb="FF000000"/>
        <rFont val="Verdana"/>
        <family val="2"/>
      </rPr>
      <t>https://community.canvaslms.com/groups/portfolium</t>
    </r>
    <r>
      <rPr>
        <sz val="11"/>
        <color rgb="FF000000"/>
        <rFont val="Verdana"/>
        <family val="2"/>
      </rPr>
      <t>.</t>
    </r>
    <r>
      <rPr>
        <sz val="11"/>
        <color rgb="FF000000"/>
        <rFont val="Verdana"/>
        <family val="2"/>
      </rPr>
      <t xml:space="preserve">
</t>
    </r>
    <r>
      <rPr>
        <sz val="11"/>
        <color rgb="FF000000"/>
        <rFont val="Verdana"/>
        <family val="2"/>
      </rPr>
      <t xml:space="preserve">Additionally, Instructure puts on an annual conference called InstructureCon (https://blog.canvaslms.com/news/instructurecon19) where active and prospective customers can sign up and attend seminars and classes on best practices and uses of our flagship product, Canvas, and other offerings like Portfolium. </t>
    </r>
    <r>
      <rPr>
        <sz val="11"/>
        <color rgb="FF000000"/>
        <rFont val="Verdana"/>
        <family val="2"/>
      </rPr>
      <t xml:space="preserve">
</t>
    </r>
  </si>
  <si>
    <r>
      <rPr>
        <sz val="11"/>
        <color rgb="FF000000"/>
        <rFont val="Verdana"/>
        <family val="2"/>
      </rPr>
      <t>The systems that support the Canvas service are managed via a Virtual Private Cloud hosted by Amazon Web Services. Only Portfolium's Operations team has access to configure and manage these systems. Physical servers and architecture components are managed by AWS.</t>
    </r>
    <r>
      <rPr>
        <sz val="11"/>
        <color rgb="FF000000"/>
        <rFont val="Verdana"/>
        <family val="2"/>
      </rPr>
      <t xml:space="preserve">
</t>
    </r>
  </si>
  <si>
    <r>
      <rPr>
        <sz val="11"/>
        <color rgb="FF000000"/>
        <rFont val="Verdana"/>
        <family val="2"/>
      </rPr>
      <t xml:space="preserve">Portfolium's Operations and Engineering team uses proprietary and third-party tools to programmatically (and securely) launch new instances of the Portfolium application. Tools leveraged include Chef and Amazon Machine Images. As a cloud-native service hosted on AWS, configuring a new "gold" image of Portfolium is quick and efficient. Servers and other architecture components are physically located in AWS data centers, but the VPC is managed by Instructure. </t>
    </r>
    <r>
      <rPr>
        <sz val="11"/>
        <color rgb="FF000000"/>
        <rFont val="Verdana"/>
        <family val="2"/>
      </rPr>
      <t xml:space="preserve">
</t>
    </r>
    <r>
      <rPr>
        <sz val="11"/>
        <color rgb="FF000000"/>
        <rFont val="Verdana"/>
        <family val="2"/>
      </rPr>
      <t>Moreover, Instructure owned devices, such as laptops, that are used to access applications and deliver support are setup using a "gold" image from Instructure's IT staff. Our IT department utilizes system management software for managing and securing company devices.</t>
    </r>
    <r>
      <rPr>
        <sz val="11"/>
        <color rgb="FF000000"/>
        <rFont val="Verdana"/>
        <family val="2"/>
      </rPr>
      <t xml:space="preserve">
</t>
    </r>
  </si>
  <si>
    <r>
      <rPr>
        <sz val="11"/>
        <color rgb="FF000000"/>
        <rFont val="Verdana"/>
        <family val="2"/>
      </rPr>
      <t>Instructure owned Mobile devices are managed via an MDM platform. Instructure has dedicated IT staff who are responsible for servicing, managing, and securing mobile devices.</t>
    </r>
    <r>
      <rPr>
        <sz val="11"/>
        <color rgb="FF000000"/>
        <rFont val="Verdana"/>
        <family val="2"/>
      </rPr>
      <t xml:space="preserve">
</t>
    </r>
  </si>
  <si>
    <r>
      <rPr>
        <sz val="11"/>
        <color rgb="FF000000"/>
        <rFont val="Verdana"/>
        <family val="2"/>
      </rPr>
      <t>All IT equipment owned by Instructure (servers, appliances, laptops, mobile devices, etc.) is immediately re-configured upon purchase. This includes removal of default credentials (including guest accounts) and requiring users to establish new passwords upon initial login. Additionally, Instructure only enables accounts for the employee assigned to the machine and an administrator account for internal IT use.</t>
    </r>
    <r>
      <rPr>
        <sz val="11"/>
        <color rgb="FF000000"/>
        <rFont val="Verdana"/>
        <family val="2"/>
      </rPr>
      <t xml:space="preserve">
</t>
    </r>
    <r>
      <rPr>
        <sz val="11"/>
        <color rgb="FF000000"/>
        <rFont val="Verdana"/>
        <family val="2"/>
      </rPr>
      <t>When Instructure’s IT team provisions new hardware (such as laptop or mobile device) for an employee, no vendor-supplied applications are installed on these systems.</t>
    </r>
    <r>
      <rPr>
        <sz val="11"/>
        <color rgb="FF000000"/>
        <rFont val="Verdana"/>
        <family val="2"/>
      </rPr>
      <t xml:space="preserve">
</t>
    </r>
    <r>
      <rPr>
        <sz val="11"/>
        <color rgb="FF000000"/>
        <rFont val="Verdana"/>
        <family val="2"/>
      </rPr>
      <t>Instructure’s IT team has processes and configurations in place to help ensure that devices are configured with only the software and applications required for use by the employee.</t>
    </r>
    <r>
      <rPr>
        <sz val="11"/>
        <color rgb="FF000000"/>
        <rFont val="Verdana"/>
        <family val="2"/>
      </rPr>
      <t xml:space="preserve">
</t>
    </r>
    <r>
      <rPr>
        <sz val="11"/>
        <color rgb="FF000000"/>
        <rFont val="Verdana"/>
        <family val="2"/>
      </rPr>
      <t>Additional considerations for employee equipment include turning file-sharing off by default, purchasing equipment without CD/DVD drives and installing anti-virus software.</t>
    </r>
    <r>
      <rPr>
        <sz val="11"/>
        <color rgb="FF000000"/>
        <rFont val="Verdana"/>
        <family val="2"/>
      </rPr>
      <t xml:space="preserve">
</t>
    </r>
  </si>
  <si>
    <r>
      <rPr>
        <sz val="11"/>
        <color rgb="FF000000"/>
        <rFont val="Verdana"/>
        <family val="2"/>
      </rPr>
      <t>Instructure performs quarterly scans of Portfolium's code. All code developed by Portfolium developers is reviewed and put through a complete Continuous Integration/Continuous Deployment (CI/CD) pipeline for adherence before being posted to Quality Assurance. Portfolium also utilizes Cobalt for frequent penetration testing and security monitoring.</t>
    </r>
    <r>
      <rPr>
        <sz val="11"/>
        <color rgb="FF000000"/>
        <rFont val="Verdana"/>
        <family val="2"/>
      </rPr>
      <t xml:space="preserve">
</t>
    </r>
  </si>
  <si>
    <r>
      <rPr>
        <sz val="11"/>
        <color rgb="FF000000"/>
        <rFont val="Verdana"/>
        <family val="2"/>
      </rPr>
      <t>Portfolium's most recent assessment took place in June 2019.</t>
    </r>
    <r>
      <rPr>
        <sz val="11"/>
        <color rgb="FF000000"/>
        <rFont val="Verdana"/>
        <family val="2"/>
      </rPr>
      <t xml:space="preserve">
</t>
    </r>
  </si>
  <si>
    <r>
      <rPr>
        <sz val="11"/>
        <color rgb="FF000000"/>
        <rFont val="Verdana"/>
        <family val="2"/>
      </rPr>
      <t>Engineers write automated unit and integration tests to scan all new code that is written. In addition, all code changes are run through a full QA test suite before they can be accepted into the main product. Code changes are closely reviewed and must be peer-approved by other Engineering team members before inclusion in the upgrade/update package.</t>
    </r>
    <r>
      <rPr>
        <sz val="11"/>
        <color rgb="FF000000"/>
        <rFont val="Verdana"/>
        <family val="2"/>
      </rPr>
      <t xml:space="preserve">
</t>
    </r>
  </si>
  <si>
    <r>
      <rPr>
        <sz val="11"/>
        <color rgb="FF000000"/>
        <rFont val="Verdana"/>
        <family val="2"/>
      </rPr>
      <t>We partner with Cobalt.io to perform external security scans.</t>
    </r>
    <r>
      <rPr>
        <sz val="11"/>
        <color rgb="FF000000"/>
        <rFont val="Verdana"/>
        <family val="2"/>
      </rPr>
      <t xml:space="preserve">
</t>
    </r>
  </si>
  <si>
    <r>
      <rPr>
        <sz val="11"/>
        <color rgb="FF000000"/>
        <rFont val="Verdana"/>
        <family val="2"/>
      </rPr>
      <t xml:space="preserve">Instructure can provide results of external security scans and audits upon request. </t>
    </r>
    <r>
      <rPr>
        <sz val="11"/>
        <color rgb="FF000000"/>
        <rFont val="Verdana"/>
        <family val="2"/>
      </rPr>
      <t xml:space="preserve">
</t>
    </r>
  </si>
  <si>
    <r>
      <rPr>
        <sz val="11"/>
        <color rgb="FF000000"/>
        <rFont val="Verdana"/>
        <family val="2"/>
      </rPr>
      <t xml:space="preserve">You may perform your own security testing on Portfolium systems. We do ask that you work with our engineering team to coordinate the test. </t>
    </r>
    <r>
      <rPr>
        <sz val="11"/>
        <color rgb="FF000000"/>
        <rFont val="Verdana"/>
        <family val="2"/>
      </rPr>
      <t xml:space="preserve">
</t>
    </r>
  </si>
  <si>
    <r>
      <rPr>
        <u/>
        <sz val="12"/>
        <color rgb="FF0563C1"/>
        <rFont val="Verdana"/>
        <family val="2"/>
      </rPr>
      <t>https://www.instructure.com/policies/privacy</t>
    </r>
    <r>
      <rPr>
        <u/>
        <sz val="12"/>
        <color rgb="FF0563C1"/>
        <rFont val="Verdana"/>
        <family val="2"/>
      </rPr>
      <t xml:space="preserve"> </t>
    </r>
    <r>
      <rPr>
        <u/>
        <sz val="12"/>
        <color rgb="FF0563C1"/>
        <rFont val="Verdana"/>
        <family val="2"/>
      </rPr>
      <t xml:space="preserve">
</t>
    </r>
  </si>
  <si>
    <r>
      <rPr>
        <sz val="11"/>
        <color rgb="FF000000"/>
        <rFont val="Verdana"/>
        <family val="2"/>
      </rPr>
      <t xml:space="preserve">Portfolium serves over 4,000,000 students and 40,000 educators from over 3,600 institutions in 18 countries. References can be provided in addition to this questionnaire upon request. </t>
    </r>
    <r>
      <rPr>
        <sz val="11"/>
        <color rgb="FF000000"/>
        <rFont val="Verdana"/>
        <family val="2"/>
      </rPr>
      <t xml:space="preserve">
</t>
    </r>
  </si>
  <si>
    <r>
      <rPr>
        <sz val="11"/>
        <color rgb="FF000000"/>
        <rFont val="Verdana"/>
        <family val="2"/>
      </rPr>
      <t>User roles in Portfolium are permissions-based and can be managed by administrators with appropriate permissions. The Portfolium platform provides a multi-level security protocol enabled to a granular level. The system will be provisioned according to the institution's requirements to provide specific permissions and access as deemed appropriate. The system supports different roles for various users and will also allow users to review the assignments, artifacts and submissions in "private" mode if desired, allowing for the ability for complete anonymity. At any time, customers are control and can remove permissions or even add through a self-serve interface or their dedicated Customer Success Manager at Portfolium can quickly provision the environment change.</t>
    </r>
    <r>
      <rPr>
        <sz val="11"/>
        <color rgb="FF000000"/>
        <rFont val="Verdana"/>
        <family val="2"/>
      </rPr>
      <t xml:space="preserve">
</t>
    </r>
  </si>
  <si>
    <r>
      <rPr>
        <sz val="12"/>
        <color rgb="FF000000"/>
        <rFont val="Verdana"/>
        <family val="2"/>
      </rPr>
      <t xml:space="preserve">Portfolium limits the number of system administrators with this level of access to only those who are vetted, capable, skilled, and authorized  to have this level of access. While the answer in the HECVAT is "No", "system administrator" is a role that has all of the access required to administer these systems, and those permissions are appropriate for this type of role, which is applied to this small group of people. </t>
    </r>
    <r>
      <rPr>
        <sz val="12"/>
        <color rgb="FF000000"/>
        <rFont val="Verdana"/>
        <family val="2"/>
      </rPr>
      <t xml:space="preserve">
</t>
    </r>
  </si>
  <si>
    <r>
      <rPr>
        <sz val="11"/>
        <color rgb="FF000000"/>
        <rFont val="Verdana"/>
        <family val="2"/>
      </rPr>
      <t>Instructure employees may have access to client data remotely in order perform their duties. As part of our commitment to security, however, Instructure is dedicated to keeping our employees up-to-date and informed of the latest industry developments and practices. This includes ongoing training through Bridge, Instructure’s cloud-based learning and training management system, as well as a documented approach to onboarding which requires all new employees to read, understand, and sign the Family Educational Rights and Privacy Act (FERPA) and Children's Online Privacy Protection Act (COPPA) compliance forms.</t>
    </r>
    <r>
      <rPr>
        <sz val="11"/>
        <color rgb="FF000000"/>
        <rFont val="Verdana"/>
        <family val="2"/>
      </rPr>
      <t xml:space="preserve">
</t>
    </r>
    <r>
      <rPr>
        <sz val="11"/>
        <color rgb="FF000000"/>
        <rFont val="Verdana"/>
        <family val="2"/>
      </rPr>
      <t>Moreover, Instructure's information security policies address acceptable use for computers, email, and the internet by employees, and employees take an annual security training that explains employee responsibilities for maintaining a safe and secure working environment.</t>
    </r>
    <r>
      <rPr>
        <sz val="11"/>
        <color rgb="FF000000"/>
        <rFont val="Verdana"/>
        <family val="2"/>
      </rPr>
      <t xml:space="preserve">
</t>
    </r>
    <r>
      <rPr>
        <sz val="11"/>
        <color rgb="FF000000"/>
        <rFont val="Verdana"/>
        <family val="2"/>
      </rPr>
      <t>Instructure maintains security policies that are based on the guidance provided by International Organization for Standardization's (ISO) 27000 suite of standards.</t>
    </r>
    <r>
      <rPr>
        <sz val="11"/>
        <color rgb="FF000000"/>
        <rFont val="Verdana"/>
        <family val="2"/>
      </rPr>
      <t xml:space="preserve">
</t>
    </r>
  </si>
  <si>
    <r>
      <rPr>
        <b/>
        <sz val="11"/>
        <color rgb="FF000000"/>
        <rFont val="Verdana"/>
        <family val="2"/>
      </rPr>
      <t>AWS Cloud Infrastructure</t>
    </r>
    <r>
      <rPr>
        <sz val="11"/>
        <color rgb="FF000000"/>
        <rFont val="Verdana"/>
        <family val="2"/>
      </rPr>
      <t xml:space="preserve">
</t>
    </r>
    <r>
      <rPr>
        <sz val="11"/>
        <color rgb="FF000000"/>
        <rFont val="Verdana"/>
        <family val="2"/>
      </rPr>
      <t xml:space="preserve">Portfolium is hosted with Amazon Web Services (AWS). </t>
    </r>
    <r>
      <rPr>
        <sz val="11"/>
        <color rgb="FF000000"/>
        <rFont val="Verdana"/>
        <family val="2"/>
      </rPr>
      <t>The AWS Cloud infrastructure is built around Regions and Availability Zones (AZs). AWS Regions provide multiple, physically separated and isolated Availability Zones which are connected with low latency, high throughput, and highly redundant networking. These Availability Zones allow Portfolium to efficiently design and operate its applications and databases, making them more highly available, fault tolerant, and scalable than traditional single datacenter infrastructures or multi-datacenter infrastructures.</t>
    </r>
    <r>
      <rPr>
        <sz val="11"/>
        <color rgb="FF000000"/>
        <rFont val="Verdana"/>
        <family val="2"/>
      </rPr>
      <t xml:space="preserve">
</t>
    </r>
    <r>
      <rPr>
        <b/>
        <sz val="11"/>
        <color rgb="FF000000"/>
        <rFont val="Verdana"/>
        <family val="2"/>
      </rPr>
      <t>Network Architecture</t>
    </r>
    <r>
      <rPr>
        <sz val="11"/>
        <color rgb="FF000000"/>
        <rFont val="Verdana"/>
        <family val="2"/>
      </rPr>
      <t xml:space="preserve">
</t>
    </r>
    <r>
      <rPr>
        <sz val="11"/>
        <color rgb="FF000000"/>
        <rFont val="Verdana"/>
        <family val="2"/>
      </rPr>
      <t xml:space="preserve">Portfolium utilizes Amazon VPC (Virtual Private Cloud) to isolate and control access, both into and out of its network. On top of the AWS network, all DNS traffic is routed through CloudFlare’s world-renowned private DNS network, enhancing performance and security as it prevents DDoS and other known attacks.
</t>
    </r>
    <r>
      <rPr>
        <sz val="11"/>
        <color rgb="FF000000"/>
        <rFont val="Verdana"/>
        <family val="2"/>
      </rPr>
      <t xml:space="preserve">
</t>
    </r>
    <r>
      <rPr>
        <sz val="11"/>
        <color rgb="FF000000"/>
        <rFont val="Verdana"/>
        <family val="2"/>
      </rPr>
      <t>[IMG] (https://lh5.googleusercontent.com/NqdeJ4CeOM4zqDKRxEWuA1xnJQHVGEAv4v9VTWrSA0b2yVIfzzEAYZwfBruo9uxjVYe3LSWbVZObKihoMJfjrA6hl6aMBi22oqDUVm0SVj4_r7pZHckjX959IlAWMatPBE7E98Hx)</t>
    </r>
    <r>
      <rPr>
        <sz val="11"/>
        <color rgb="FF000000"/>
        <rFont val="Verdana"/>
        <family val="2"/>
      </rPr>
      <t xml:space="preserve">
</t>
    </r>
    <r>
      <rPr>
        <sz val="11"/>
        <color rgb="FF000000"/>
        <rFont val="Verdana"/>
        <family val="2"/>
      </rPr>
      <t xml:space="preserve">
</t>
    </r>
    <r>
      <rPr>
        <b/>
        <sz val="11"/>
        <color rgb="FF000000"/>
        <rFont val="Verdana"/>
        <family val="2"/>
      </rPr>
      <t>Data Storage with Amazon S3</t>
    </r>
    <r>
      <rPr>
        <sz val="11"/>
        <color rgb="FF000000"/>
        <rFont val="Verdana"/>
        <family val="2"/>
      </rPr>
      <t xml:space="preserve">
</t>
    </r>
    <r>
      <rPr>
        <sz val="11"/>
        <color rgb="FF000000"/>
        <rFont val="Verdana"/>
        <family val="2"/>
      </rPr>
      <t xml:space="preserve">Portfolium utilizes Amazon S3 (Simple Storage Service) to store user-uploaded artifacts (documents, images, etc.). Amazon S3 provides a highly durable storage infrastructure designed for mission-critical and primary data storage. Objects are redundantly stored on multiple devices across multiple facilities in an Amazon S3 region. </t>
    </r>
    <r>
      <rPr>
        <sz val="11"/>
        <color rgb="FF000000"/>
        <rFont val="Verdana"/>
        <family val="2"/>
      </rPr>
      <t xml:space="preserve">
</t>
    </r>
    <r>
      <rPr>
        <sz val="11"/>
        <color rgb="FF000000"/>
        <rFont val="Verdana"/>
        <family val="2"/>
      </rPr>
      <t>Amazon S3 also regularly verifies the integrity of data stored using checksums. If Amazon S3 detects data corruption, it is repaired using redundant data. In addition, Amazon S3 calculates checksums on all network traffic to detect corruption of data packets when storing or retrieving data.</t>
    </r>
    <r>
      <rPr>
        <sz val="11"/>
        <color rgb="FF000000"/>
        <rFont val="Verdana"/>
        <family val="2"/>
      </rPr>
      <t xml:space="preserve">
</t>
    </r>
    <r>
      <rPr>
        <sz val="11"/>
        <color rgb="FF000000"/>
        <rFont val="Verdana"/>
        <family val="2"/>
      </rPr>
      <t>Amazon S3's standard storage is:</t>
    </r>
    <r>
      <rPr>
        <sz val="11"/>
        <color rgb="FF000000"/>
        <rFont val="Verdana"/>
        <family val="2"/>
      </rPr>
      <t xml:space="preserve">
</t>
    </r>
    <r>
      <rPr>
        <sz val="11"/>
        <color rgb="FF000000"/>
        <rFont val="Verdana"/>
        <family val="2"/>
      </rPr>
      <t xml:space="preserve">
</t>
    </r>
    <r>
      <rPr>
        <sz val="11"/>
        <color rgb="FF000000"/>
        <rFont val="Verdana"/>
        <family val="2"/>
      </rPr>
      <t xml:space="preserve">    • Backed with the Amazon S3 Service Level Agreement</t>
    </r>
    <r>
      <rPr>
        <sz val="11"/>
        <color rgb="FF000000"/>
        <rFont val="Verdana"/>
        <family val="2"/>
      </rPr>
      <t xml:space="preserve">
</t>
    </r>
    <r>
      <rPr>
        <sz val="11"/>
        <color rgb="FF000000"/>
        <rFont val="Verdana"/>
        <family val="2"/>
      </rPr>
      <t xml:space="preserve">    • Designed to provide 99.999999999% durability and 99.99% availability of objects over a given year</t>
    </r>
    <r>
      <rPr>
        <sz val="11"/>
        <color rgb="FF000000"/>
        <rFont val="Verdana"/>
        <family val="2"/>
      </rPr>
      <t xml:space="preserve">
</t>
    </r>
    <r>
      <rPr>
        <sz val="11"/>
        <color rgb="FF000000"/>
        <rFont val="Verdana"/>
        <family val="2"/>
      </rPr>
      <t xml:space="preserve">    • Designed to sustain the concurrent loss of data in two facilities
</t>
    </r>
    <r>
      <rPr>
        <sz val="11"/>
        <color rgb="FF000000"/>
        <rFont val="Verdana"/>
        <family val="2"/>
      </rPr>
      <t xml:space="preserve">
</t>
    </r>
    <r>
      <rPr>
        <b/>
        <sz val="11"/>
        <color rgb="FF000000"/>
        <rFont val="Verdana"/>
        <family val="2"/>
      </rPr>
      <t>Physical and Network Security</t>
    </r>
    <r>
      <rPr>
        <sz val="11"/>
        <color rgb="FF000000"/>
        <rFont val="Verdana"/>
        <family val="2"/>
      </rPr>
      <t xml:space="preserve">
</t>
    </r>
    <r>
      <rPr>
        <sz val="11"/>
        <color rgb="FF000000"/>
        <rFont val="Verdana"/>
        <family val="2"/>
      </rPr>
      <t>The physical security is handled at the AWS data centers by their security teams.</t>
    </r>
    <r>
      <rPr>
        <sz val="11"/>
        <color rgb="FF000000"/>
        <rFont val="Verdana"/>
        <family val="2"/>
      </rPr>
      <t xml:space="preserve">
</t>
    </r>
    <r>
      <rPr>
        <sz val="11"/>
        <color rgb="FF000000"/>
        <rFont val="Verdana"/>
        <family val="2"/>
      </rPr>
      <t>Our virtual security is handled by AWS VPC (virtual private cloud). There are policies that lock everything down from networking ports to IP access. Only port 80 is open on the web servers, and only 22 is open on our gateway SSH servers.</t>
    </r>
    <r>
      <rPr>
        <sz val="11"/>
        <color rgb="FF000000"/>
        <rFont val="Verdana"/>
        <family val="2"/>
      </rPr>
      <t xml:space="preserve">
</t>
    </r>
    <r>
      <rPr>
        <sz val="11"/>
        <color rgb="FF000000"/>
        <rFont val="Verdana"/>
        <family val="2"/>
      </rPr>
      <t>For software security, we implement the latest web security practices such as CSRF protected form posts, one-way salted &amp; hashed password storage, database escaping policies, XSS output protection, etc. This covers our servers and database.</t>
    </r>
    <r>
      <rPr>
        <sz val="11"/>
        <color rgb="FF000000"/>
        <rFont val="Verdana"/>
        <family val="2"/>
      </rPr>
      <t xml:space="preserve">
</t>
    </r>
    <r>
      <rPr>
        <sz val="11"/>
        <color rgb="FF000000"/>
        <rFont val="Verdana"/>
        <family val="2"/>
      </rPr>
      <t xml:space="preserve">Additional information is found at </t>
    </r>
    <r>
      <rPr>
        <sz val="11"/>
        <color rgb="FF000000"/>
        <rFont val="Verdana"/>
        <family val="2"/>
      </rPr>
      <t>https://portfolium.com/security</t>
    </r>
    <r>
      <rPr>
        <sz val="11"/>
        <color rgb="FF000000"/>
        <rFont val="Verdana"/>
        <family val="2"/>
      </rPr>
      <t xml:space="preserve">
</t>
    </r>
  </si>
  <si>
    <r>
      <rPr>
        <sz val="11"/>
        <color rgb="FF000000"/>
        <rFont val="Verdana"/>
        <family val="2"/>
      </rPr>
      <t>Where specific data input is required, such as a date, word, or number is required, Portfolium is capable of validating the data. Error messages related to the discrepancy will be displayed for the user. Portfolium is built to be simple and gives users all the resources they need to navigate the system efficiently.</t>
    </r>
    <r>
      <rPr>
        <sz val="11"/>
        <color rgb="FF000000"/>
        <rFont val="Verdana"/>
        <family val="2"/>
      </rPr>
      <t xml:space="preserve">
</t>
    </r>
  </si>
  <si>
    <r>
      <rPr>
        <sz val="11"/>
        <color rgb="FF000000"/>
        <rFont val="Verdana"/>
        <family val="2"/>
      </rPr>
      <t>Data is separated natively with Amazon Web Services multi-tenant software. Multi-tenancy is regarded as one of the essential attributes of cloud computing and ensures that data is secure and logically separated from other institutions.</t>
    </r>
    <r>
      <rPr>
        <sz val="11"/>
        <color rgb="FF000000"/>
        <rFont val="Verdana"/>
        <family val="2"/>
      </rPr>
      <t xml:space="preserve">
</t>
    </r>
  </si>
  <si>
    <r>
      <rPr>
        <sz val="11"/>
        <color rgb="FF000000"/>
        <rFont val="Verdana"/>
        <family val="2"/>
      </rPr>
      <t xml:space="preserve">Portfolium's databases and servers are segregated from front end systems. We use API servers and AWS RDS for databases. Portfolium uses an n-tiered architecture. </t>
    </r>
    <r>
      <rPr>
        <sz val="11"/>
        <color rgb="FF000000"/>
        <rFont val="Verdana"/>
        <family val="2"/>
      </rPr>
      <t xml:space="preserve">
</t>
    </r>
  </si>
  <si>
    <r>
      <rPr>
        <sz val="11"/>
        <color rgb="FF000000"/>
        <rFont val="Verdana"/>
        <family val="2"/>
      </rPr>
      <t xml:space="preserve">Portfolium can be run on any OS that's capable of running a supported web browser. Supported web browsers include: Internet Explorer 11, Edge, Chrome, Firefox, and Safari. </t>
    </r>
    <r>
      <rPr>
        <sz val="11"/>
        <color rgb="FF000000"/>
        <rFont val="Verdana"/>
        <family val="2"/>
      </rPr>
      <t xml:space="preserve">
</t>
    </r>
  </si>
  <si>
    <r>
      <rPr>
        <sz val="11"/>
        <color rgb="FF000000"/>
        <rFont val="Verdana"/>
        <family val="2"/>
      </rPr>
      <t>Portfolium is mobile responsive. So any mobile device that has access to a browser and internet.</t>
    </r>
    <r>
      <rPr>
        <sz val="11"/>
        <color rgb="FF000000"/>
        <rFont val="Verdana"/>
        <family val="2"/>
      </rPr>
      <t xml:space="preserve">
</t>
    </r>
  </si>
  <si>
    <r>
      <rPr>
        <sz val="11"/>
        <color rgb="FF000000"/>
        <rFont val="Verdana"/>
        <family val="2"/>
      </rPr>
      <t>When using Portfolium's internal authentication service, the only password requirement is an eight character minimum length. If integrating with an external identity provider (e.g. LDAP, AD, CAS, SAML, etc.) then the security settings, such as password policies, defined in the external authentication server will be used by Canvas.</t>
    </r>
    <r>
      <rPr>
        <sz val="11"/>
        <color rgb="FF000000"/>
        <rFont val="Verdana"/>
        <family val="2"/>
      </rPr>
      <t xml:space="preserve">
</t>
    </r>
  </si>
  <si>
    <r>
      <rPr>
        <sz val="11"/>
        <color rgb="FF000000"/>
        <rFont val="Verdana"/>
        <family val="2"/>
      </rPr>
      <t>Portfolium only requires that a password contain at least eight characters; however, Canvas can be configured to authenticate using an authentication service or identity provider such as CAS, SAML, etc. in which settings such as password policies are configured.</t>
    </r>
    <r>
      <rPr>
        <sz val="11"/>
        <color rgb="FF000000"/>
        <rFont val="Verdana"/>
        <family val="2"/>
      </rPr>
      <t xml:space="preserve">
</t>
    </r>
  </si>
  <si>
    <r>
      <rPr>
        <sz val="12"/>
        <color rgb="FF000000"/>
        <rFont val="Verdana"/>
        <family val="2"/>
      </rPr>
      <t xml:space="preserve">If using an external identity provider that is integrated with Portfolium, such as LDAP, Active Directory, CAS, SAML 2.0 and Shibboleth, then a password reset is performed through that system or by your administrators who have access to those identity management systems.
</t>
    </r>
    <r>
      <rPr>
        <sz val="12"/>
        <color rgb="FF000000"/>
        <rFont val="Verdana"/>
        <family val="2"/>
      </rPr>
      <t xml:space="preserve">
</t>
    </r>
    <r>
      <rPr>
        <sz val="12"/>
        <color rgb="FF000000"/>
        <rFont val="Verdana"/>
        <family val="2"/>
      </rPr>
      <t>If using Portfolium-internal authentication, individual users can reset their own passwords using the "Password Settings" tab.  Additionally, users can click the "forgot password" link on the login page which will send an email to the user to have them reset their password. This process is documented and available for users in Portfolium's knowledgebase.</t>
    </r>
    <r>
      <rPr>
        <sz val="12"/>
        <color rgb="FF000000"/>
        <rFont val="Verdana"/>
        <family val="2"/>
      </rPr>
      <t xml:space="preserve">
</t>
    </r>
  </si>
  <si>
    <r>
      <rPr>
        <sz val="11"/>
        <color rgb="FF000000"/>
        <rFont val="Verdana"/>
        <family val="2"/>
      </rPr>
      <t>Portfolium is a member of InCommon Federation and supports common authentication protocols such as Shibboleth, SAML, LDAP, Active Directory, Google, Facebook, and LinkedIn.</t>
    </r>
    <r>
      <rPr>
        <sz val="11"/>
        <color rgb="FF000000"/>
        <rFont val="Verdana"/>
        <family val="2"/>
      </rPr>
      <t xml:space="preserve">
</t>
    </r>
  </si>
  <si>
    <r>
      <rPr>
        <sz val="11"/>
        <color rgb="FF000000"/>
        <rFont val="Verdana"/>
        <family val="2"/>
      </rPr>
      <t>No user facing passwords/passphrases are hard coded in the product/system.</t>
    </r>
    <r>
      <rPr>
        <sz val="11"/>
        <color rgb="FF000000"/>
        <rFont val="Verdana"/>
        <family val="2"/>
      </rPr>
      <t xml:space="preserve">
</t>
    </r>
    <r>
      <rPr>
        <sz val="11"/>
        <color rgb="FF000000"/>
        <rFont val="Verdana"/>
        <family val="2"/>
      </rPr>
      <t xml:space="preserve">
</t>
    </r>
    <r>
      <rPr>
        <sz val="11"/>
        <color rgb="FF000000"/>
        <rFont val="Verdana"/>
        <family val="2"/>
      </rPr>
      <t>Though in the codebase, there are passphrases to our internal systems</t>
    </r>
    <r>
      <rPr>
        <sz val="11"/>
        <color rgb="FF000000"/>
        <rFont val="Verdana"/>
        <family val="2"/>
      </rPr>
      <t xml:space="preserve">
</t>
    </r>
  </si>
  <si>
    <r>
      <rPr>
        <sz val="11"/>
        <color rgb="FF000000"/>
        <rFont val="Verdana"/>
        <family val="2"/>
      </rPr>
      <t>Administrators do not have access to visible account passwords within Portfolium.  All passwords stored in Portfolium are one-way hashed and uniquely salted. They cannot be decrypted or revealed.</t>
    </r>
    <r>
      <rPr>
        <sz val="11"/>
        <color rgb="FF000000"/>
        <rFont val="Verdana"/>
        <family val="2"/>
      </rPr>
      <t xml:space="preserve">
</t>
    </r>
  </si>
  <si>
    <r>
      <rPr>
        <sz val="11"/>
        <color rgb="FF000000"/>
        <rFont val="Verdana"/>
        <family val="2"/>
      </rPr>
      <t>Portfolium stores is passwords which are salted and one way hashed.  Everything is encrypted in transport and at rest</t>
    </r>
    <r>
      <rPr>
        <sz val="11"/>
        <color rgb="FF000000"/>
        <rFont val="Verdana"/>
        <family val="2"/>
      </rPr>
      <t xml:space="preserve">
</t>
    </r>
  </si>
  <si>
    <r>
      <rPr>
        <sz val="11"/>
        <color rgb="FF000000"/>
        <rFont val="Verdana"/>
        <family val="2"/>
      </rPr>
      <t>Portfolium supports FB, LinkedIn and other SAML-based logins which have MFA already built in.</t>
    </r>
    <r>
      <rPr>
        <sz val="11"/>
        <color rgb="FF000000"/>
        <rFont val="Verdana"/>
        <family val="2"/>
      </rPr>
      <t xml:space="preserve">
</t>
    </r>
  </si>
  <si>
    <r>
      <rPr>
        <sz val="11"/>
        <color rgb="FF000000"/>
        <rFont val="Verdana"/>
        <family val="2"/>
      </rPr>
      <t>Portfolium supports Google, Facebook, LInkedIn, Shibboleth, and email/password</t>
    </r>
    <r>
      <rPr>
        <sz val="11"/>
        <color rgb="FF000000"/>
        <rFont val="Verdana"/>
        <family val="2"/>
      </rPr>
      <t xml:space="preserve">
</t>
    </r>
  </si>
  <si>
    <r>
      <rPr>
        <sz val="11"/>
        <color rgb="FF000000"/>
        <rFont val="Verdana"/>
        <family val="2"/>
      </rPr>
      <t>Portfolium is not accessed through third party authentication by default, however institutions can connect their own identity providers for the purposes of accessing Portfolium. SSO is also supported. Authentications used by any other application that accesses data stored within Portfolium, is managed, configured, and the responsibility of the client.</t>
    </r>
    <r>
      <rPr>
        <sz val="11"/>
        <color rgb="FF000000"/>
        <rFont val="Verdana"/>
        <family val="2"/>
      </rPr>
      <t xml:space="preserve">
</t>
    </r>
  </si>
  <si>
    <r>
      <rPr>
        <sz val="11"/>
        <color rgb="FF000000"/>
        <rFont val="Verdana"/>
        <family val="2"/>
      </rPr>
      <t>access to the servers/infrastructure is only accessible via SSH on a gateway/bastion machine</t>
    </r>
    <r>
      <rPr>
        <sz val="11"/>
        <color rgb="FF000000"/>
        <rFont val="Verdana"/>
        <family val="2"/>
      </rPr>
      <t xml:space="preserve">
</t>
    </r>
  </si>
  <si>
    <r>
      <rPr>
        <sz val="11"/>
        <color rgb="FF000000"/>
        <rFont val="Verdana"/>
        <family val="2"/>
      </rPr>
      <t>Portfolium-internal authentication can be used alone or concurrently with any of our supported external identity providers (IdPs). Portfolium supports Active Directory, LDAP, SAML, and Shibboleth.</t>
    </r>
    <r>
      <rPr>
        <sz val="11"/>
        <color rgb="FF000000"/>
        <rFont val="Verdana"/>
        <family val="2"/>
      </rPr>
      <t xml:space="preserve">
</t>
    </r>
  </si>
  <si>
    <r>
      <rPr>
        <sz val="11"/>
        <color rgb="FF000000"/>
        <rFont val="Verdana"/>
        <family val="2"/>
      </rPr>
      <t>Portfolium is not accessed through third party authentication by default, however institutions can connect their own identity providers for the purposes of accessing Portfolium. SSO is also supported. Authentications used by any other application that accesses data stored within Portfolium,is managed, configured, and the responsibility of the client.</t>
    </r>
    <r>
      <rPr>
        <sz val="11"/>
        <color rgb="FF000000"/>
        <rFont val="Verdana"/>
        <family val="2"/>
      </rPr>
      <t xml:space="preserve">
</t>
    </r>
  </si>
  <si>
    <r>
      <rPr>
        <sz val="11"/>
        <color rgb="FF000000"/>
        <rFont val="Verdana"/>
        <family val="2"/>
      </rPr>
      <t xml:space="preserve">Portfolium tracks Login, Logout, actions performed (via API/Apache logs), as well as IP address.  </t>
    </r>
    <r>
      <rPr>
        <sz val="11"/>
        <color rgb="FF000000"/>
        <rFont val="Verdana"/>
        <family val="2"/>
      </rPr>
      <t xml:space="preserve">
</t>
    </r>
  </si>
  <si>
    <r>
      <rPr>
        <sz val="11"/>
        <color rgb="FF000000"/>
        <rFont val="Verdana"/>
        <family val="2"/>
      </rPr>
      <t xml:space="preserve">In the realm of public sector certifications, AWS, the IaaS that hosts Portfolium, has received authorization from the U.S. General Services Administration to operate at the FISMA Moderate level, and is also the platform for applications with Authorities to Operate (ATOs) under the Defense Information Assurance Certification and Accreditation Program (DIACAP), which has since been replaced by NIST/FISMA. AWS will continue to obtain the appropriate security certifications and conduct audits to demonstrate the security of our infrastructure and services.
</t>
    </r>
  </si>
  <si>
    <r>
      <rPr>
        <sz val="11"/>
        <color rgb="FF000000"/>
        <rFont val="Verdana"/>
        <family val="2"/>
      </rPr>
      <t xml:space="preserve">While Portfolium does not currently hold a SOC 2 Type II report, the Amazon Web Services infrastructure on which it is hosted does. This is available on request from AWS. The AWS SOC 3 report can be found at https://d1.awsstatic.com/whitepapers/compliance/AWS_SOC3.pdf 
</t>
    </r>
  </si>
  <si>
    <r>
      <rPr>
        <sz val="11"/>
        <color rgb="FF000000"/>
        <rFont val="Verdana"/>
        <family val="2"/>
      </rPr>
      <t xml:space="preserve">The Amazon Web Services infrastructure on which Portfolium is hosted is ISO 27001:2013 certified. The AWS ISO 27001 certification is available at: https://d0.awsstatic.com/certifications/iso_27001_global_certification.pdf. AWS also holds a SOC 2 Type II report using the Service Organization Control framework put forth by the American Institute of Certified Public Accountants (AICPA).
Portfolium does not adhere to a single security framework and instead incorporates best practices from a range of current standards into its own documented security policies.
</t>
    </r>
  </si>
  <si>
    <t xml:space="preserve">Instructure maintains a CAIQ which is included with this response.
</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</si>
  <si>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</si>
  <si>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Portfolium's Security Staff is headed by Instructure's Chief Information Security Officer.
</t>
  </si>
  <si>
    <r>
      <rPr>
        <sz val="11"/>
        <color rgb="FF000000"/>
        <rFont val="Verdana"/>
        <family val="2"/>
      </rPr>
      <t xml:space="preserve">Each team has a designated Manager and 2 layers of support staff.
Customer Support: team of 200+ world wide
Implementation: 1 Director of Customer Success and an implementation specialist per account
Product Management team of 3
Product Engineering team of 7
</t>
    </r>
  </si>
  <si>
    <r>
      <rPr>
        <sz val="11"/>
        <color rgb="FF000000"/>
        <rFont val="Verdana"/>
        <family val="2"/>
      </rPr>
      <t xml:space="preserve">Currently, Portfolium requires a minimum 8-character password.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</si>
</sst>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
  </numFmts>
  <fonts count="60"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u/>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0"/>
      <color rgb="FF000000"/>
      <name val="Calibri"/>
      <family val="2"/>
    </font>
    <font>
      <b/>
      <sz val="14"/>
      <color indexed="8"/>
      <name val="Verdana"/>
      <family val="2"/>
    </font>
    <font>
      <sz val="12"/>
      <color rgb="FFFF0000"/>
      <name val="Verdana"/>
      <family val="2"/>
    </font>
    <font>
      <sz val="10"/>
      <color rgb="FF000000"/>
      <name val="Calibri"/>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u/>
      <sz val="12"/>
      <color rgb="FF0563C1"/>
      <name val="Verdana"/>
      <family val="2"/>
    </font>
    <font>
      <sz val="14"/>
      <color rgb="FF222222"/>
      <name val="Verdana"/>
      <family val="2"/>
    </font>
    <font>
      <b/>
      <sz val="16"/>
      <color rgb="FF000000"/>
      <name val="Verdana"/>
      <family val="2"/>
    </font>
    <font>
      <sz val="10"/>
      <color rgb="FF000000"/>
      <name val="Verdana"/>
      <family val="2"/>
    </font>
    <font>
      <u/>
      <sz val="11"/>
      <color rgb="FF1155CC"/>
      <name val="Verdana"/>
      <family val="2"/>
    </font>
    <font>
      <b/>
      <sz val="14"/>
      <color rgb="FF434343"/>
      <name val="Verdana"/>
      <family val="2"/>
    </font>
    <font>
      <sz val="14"/>
      <color rgb="FF000000"/>
      <name val="Verdana"/>
      <family val="2"/>
    </font>
    <font>
      <sz val="14"/>
      <color rgb="FF212121"/>
      <name val="Verdana"/>
      <family val="2"/>
    </font>
    <font>
      <sz val="12"/>
      <color indexed="8"/>
      <name val="Verdana"/>
      <family val="2"/>
    </font>
  </fonts>
  <fills count="22">
    <fill>
      <patternFill patternType="none"/>
    </fill>
    <fill>
      <patternFill patternType="gray125"/>
    </fill>
    <fill>
      <patternFill patternType="solid">
        <fgColor theme="1"/>
        <bgColor indexed="64"/>
      </patternFill>
    </fill>
    <fill>
      <patternFill patternType="solid">
        <fgColor theme="0" tint="-4.9958800012207406E-2"/>
        <bgColor indexed="64"/>
      </patternFill>
    </fill>
    <fill>
      <patternFill patternType="solid">
        <fgColor theme="0"/>
        <bgColor indexed="64"/>
      </patternFill>
    </fill>
    <fill>
      <patternFill patternType="solid">
        <fgColor theme="0" tint="-0.14996795556505021"/>
        <bgColor indexed="64"/>
      </patternFill>
    </fill>
    <fill>
      <patternFill patternType="solid">
        <fgColor rgb="FFF3F4F4"/>
        <bgColor indexed="64"/>
      </patternFill>
    </fill>
    <fill>
      <patternFill patternType="solid">
        <fgColor theme="2" tint="0.79995117038483843"/>
        <bgColor indexed="64"/>
      </patternFill>
    </fill>
    <fill>
      <patternFill patternType="solid">
        <fgColor rgb="FFFFFFFF"/>
        <bgColor indexed="64"/>
      </patternFill>
    </fill>
    <fill>
      <patternFill patternType="solid">
        <fgColor rgb="FFD9D9D9"/>
        <bgColor indexed="64"/>
      </patternFill>
    </fill>
    <fill>
      <patternFill patternType="solid">
        <fgColor rgb="FFF2F2F2"/>
        <bgColor indexed="64"/>
      </patternFill>
    </fill>
    <fill>
      <patternFill patternType="solid">
        <fgColor rgb="FF000000"/>
        <bgColor indexed="64"/>
      </patternFill>
    </fill>
    <fill>
      <patternFill patternType="solid">
        <fgColor rgb="FFD8D8D8"/>
        <bgColor indexed="64"/>
      </patternFill>
    </fill>
    <fill>
      <patternFill patternType="solid">
        <fgColor rgb="FFF3F1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FFFFFF"/>
        <bgColor indexed="64"/>
      </patternFill>
    </fill>
    <fill>
      <patternFill patternType="solid">
        <fgColor theme="5" tint="0.79995117038483843"/>
        <bgColor indexed="64"/>
      </patternFill>
    </fill>
    <fill>
      <patternFill patternType="solid">
        <fgColor theme="1" tint="0.249977111117893"/>
        <bgColor indexed="64"/>
      </patternFill>
    </fill>
    <fill>
      <patternFill patternType="solid">
        <fgColor rgb="FF7030A0"/>
        <bgColor indexed="64"/>
      </patternFill>
    </fill>
    <fill>
      <patternFill patternType="solid">
        <fgColor theme="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applyNumberFormat="0" applyFill="0" applyBorder="0" applyProtection="0">
      <alignment vertical="top" wrapText="1"/>
    </xf>
    <xf numFmtId="9" fontId="59" fillId="0" borderId="0" applyFont="0" applyFill="0" applyBorder="0" applyAlignment="0" applyProtection="0"/>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21" fillId="0" borderId="0" applyNumberFormat="0" applyFill="0" applyBorder="0" applyProtection="0"/>
    <xf numFmtId="0" fontId="16" fillId="0" borderId="0"/>
    <xf numFmtId="0" fontId="59" fillId="0" borderId="0" applyNumberFormat="0" applyFill="0" applyBorder="0" applyProtection="0">
      <alignment vertical="top" wrapText="1"/>
    </xf>
  </cellStyleXfs>
  <cellXfs count="311">
    <xf numFmtId="0" fontId="0" fillId="0" borderId="0" xfId="0">
      <alignment vertical="top" wrapText="1"/>
    </xf>
    <xf numFmtId="0" fontId="11" fillId="3" borderId="1" xfId="0" applyNumberFormat="1" applyFont="1" applyFill="1" applyBorder="1"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13" fillId="2" borderId="1" xfId="0" applyNumberFormat="1" applyFont="1" applyFill="1" applyBorder="1" applyAlignment="1">
      <alignment horizontal="center" vertical="center" wrapText="1"/>
    </xf>
    <xf numFmtId="0" fontId="2" fillId="3" borderId="1" xfId="0" applyNumberFormat="1" applyFont="1" applyFill="1" applyBorder="1" applyAlignment="1">
      <alignment vertical="center" wrapText="1"/>
    </xf>
    <xf numFmtId="1" fontId="15" fillId="3" borderId="1" xfId="0" applyNumberFormat="1" applyFont="1" applyFill="1" applyBorder="1" applyAlignment="1">
      <alignment vertical="center" wrapText="1"/>
    </xf>
    <xf numFmtId="0" fontId="15" fillId="3" borderId="1" xfId="0" applyNumberFormat="1" applyFont="1" applyFill="1" applyBorder="1" applyAlignment="1">
      <alignment vertical="center" wrapText="1"/>
    </xf>
    <xf numFmtId="1" fontId="15" fillId="3" borderId="1" xfId="0" applyNumberFormat="1" applyFont="1" applyFill="1" applyBorder="1" applyAlignment="1">
      <alignment horizontal="left" vertical="center" wrapText="1"/>
    </xf>
    <xf numFmtId="0" fontId="3" fillId="4" borderId="1" xfId="0" applyNumberFormat="1" applyFont="1" applyFill="1" applyBorder="1" applyAlignment="1">
      <alignment horizontal="center" vertical="center" wrapText="1"/>
    </xf>
    <xf numFmtId="1" fontId="3" fillId="4" borderId="1" xfId="0" applyNumberFormat="1" applyFont="1" applyFill="1" applyBorder="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left" vertical="center" wrapText="1"/>
    </xf>
    <xf numFmtId="1" fontId="10" fillId="2" borderId="1"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1" fontId="9" fillId="4"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1" fontId="3" fillId="4" borderId="1" xfId="0" applyNumberFormat="1" applyFont="1" applyFill="1" applyBorder="1" applyAlignment="1">
      <alignment horizontal="left" vertical="center" wrapText="1"/>
    </xf>
    <xf numFmtId="0" fontId="19" fillId="0" borderId="0" xfId="0" applyNumberFormat="1" applyFont="1" applyAlignment="1"/>
    <xf numFmtId="0" fontId="20" fillId="0" borderId="0" xfId="0" applyFont="1">
      <alignment vertical="top" wrapText="1"/>
    </xf>
    <xf numFmtId="49" fontId="4" fillId="2"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0" borderId="1" xfId="0" applyNumberFormat="1" applyFont="1" applyFill="1" applyBorder="1" applyAlignment="1">
      <alignment vertical="center" wrapText="1"/>
    </xf>
    <xf numFmtId="49" fontId="9" fillId="0" borderId="0" xfId="0" applyNumberFormat="1" applyFont="1" applyBorder="1" applyAlignment="1">
      <alignment wrapText="1"/>
    </xf>
    <xf numFmtId="49" fontId="3" fillId="5" borderId="1" xfId="0" applyNumberFormat="1" applyFont="1" applyFill="1" applyBorder="1" applyAlignment="1">
      <alignment vertical="center" wrapText="1"/>
    </xf>
    <xf numFmtId="49" fontId="3" fillId="5" borderId="1" xfId="0" applyNumberFormat="1" applyFont="1" applyFill="1" applyBorder="1" applyAlignment="1">
      <alignment horizontal="left" vertical="center" wrapText="1"/>
    </xf>
    <xf numFmtId="49" fontId="1" fillId="0" borderId="0" xfId="0" applyNumberFormat="1" applyFont="1" applyAlignment="1"/>
    <xf numFmtId="49" fontId="1" fillId="0" borderId="0" xfId="0" applyNumberFormat="1" applyFont="1" applyAlignment="1">
      <alignment horizontal="center" vertical="center"/>
    </xf>
    <xf numFmtId="49" fontId="1" fillId="0" borderId="0" xfId="0" applyNumberFormat="1" applyFont="1" applyAlignment="1">
      <alignment wrapText="1"/>
    </xf>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9" applyAlignment="1">
      <alignment vertical="top" wrapText="1"/>
    </xf>
    <xf numFmtId="0" fontId="24" fillId="0" borderId="0" xfId="9" applyFont="1"/>
    <xf numFmtId="0" fontId="24" fillId="0" borderId="2" xfId="9" applyFont="1" applyBorder="1" applyAlignment="1">
      <alignment horizontal="center" vertical="center" wrapText="1"/>
    </xf>
    <xf numFmtId="49" fontId="24" fillId="0" borderId="2" xfId="9" applyNumberFormat="1" applyFont="1" applyBorder="1" applyAlignment="1">
      <alignment horizontal="center" vertical="center" wrapText="1"/>
    </xf>
    <xf numFmtId="49" fontId="24" fillId="0" borderId="3" xfId="9" applyNumberFormat="1" applyFont="1" applyBorder="1" applyAlignment="1">
      <alignment horizontal="center" vertical="center" wrapText="1"/>
    </xf>
    <xf numFmtId="49" fontId="27" fillId="0" borderId="4" xfId="11" applyNumberFormat="1" applyFont="1" applyBorder="1" applyAlignment="1">
      <alignment horizontal="center" vertical="center"/>
    </xf>
    <xf numFmtId="0" fontId="27" fillId="0" borderId="4" xfId="11" applyFont="1" applyBorder="1" applyAlignment="1">
      <alignment horizontal="left" vertical="center" wrapText="1"/>
    </xf>
    <xf numFmtId="0" fontId="25" fillId="0" borderId="0" xfId="9" applyAlignment="1">
      <alignment vertical="top"/>
    </xf>
    <xf numFmtId="0" fontId="25" fillId="0" borderId="0" xfId="9"/>
    <xf numFmtId="0" fontId="28" fillId="6" borderId="5" xfId="9" applyFont="1" applyFill="1" applyBorder="1" applyAlignment="1">
      <alignment horizontal="center" vertical="top" wrapText="1"/>
    </xf>
    <xf numFmtId="0" fontId="28" fillId="6" borderId="0" xfId="9" applyFont="1" applyFill="1" applyAlignment="1">
      <alignment horizontal="center" vertical="top" wrapText="1"/>
    </xf>
    <xf numFmtId="0" fontId="31" fillId="0" borderId="0" xfId="9" applyFont="1" applyAlignment="1">
      <alignment vertical="top" wrapText="1"/>
    </xf>
    <xf numFmtId="0" fontId="31" fillId="0" borderId="0" xfId="9" applyFont="1" applyAlignment="1">
      <alignment vertical="top"/>
    </xf>
    <xf numFmtId="49" fontId="31" fillId="0" borderId="2" xfId="9" applyNumberFormat="1" applyFont="1" applyBorder="1" applyAlignment="1">
      <alignment horizontal="center" vertical="center" wrapText="1"/>
    </xf>
    <xf numFmtId="0" fontId="28" fillId="6" borderId="0" xfId="9" applyFont="1" applyFill="1" applyAlignment="1">
      <alignment horizontal="left" vertical="top"/>
    </xf>
    <xf numFmtId="0" fontId="28" fillId="6" borderId="5" xfId="9" applyFont="1" applyFill="1" applyBorder="1" applyAlignment="1">
      <alignment horizontal="left" vertical="top"/>
    </xf>
    <xf numFmtId="0" fontId="29" fillId="6" borderId="5" xfId="9" applyFont="1" applyFill="1" applyBorder="1" applyAlignment="1">
      <alignment horizontal="left" vertical="top"/>
    </xf>
    <xf numFmtId="0" fontId="3" fillId="7" borderId="1" xfId="0" applyNumberFormat="1" applyFont="1" applyFill="1" applyBorder="1" applyAlignment="1">
      <alignment vertical="center" wrapText="1"/>
    </xf>
    <xf numFmtId="0" fontId="1" fillId="0" borderId="0" xfId="0" applyFont="1">
      <alignment vertical="top" wrapText="1"/>
    </xf>
    <xf numFmtId="165" fontId="1" fillId="0" borderId="0" xfId="0" applyNumberFormat="1" applyFont="1">
      <alignment vertical="top" wrapText="1"/>
    </xf>
    <xf numFmtId="0" fontId="24" fillId="0" borderId="0" xfId="0" applyFont="1" applyBorder="1" applyAlignment="1"/>
    <xf numFmtId="0" fontId="24" fillId="0" borderId="0" xfId="0" applyFont="1" applyBorder="1" applyAlignment="1">
      <alignment horizontal="center"/>
    </xf>
    <xf numFmtId="0" fontId="24" fillId="8" borderId="0" xfId="0" applyFont="1" applyFill="1" applyBorder="1" applyAlignment="1">
      <alignment horizontal="center"/>
    </xf>
    <xf numFmtId="0" fontId="34" fillId="9" borderId="0" xfId="0" applyFont="1" applyFill="1" applyBorder="1" applyAlignment="1"/>
    <xf numFmtId="0" fontId="24" fillId="0" borderId="6" xfId="0" applyFont="1" applyBorder="1" applyAlignment="1">
      <alignment wrapText="1"/>
    </xf>
    <xf numFmtId="0" fontId="24" fillId="0" borderId="0" xfId="0" applyFont="1">
      <alignment vertical="top"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6" xfId="0" applyFont="1" applyBorder="1" applyAlignment="1">
      <alignment horizontal="right" wrapText="1"/>
    </xf>
    <xf numFmtId="0" fontId="35" fillId="0" borderId="0" xfId="0" applyFont="1" applyFill="1" applyBorder="1" applyAlignment="1">
      <alignment vertical="top"/>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0" xfId="0" applyFont="1" applyFill="1" applyBorder="1" applyAlignment="1">
      <alignment vertical="top"/>
    </xf>
    <xf numFmtId="0" fontId="24" fillId="8" borderId="6" xfId="0" applyFont="1" applyFill="1" applyBorder="1" applyAlignment="1">
      <alignment wrapText="1"/>
    </xf>
    <xf numFmtId="0" fontId="24" fillId="0" borderId="7" xfId="0" applyFont="1" applyFill="1" applyBorder="1" applyAlignment="1">
      <alignment vertical="top"/>
    </xf>
    <xf numFmtId="0" fontId="24" fillId="0" borderId="7" xfId="0" applyFont="1" applyBorder="1" applyAlignment="1">
      <alignment vertical="top"/>
    </xf>
    <xf numFmtId="10" fontId="24" fillId="0" borderId="7" xfId="0" applyNumberFormat="1" applyFont="1" applyBorder="1" applyAlignment="1">
      <alignment vertical="top"/>
    </xf>
    <xf numFmtId="0" fontId="24" fillId="0" borderId="7" xfId="0" applyFont="1" applyBorder="1" applyAlignment="1"/>
    <xf numFmtId="0" fontId="24" fillId="0" borderId="0" xfId="0" applyFont="1" applyFill="1" applyAlignment="1">
      <alignment vertical="top"/>
    </xf>
    <xf numFmtId="0" fontId="24" fillId="0" borderId="0" xfId="0" applyFont="1" applyAlignment="1">
      <alignment vertical="top"/>
    </xf>
    <xf numFmtId="0" fontId="36" fillId="0" borderId="0" xfId="0" applyFont="1">
      <alignment vertical="top" wrapText="1"/>
    </xf>
    <xf numFmtId="9" fontId="1" fillId="0" borderId="0" xfId="1" applyFont="1" applyAlignment="1">
      <alignment vertical="top" wrapText="1"/>
    </xf>
    <xf numFmtId="10" fontId="24" fillId="0" borderId="0" xfId="0" applyNumberFormat="1" applyFont="1" applyFill="1" applyAlignment="1">
      <alignment vertical="top"/>
    </xf>
    <xf numFmtId="0" fontId="0" fillId="0" borderId="0" xfId="0" applyNumberFormat="1">
      <alignment vertical="top" wrapText="1"/>
    </xf>
    <xf numFmtId="0" fontId="24" fillId="0" borderId="0" xfId="0" applyNumberFormat="1" applyFont="1">
      <alignment vertical="top" wrapText="1"/>
    </xf>
    <xf numFmtId="0" fontId="39" fillId="0" borderId="0" xfId="0" applyNumberFormat="1" applyFont="1">
      <alignment vertical="top" wrapText="1"/>
    </xf>
    <xf numFmtId="0" fontId="24" fillId="0" borderId="8" xfId="0" applyNumberFormat="1" applyFont="1" applyBorder="1" applyAlignment="1">
      <alignment horizontal="center" vertical="center" wrapText="1"/>
    </xf>
    <xf numFmtId="0" fontId="24" fillId="0" borderId="9" xfId="0" applyNumberFormat="1" applyFont="1" applyBorder="1" applyAlignment="1">
      <alignment horizontal="center" vertical="center" wrapText="1"/>
    </xf>
    <xf numFmtId="49" fontId="31" fillId="0" borderId="0" xfId="9" applyNumberFormat="1" applyFont="1" applyAlignment="1">
      <alignment horizontal="left" vertical="top" wrapText="1"/>
    </xf>
    <xf numFmtId="0" fontId="24" fillId="10" borderId="1" xfId="0" applyFont="1" applyFill="1" applyBorder="1" applyAlignment="1">
      <alignment vertical="center" wrapText="1"/>
    </xf>
    <xf numFmtId="0" fontId="14" fillId="8" borderId="1" xfId="0" applyFont="1" applyFill="1" applyBorder="1" applyAlignment="1">
      <alignment vertical="center" wrapText="1"/>
    </xf>
    <xf numFmtId="0" fontId="1" fillId="0" borderId="0" xfId="0" applyFont="1" applyBorder="1">
      <alignment vertical="top" wrapText="1"/>
    </xf>
    <xf numFmtId="0" fontId="24" fillId="0" borderId="10" xfId="0" applyFont="1" applyBorder="1" applyAlignment="1">
      <alignment wrapText="1"/>
    </xf>
    <xf numFmtId="0" fontId="24" fillId="0" borderId="0" xfId="0" applyFont="1" applyBorder="1">
      <alignment vertical="top" wrapText="1"/>
    </xf>
    <xf numFmtId="0" fontId="1" fillId="0" borderId="10" xfId="0" applyFont="1" applyBorder="1" applyAlignment="1">
      <alignment horizontal="center" wrapText="1"/>
    </xf>
    <xf numFmtId="0" fontId="24" fillId="8" borderId="10" xfId="0" applyFont="1" applyFill="1" applyBorder="1" applyAlignment="1">
      <alignment wrapText="1"/>
    </xf>
    <xf numFmtId="0" fontId="1" fillId="0" borderId="10" xfId="0" applyFont="1" applyBorder="1" applyAlignment="1">
      <alignment wrapText="1"/>
    </xf>
    <xf numFmtId="0" fontId="1" fillId="0" borderId="10" xfId="0" applyFont="1" applyBorder="1" applyAlignment="1">
      <alignment horizontal="right" wrapText="1"/>
    </xf>
    <xf numFmtId="165" fontId="1" fillId="0" borderId="0" xfId="0" applyNumberFormat="1" applyFont="1" applyBorder="1">
      <alignment vertical="top" wrapText="1"/>
    </xf>
    <xf numFmtId="0" fontId="15" fillId="3" borderId="1" xfId="0" applyFont="1" applyFill="1" applyBorder="1" applyAlignment="1">
      <alignment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9" fontId="24" fillId="0" borderId="1" xfId="13"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0" fontId="8" fillId="0" borderId="0" xfId="0" applyFont="1" applyAlignment="1">
      <alignment vertical="center" wrapText="1"/>
    </xf>
    <xf numFmtId="0" fontId="15" fillId="0" borderId="0" xfId="0" applyFont="1">
      <alignment vertical="top" wrapText="1"/>
    </xf>
    <xf numFmtId="0" fontId="20" fillId="2" borderId="0" xfId="0" applyFont="1" applyFill="1">
      <alignment vertical="top" wrapText="1"/>
    </xf>
    <xf numFmtId="0" fontId="20" fillId="2" borderId="0" xfId="0" applyFont="1" applyFill="1" applyAlignment="1">
      <alignment horizontal="left" vertical="top" wrapText="1"/>
    </xf>
    <xf numFmtId="0" fontId="0" fillId="2" borderId="0" xfId="0" applyFill="1" applyAlignment="1">
      <alignment horizontal="left" vertical="top" wrapText="1"/>
    </xf>
    <xf numFmtId="0" fontId="42" fillId="0" borderId="0" xfId="0" applyFont="1" applyAlignment="1">
      <alignment vertical="center" wrapText="1"/>
    </xf>
    <xf numFmtId="0" fontId="32" fillId="0" borderId="1" xfId="0" applyFont="1" applyBorder="1" applyAlignment="1">
      <alignment vertical="center" wrapText="1"/>
    </xf>
    <xf numFmtId="0" fontId="24" fillId="0" borderId="1" xfId="0" applyFont="1" applyBorder="1" applyAlignment="1">
      <alignment wrapText="1"/>
    </xf>
    <xf numFmtId="0" fontId="24" fillId="0" borderId="1" xfId="0" applyFont="1" applyBorder="1" applyAlignment="1">
      <alignment horizontal="center" wrapText="1"/>
    </xf>
    <xf numFmtId="9" fontId="24" fillId="0" borderId="1" xfId="0" applyNumberFormat="1" applyFont="1" applyBorder="1" applyAlignment="1">
      <alignment horizontal="center" wrapText="1"/>
    </xf>
    <xf numFmtId="0" fontId="32" fillId="0" borderId="1" xfId="0" applyFont="1" applyBorder="1" applyAlignment="1">
      <alignment horizontal="center" vertical="center" wrapText="1"/>
    </xf>
    <xf numFmtId="0" fontId="32" fillId="3" borderId="1" xfId="0" applyFont="1" applyFill="1" applyBorder="1" applyAlignment="1">
      <alignment horizontal="center" vertical="center" wrapText="1"/>
    </xf>
    <xf numFmtId="0" fontId="32" fillId="3" borderId="1" xfId="0" applyNumberFormat="1" applyFont="1" applyFill="1" applyBorder="1" applyAlignment="1">
      <alignment horizontal="center" vertical="center" wrapText="1"/>
    </xf>
    <xf numFmtId="9" fontId="32" fillId="3" borderId="1" xfId="0" applyNumberFormat="1" applyFont="1" applyFill="1" applyBorder="1" applyAlignment="1">
      <alignment horizontal="center" vertical="center" wrapText="1"/>
    </xf>
    <xf numFmtId="0" fontId="1" fillId="0" borderId="1" xfId="0" applyNumberFormat="1" applyFont="1" applyBorder="1" applyAlignment="1"/>
    <xf numFmtId="0" fontId="38" fillId="11"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0" fillId="12" borderId="1" xfId="0" applyFill="1" applyBorder="1" applyAlignment="1">
      <alignment vertical="center" wrapText="1"/>
    </xf>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32" fillId="0" borderId="1" xfId="0" applyFont="1" applyFill="1" applyBorder="1" applyAlignment="1">
      <alignment vertical="center" wrapText="1"/>
    </xf>
    <xf numFmtId="0" fontId="32" fillId="13" borderId="1" xfId="0" applyFont="1" applyFill="1" applyBorder="1" applyAlignment="1">
      <alignment vertical="center" wrapText="1"/>
    </xf>
    <xf numFmtId="1" fontId="3" fillId="4" borderId="1" xfId="0" applyNumberFormat="1" applyFont="1" applyFill="1" applyBorder="1" applyAlignment="1">
      <alignment horizontal="center" vertical="center" wrapText="1"/>
    </xf>
    <xf numFmtId="0" fontId="44" fillId="0" borderId="1" xfId="0" applyFont="1" applyBorder="1" applyAlignment="1">
      <alignment vertical="center" wrapText="1"/>
    </xf>
    <xf numFmtId="0" fontId="12" fillId="14" borderId="11" xfId="0" applyNumberFormat="1" applyFont="1" applyFill="1" applyBorder="1" applyAlignment="1">
      <alignment horizontal="center" vertical="center" wrapText="1"/>
    </xf>
    <xf numFmtId="0" fontId="4" fillId="3" borderId="1" xfId="0" applyNumberFormat="1" applyFont="1" applyFill="1" applyBorder="1" applyAlignment="1">
      <alignment horizontal="left" vertical="center" wrapText="1"/>
    </xf>
    <xf numFmtId="49" fontId="4" fillId="3"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38" fillId="3" borderId="1" xfId="0" applyFont="1" applyFill="1" applyBorder="1" applyAlignment="1">
      <alignment horizontal="center" vertical="center" wrapText="1"/>
    </xf>
    <xf numFmtId="0" fontId="19" fillId="3" borderId="0" xfId="0" applyNumberFormat="1" applyFont="1" applyFill="1" applyAlignment="1"/>
    <xf numFmtId="0" fontId="20" fillId="3" borderId="0" xfId="0" applyFont="1" applyFill="1">
      <alignment vertical="top" wrapText="1"/>
    </xf>
    <xf numFmtId="0" fontId="25" fillId="0" borderId="1" xfId="0" applyFont="1" applyBorder="1">
      <alignment vertical="top" wrapText="1"/>
    </xf>
    <xf numFmtId="0" fontId="24" fillId="0" borderId="1" xfId="0" applyFont="1" applyBorder="1" applyAlignment="1"/>
    <xf numFmtId="0" fontId="32" fillId="0" borderId="12" xfId="0" applyFont="1" applyBorder="1" applyAlignment="1">
      <alignment vertical="center" wrapText="1"/>
    </xf>
    <xf numFmtId="0" fontId="32" fillId="0" borderId="13" xfId="0" applyFont="1" applyBorder="1" applyAlignment="1">
      <alignment vertical="center" wrapText="1"/>
    </xf>
    <xf numFmtId="0" fontId="24" fillId="0" borderId="13" xfId="0" applyFont="1" applyBorder="1" applyAlignment="1">
      <alignment vertical="center" wrapText="1"/>
    </xf>
    <xf numFmtId="0" fontId="32" fillId="0" borderId="14" xfId="0" applyFont="1" applyBorder="1" applyAlignment="1">
      <alignment vertical="center" wrapText="1"/>
    </xf>
    <xf numFmtId="0" fontId="1" fillId="0" borderId="1" xfId="0" applyFont="1" applyFill="1" applyBorder="1" applyAlignment="1">
      <alignment vertical="center" wrapText="1"/>
    </xf>
    <xf numFmtId="0" fontId="16" fillId="0" borderId="0" xfId="16"/>
    <xf numFmtId="0" fontId="16" fillId="0" borderId="15" xfId="16" applyBorder="1"/>
    <xf numFmtId="0" fontId="16" fillId="0" borderId="16" xfId="16" applyBorder="1"/>
    <xf numFmtId="0" fontId="16" fillId="0" borderId="17" xfId="16" applyBorder="1"/>
    <xf numFmtId="0" fontId="16" fillId="0" borderId="18" xfId="16"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5" fillId="10" borderId="1" xfId="0" applyFont="1" applyFill="1" applyBorder="1" applyAlignment="1">
      <alignment vertical="center" wrapText="1"/>
    </xf>
    <xf numFmtId="0" fontId="12" fillId="15" borderId="1" xfId="0" applyNumberFormat="1" applyFont="1" applyFill="1" applyBorder="1" applyAlignment="1">
      <alignment horizontal="center" vertical="center" wrapText="1"/>
    </xf>
    <xf numFmtId="0" fontId="12" fillId="16" borderId="11"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4" fillId="0" borderId="0" xfId="0" applyFont="1" applyAlignment="1"/>
    <xf numFmtId="0" fontId="46"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9" xfId="0" applyFont="1" applyBorder="1" applyAlignment="1">
      <alignment vertical="center" wrapText="1"/>
    </xf>
    <xf numFmtId="0" fontId="1" fillId="0" borderId="7" xfId="0" applyFont="1" applyBorder="1" applyAlignment="1">
      <alignment vertical="center" wrapText="1"/>
    </xf>
    <xf numFmtId="0" fontId="1" fillId="0" borderId="20" xfId="0" applyFont="1" applyBorder="1" applyAlignment="1">
      <alignment vertical="center" wrapText="1"/>
    </xf>
    <xf numFmtId="0" fontId="1" fillId="0" borderId="15" xfId="0" applyFont="1" applyBorder="1">
      <alignment vertical="top" wrapText="1"/>
    </xf>
    <xf numFmtId="0" fontId="1" fillId="0" borderId="16" xfId="0" applyFont="1" applyBorder="1">
      <alignment vertical="top" wrapText="1"/>
    </xf>
    <xf numFmtId="0" fontId="0" fillId="0" borderId="15" xfId="0" applyBorder="1">
      <alignment vertical="top" wrapText="1"/>
    </xf>
    <xf numFmtId="0" fontId="0" fillId="0" borderId="0" xfId="0" applyBorder="1">
      <alignment vertical="top" wrapText="1"/>
    </xf>
    <xf numFmtId="0" fontId="0" fillId="0" borderId="16" xfId="0" applyBorder="1">
      <alignment vertical="top" wrapText="1"/>
    </xf>
    <xf numFmtId="0" fontId="0" fillId="0" borderId="17" xfId="0" applyBorder="1">
      <alignment vertical="top" wrapText="1"/>
    </xf>
    <xf numFmtId="0" fontId="0" fillId="0" borderId="21" xfId="0" applyBorder="1">
      <alignment vertical="top" wrapText="1"/>
    </xf>
    <xf numFmtId="0" fontId="0" fillId="0" borderId="18" xfId="0" applyBorder="1">
      <alignment vertical="top" wrapText="1"/>
    </xf>
    <xf numFmtId="0" fontId="36" fillId="0" borderId="0" xfId="0" applyFont="1" applyAlignment="1">
      <alignment horizontal="left" vertical="top" wrapText="1"/>
    </xf>
    <xf numFmtId="165" fontId="36" fillId="0" borderId="0" xfId="0" applyNumberFormat="1" applyFont="1" applyAlignment="1">
      <alignment horizontal="left" vertical="top" wrapText="1"/>
    </xf>
    <xf numFmtId="0" fontId="32" fillId="0" borderId="17" xfId="0" applyFont="1" applyBorder="1" applyAlignment="1">
      <alignment vertical="center" wrapText="1"/>
    </xf>
    <xf numFmtId="0" fontId="32" fillId="0" borderId="21" xfId="0" applyFont="1" applyBorder="1" applyAlignment="1">
      <alignment vertical="center" wrapText="1"/>
    </xf>
    <xf numFmtId="0" fontId="24" fillId="0" borderId="21" xfId="0" applyFont="1" applyFill="1" applyBorder="1" applyAlignment="1">
      <alignment horizontal="left" vertical="center"/>
    </xf>
    <xf numFmtId="0" fontId="24" fillId="0" borderId="18" xfId="0" applyFont="1" applyFill="1" applyBorder="1" applyAlignment="1">
      <alignment horizontal="left" vertical="center"/>
    </xf>
    <xf numFmtId="0" fontId="3" fillId="4" borderId="1" xfId="0" applyNumberFormat="1" applyFont="1" applyFill="1" applyBorder="1" applyAlignment="1">
      <alignment horizontal="left" vertical="center" wrapText="1"/>
    </xf>
    <xf numFmtId="0" fontId="3" fillId="8" borderId="1" xfId="0" applyFont="1" applyFill="1" applyBorder="1" applyAlignment="1">
      <alignment horizontal="left" vertical="center" wrapText="1"/>
    </xf>
    <xf numFmtId="0" fontId="24" fillId="17" borderId="1" xfId="0" applyFont="1" applyFill="1" applyBorder="1" applyAlignment="1">
      <alignment horizontal="left" vertical="center" wrapText="1"/>
    </xf>
    <xf numFmtId="0" fontId="24" fillId="0" borderId="1" xfId="0" applyFont="1" applyBorder="1" applyAlignment="1">
      <alignment vertical="center" wrapText="1"/>
    </xf>
    <xf numFmtId="1" fontId="24" fillId="17" borderId="1" xfId="0" applyNumberFormat="1" applyFont="1" applyFill="1" applyBorder="1" applyAlignment="1">
      <alignment vertical="center" wrapText="1"/>
    </xf>
    <xf numFmtId="0" fontId="24" fillId="0" borderId="1" xfId="0" applyFont="1" applyBorder="1" applyAlignment="1">
      <alignment horizontal="left" vertical="center" wrapText="1"/>
    </xf>
    <xf numFmtId="0" fontId="35" fillId="0" borderId="1" xfId="0" applyFont="1" applyBorder="1" applyAlignment="1">
      <alignment horizontal="left" vertical="center" wrapText="1"/>
    </xf>
    <xf numFmtId="1" fontId="24" fillId="17" borderId="1" xfId="0" applyNumberFormat="1" applyFont="1" applyFill="1" applyBorder="1" applyAlignment="1">
      <alignment horizontal="left" vertical="center" wrapText="1"/>
    </xf>
    <xf numFmtId="0" fontId="24" fillId="4" borderId="1" xfId="0" applyNumberFormat="1" applyFont="1" applyFill="1" applyBorder="1" applyAlignment="1">
      <alignment horizontal="left" vertical="center" wrapText="1"/>
    </xf>
    <xf numFmtId="1" fontId="24" fillId="4" borderId="1" xfId="0" applyNumberFormat="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1" fontId="1" fillId="4" borderId="1" xfId="0" applyNumberFormat="1" applyFont="1" applyFill="1" applyBorder="1" applyAlignment="1">
      <alignment horizontal="left" vertical="center" wrapText="1"/>
    </xf>
    <xf numFmtId="0" fontId="35" fillId="0" borderId="1" xfId="0" applyFont="1" applyBorder="1" applyAlignment="1">
      <alignment vertical="center"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5" fillId="0" borderId="1" xfId="0" applyNumberFormat="1" applyFont="1" applyFill="1" applyBorder="1" applyAlignment="1">
      <alignment vertical="center" wrapText="1"/>
    </xf>
    <xf numFmtId="0" fontId="0" fillId="0" borderId="1" xfId="0" applyBorder="1" applyAlignment="1">
      <alignment horizontal="left" vertical="top" wrapText="1"/>
    </xf>
    <xf numFmtId="0" fontId="16" fillId="0" borderId="0" xfId="2"/>
    <xf numFmtId="0" fontId="24" fillId="4" borderId="1" xfId="0" applyNumberFormat="1" applyFont="1" applyFill="1" applyBorder="1" applyAlignment="1" applyProtection="1">
      <alignment horizontal="center" vertical="center" wrapText="1"/>
      <protection locked="0"/>
    </xf>
    <xf numFmtId="0" fontId="3" fillId="4" borderId="1" xfId="0" applyNumberFormat="1" applyFont="1" applyFill="1" applyBorder="1" applyAlignment="1" applyProtection="1">
      <alignment horizontal="left" vertical="center" wrapText="1"/>
      <protection locked="0"/>
    </xf>
    <xf numFmtId="0" fontId="24" fillId="8" borderId="1" xfId="0" applyFont="1" applyFill="1" applyBorder="1" applyAlignment="1" applyProtection="1">
      <alignment vertical="center" wrapText="1"/>
      <protection locked="0"/>
    </xf>
    <xf numFmtId="1" fontId="24" fillId="4" borderId="1" xfId="0" applyNumberFormat="1" applyFont="1" applyFill="1" applyBorder="1" applyAlignment="1" applyProtection="1">
      <alignment horizontal="center" vertical="center" wrapText="1"/>
      <protection locked="0"/>
    </xf>
    <xf numFmtId="1" fontId="3" fillId="4" borderId="1" xfId="0" applyNumberFormat="1" applyFont="1" applyFill="1" applyBorder="1" applyAlignment="1" applyProtection="1">
      <alignment vertical="center" wrapText="1"/>
      <protection locked="0"/>
    </xf>
    <xf numFmtId="1" fontId="1" fillId="4" borderId="1" xfId="0" applyNumberFormat="1" applyFont="1" applyFill="1" applyBorder="1" applyAlignment="1" applyProtection="1">
      <alignment vertical="center" wrapText="1"/>
      <protection locked="0"/>
    </xf>
    <xf numFmtId="0" fontId="3" fillId="4" borderId="1" xfId="0" applyNumberFormat="1" applyFont="1" applyFill="1" applyBorder="1" applyAlignment="1" applyProtection="1">
      <alignment vertical="center" wrapText="1"/>
      <protection locked="0"/>
    </xf>
    <xf numFmtId="0" fontId="1" fillId="4" borderId="1" xfId="0" applyNumberFormat="1"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0" fontId="21" fillId="8" borderId="1" xfId="15"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1" fontId="3" fillId="4" borderId="1" xfId="0" applyNumberFormat="1" applyFont="1" applyFill="1" applyBorder="1" applyAlignment="1" applyProtection="1">
      <alignment horizontal="left" vertical="center" wrapText="1"/>
      <protection locked="0"/>
    </xf>
    <xf numFmtId="0" fontId="16" fillId="0" borderId="19" xfId="16" applyBorder="1" applyAlignment="1">
      <alignment horizontal="left"/>
    </xf>
    <xf numFmtId="0" fontId="16" fillId="0" borderId="20" xfId="16" applyBorder="1" applyAlignment="1">
      <alignment horizontal="left"/>
    </xf>
    <xf numFmtId="0" fontId="41" fillId="18" borderId="1" xfId="17" applyFont="1" applyFill="1" applyBorder="1" applyAlignment="1">
      <alignment horizontal="left" vertical="center" wrapText="1"/>
    </xf>
    <xf numFmtId="0" fontId="50" fillId="15" borderId="22" xfId="0" applyFont="1" applyFill="1" applyBorder="1" applyAlignment="1">
      <alignment horizontal="center" vertical="center" wrapText="1"/>
    </xf>
    <xf numFmtId="0" fontId="50" fillId="15" borderId="1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23" xfId="0" applyFont="1" applyBorder="1" applyAlignment="1">
      <alignment vertical="center" wrapText="1"/>
    </xf>
    <xf numFmtId="0" fontId="17" fillId="0" borderId="22" xfId="0" applyFont="1" applyBorder="1" applyAlignment="1">
      <alignment horizontal="left" vertical="top" wrapText="1"/>
    </xf>
    <xf numFmtId="0" fontId="17" fillId="0" borderId="11" xfId="0" applyFont="1" applyBorder="1" applyAlignment="1">
      <alignment horizontal="left" vertical="top" wrapText="1"/>
    </xf>
    <xf numFmtId="0" fontId="41" fillId="18" borderId="1" xfId="0" applyFont="1" applyFill="1" applyBorder="1" applyAlignment="1">
      <alignment horizontal="left" vertical="center" wrapText="1"/>
    </xf>
    <xf numFmtId="0" fontId="12" fillId="2" borderId="22" xfId="0" applyFont="1" applyFill="1" applyBorder="1" applyAlignment="1">
      <alignment horizontal="left" vertical="center" wrapText="1"/>
    </xf>
    <xf numFmtId="0" fontId="12" fillId="2" borderId="11" xfId="0" applyFont="1" applyFill="1" applyBorder="1" applyAlignment="1">
      <alignment horizontal="left" vertical="center" wrapText="1"/>
    </xf>
    <xf numFmtId="0" fontId="24" fillId="0" borderId="1" xfId="0" applyFont="1" applyBorder="1" applyAlignment="1">
      <alignment horizontal="left" vertical="center" wrapText="1"/>
    </xf>
    <xf numFmtId="0" fontId="3" fillId="0" borderId="22" xfId="0" applyFont="1" applyBorder="1" applyAlignment="1">
      <alignment horizontal="left" vertical="center" wrapText="1"/>
    </xf>
    <xf numFmtId="0" fontId="3" fillId="0" borderId="11" xfId="0" applyFont="1" applyBorder="1" applyAlignment="1">
      <alignment horizontal="left" vertical="center" wrapText="1"/>
    </xf>
    <xf numFmtId="0" fontId="7" fillId="11" borderId="1" xfId="0" applyFont="1" applyFill="1" applyBorder="1" applyAlignment="1">
      <alignment horizontal="left" vertical="center" wrapText="1"/>
    </xf>
    <xf numFmtId="0" fontId="11" fillId="3" borderId="1" xfId="0" applyNumberFormat="1" applyFont="1" applyFill="1" applyBorder="1" applyAlignment="1">
      <alignment horizontal="left" vertical="center" wrapText="1"/>
    </xf>
    <xf numFmtId="0" fontId="3" fillId="4" borderId="1" xfId="0" applyNumberFormat="1" applyFont="1" applyFill="1" applyBorder="1" applyAlignment="1" applyProtection="1">
      <alignment horizontal="left" vertical="center" wrapText="1"/>
      <protection locked="0"/>
    </xf>
    <xf numFmtId="0" fontId="3" fillId="4" borderId="1"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24" fillId="8" borderId="1" xfId="0" applyFont="1" applyFill="1" applyBorder="1" applyAlignment="1" applyProtection="1">
      <alignment vertical="center" wrapText="1"/>
      <protection locked="0"/>
    </xf>
    <xf numFmtId="0" fontId="24" fillId="8" borderId="1" xfId="0" applyFont="1" applyFill="1" applyBorder="1" applyAlignment="1">
      <alignment vertical="center" wrapText="1"/>
    </xf>
    <xf numFmtId="0" fontId="1" fillId="8" borderId="1" xfId="0" applyFont="1" applyFill="1" applyBorder="1" applyAlignment="1">
      <alignment vertical="center" wrapText="1"/>
    </xf>
    <xf numFmtId="0" fontId="7" fillId="15"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6" fillId="4"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45" fillId="3" borderId="1" xfId="0" applyNumberFormat="1" applyFont="1" applyFill="1" applyBorder="1" applyAlignment="1">
      <alignment vertical="center" wrapText="1"/>
    </xf>
    <xf numFmtId="0" fontId="20" fillId="19" borderId="1" xfId="0" applyNumberFormat="1"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0" fontId="1" fillId="4" borderId="1" xfId="0" applyNumberFormat="1" applyFont="1" applyFill="1" applyBorder="1" applyAlignment="1" applyProtection="1">
      <alignment horizontal="left" vertical="center" wrapText="1"/>
      <protection locked="0"/>
    </xf>
    <xf numFmtId="0" fontId="1" fillId="4" borderId="1" xfId="0" applyNumberFormat="1" applyFont="1" applyFill="1" applyBorder="1" applyAlignment="1">
      <alignment horizontal="left" vertical="center" wrapText="1"/>
    </xf>
    <xf numFmtId="0" fontId="7" fillId="20" borderId="22" xfId="0" applyNumberFormat="1" applyFont="1" applyFill="1" applyBorder="1" applyAlignment="1">
      <alignment horizontal="left" vertical="center" wrapText="1"/>
    </xf>
    <xf numFmtId="0" fontId="7" fillId="20" borderId="23" xfId="0" applyNumberFormat="1" applyFont="1" applyFill="1" applyBorder="1" applyAlignment="1">
      <alignment horizontal="left" vertical="center" wrapText="1"/>
    </xf>
    <xf numFmtId="0" fontId="7" fillId="20" borderId="11"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32" fillId="0" borderId="17" xfId="0" applyFont="1" applyBorder="1" applyAlignment="1">
      <alignment horizontal="center" vertical="center" wrapText="1"/>
    </xf>
    <xf numFmtId="0" fontId="32" fillId="0" borderId="21" xfId="0" applyFont="1" applyBorder="1" applyAlignment="1">
      <alignment horizontal="center" vertical="center" wrapText="1"/>
    </xf>
    <xf numFmtId="0" fontId="32" fillId="0" borderId="18" xfId="0" applyFont="1" applyBorder="1" applyAlignment="1">
      <alignment horizontal="center" vertical="center" wrapText="1"/>
    </xf>
    <xf numFmtId="0" fontId="7" fillId="16" borderId="1" xfId="0" applyNumberFormat="1" applyFont="1" applyFill="1" applyBorder="1" applyAlignment="1">
      <alignment horizontal="left" vertical="center" wrapText="1"/>
    </xf>
    <xf numFmtId="0" fontId="7" fillId="16" borderId="2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22" xfId="0" applyFont="1" applyBorder="1" applyAlignment="1">
      <alignment horizontal="left" vertical="center" wrapText="1"/>
    </xf>
    <xf numFmtId="0" fontId="24" fillId="0" borderId="11" xfId="0" applyFont="1" applyBorder="1" applyAlignment="1">
      <alignment horizontal="left" vertical="center" wrapText="1"/>
    </xf>
    <xf numFmtId="0" fontId="4" fillId="2" borderId="19"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1" xfId="0" applyNumberFormat="1" applyFont="1" applyFill="1" applyBorder="1" applyAlignment="1">
      <alignment horizontal="left" vertical="center" wrapText="1"/>
    </xf>
    <xf numFmtId="0" fontId="0" fillId="0" borderId="0" xfId="0">
      <alignment vertical="top" wrapText="1"/>
    </xf>
    <xf numFmtId="0" fontId="0" fillId="0" borderId="0" xfId="0" applyAlignment="1">
      <alignment horizontal="left" vertical="top" wrapText="1"/>
    </xf>
    <xf numFmtId="0" fontId="8" fillId="3" borderId="1" xfId="0" applyFont="1" applyFill="1" applyBorder="1" applyAlignment="1">
      <alignment horizontal="left" vertical="center" wrapText="1"/>
    </xf>
    <xf numFmtId="0" fontId="42" fillId="0" borderId="0" xfId="0" applyFont="1" applyAlignment="1">
      <alignment horizontal="center" vertical="center" wrapText="1"/>
    </xf>
    <xf numFmtId="0" fontId="8" fillId="0" borderId="1" xfId="0" applyFont="1" applyBorder="1" applyAlignment="1">
      <alignment horizontal="center" vertical="center" wrapText="1"/>
    </xf>
    <xf numFmtId="0" fontId="1" fillId="0" borderId="22" xfId="0" applyFont="1" applyBorder="1" applyAlignment="1">
      <alignment horizontal="center" vertical="center"/>
    </xf>
    <xf numFmtId="0" fontId="1" fillId="0" borderId="11" xfId="0" applyFont="1" applyBorder="1" applyAlignment="1">
      <alignment horizontal="center" vertical="center"/>
    </xf>
    <xf numFmtId="0" fontId="37" fillId="5" borderId="22" xfId="0" applyFont="1" applyFill="1" applyBorder="1" applyAlignment="1">
      <alignment horizontal="left" vertical="center" wrapText="1"/>
    </xf>
    <xf numFmtId="0" fontId="37" fillId="5" borderId="23" xfId="0" applyFont="1" applyFill="1" applyBorder="1" applyAlignment="1">
      <alignment horizontal="left" vertical="center" wrapText="1"/>
    </xf>
    <xf numFmtId="0" fontId="37" fillId="5" borderId="11" xfId="0" applyFont="1" applyFill="1" applyBorder="1" applyAlignment="1">
      <alignment horizontal="left"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11" xfId="0" applyBorder="1" applyAlignment="1">
      <alignment horizontal="center" vertical="center" wrapText="1"/>
    </xf>
    <xf numFmtId="0" fontId="23" fillId="13" borderId="22" xfId="0" applyFont="1" applyFill="1" applyBorder="1" applyAlignment="1">
      <alignment horizontal="left" vertical="center"/>
    </xf>
    <xf numFmtId="0" fontId="23" fillId="13" borderId="11" xfId="0" applyFont="1" applyFill="1" applyBorder="1" applyAlignment="1">
      <alignment horizontal="left" vertical="center"/>
    </xf>
    <xf numFmtId="0" fontId="7" fillId="14" borderId="1" xfId="0" applyNumberFormat="1" applyFont="1" applyFill="1" applyBorder="1" applyAlignment="1">
      <alignment horizontal="left" vertical="center" wrapText="1"/>
    </xf>
    <xf numFmtId="0" fontId="7" fillId="14" borderId="22" xfId="0" applyNumberFormat="1" applyFont="1" applyFill="1" applyBorder="1" applyAlignment="1">
      <alignment horizontal="left" vertical="center" wrapText="1"/>
    </xf>
    <xf numFmtId="0" fontId="11" fillId="3"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8" fillId="0" borderId="1" xfId="0" applyNumberFormat="1"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47" fillId="21" borderId="22" xfId="0" applyFont="1" applyFill="1" applyBorder="1" applyAlignment="1">
      <alignment horizontal="left" vertical="center" wrapText="1"/>
    </xf>
    <xf numFmtId="0" fontId="47" fillId="21" borderId="23" xfId="0" applyFont="1" applyFill="1" applyBorder="1" applyAlignment="1">
      <alignment horizontal="left" vertical="center" wrapText="1"/>
    </xf>
    <xf numFmtId="0" fontId="47" fillId="21" borderId="11" xfId="0" applyFont="1" applyFill="1" applyBorder="1" applyAlignment="1">
      <alignment horizontal="left" vertical="center" wrapText="1"/>
    </xf>
    <xf numFmtId="0" fontId="49" fillId="10" borderId="22" xfId="0" applyFont="1" applyFill="1" applyBorder="1" applyAlignment="1">
      <alignment horizontal="left" vertical="center" wrapText="1"/>
    </xf>
    <xf numFmtId="0" fontId="49" fillId="10" borderId="23" xfId="0" applyFont="1" applyFill="1" applyBorder="1" applyAlignment="1">
      <alignment horizontal="left" vertical="center" wrapText="1"/>
    </xf>
    <xf numFmtId="0" fontId="49" fillId="10" borderId="11" xfId="0" applyFont="1" applyFill="1" applyBorder="1" applyAlignment="1">
      <alignment horizontal="left" vertical="center" wrapText="1"/>
    </xf>
    <xf numFmtId="0" fontId="1" fillId="8" borderId="1" xfId="0" applyFont="1" applyFill="1" applyBorder="1" applyAlignment="1" applyProtection="1">
      <alignment vertical="center" wrapText="1"/>
      <protection locked="0"/>
    </xf>
  </cellXfs>
  <cellStyles count="18">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Hyperlink" xfId="15" builtinId="8"/>
    <cellStyle name="Normal" xfId="0" builtinId="0"/>
    <cellStyle name="Normal 2" xfId="2" xr:uid="{00000000-0005-0000-0000-000006000000}"/>
    <cellStyle name="Normal 2 2" xfId="11" xr:uid="{00000000-0005-0000-0000-00000F000000}"/>
    <cellStyle name="Normal 2 2 2" xfId="16" xr:uid="{00000000-0005-0000-0000-000014000000}"/>
    <cellStyle name="Normal 2 3" xfId="14" xr:uid="{00000000-0005-0000-0000-000012000000}"/>
    <cellStyle name="Normal 3" xfId="9" xr:uid="{00000000-0005-0000-0000-00000D000000}"/>
    <cellStyle name="Normal 3 2" xfId="17" xr:uid="{00000000-0005-0000-0000-000015000000}"/>
    <cellStyle name="Normal 4" xfId="12" xr:uid="{00000000-0005-0000-0000-000010000000}"/>
    <cellStyle name="Per cent" xfId="1" builtinId="5"/>
    <cellStyle name="Percent 2" xfId="10" xr:uid="{00000000-0005-0000-0000-00000E000000}"/>
    <cellStyle name="Percent 3" xfId="13" xr:uid="{00000000-0005-0000-0000-000011000000}"/>
  </cellStyles>
  <dxfs count="2620">
    <dxf>
      <font>
        <color auto="1"/>
      </font>
      <fill>
        <patternFill patternType="solid">
          <bgColor rgb="FFFF0000"/>
        </patternFill>
      </fill>
      <border>
        <left style="thin">
          <color auto="1"/>
        </left>
        <right style="thin">
          <color auto="1"/>
        </right>
        <top style="thin">
          <color auto="1"/>
        </top>
        <bottom style="thin">
          <color auto="1"/>
        </bottom>
      </border>
    </dxf>
    <dxf>
      <font>
        <color theme="1"/>
      </font>
      <fill>
        <patternFill>
          <bgColor rgb="FF00B050"/>
        </patternFill>
      </fill>
      <border>
        <left style="thin">
          <color rgb="FF00B050"/>
        </left>
        <right style="thin">
          <color rgb="FF00B050"/>
        </right>
        <top style="thin">
          <color rgb="FF00B050"/>
        </top>
        <bottom style="thin">
          <color rgb="FF00B050"/>
        </bottom>
      </border>
    </dxf>
    <dxf>
      <font>
        <color auto="1"/>
      </font>
      <fill>
        <patternFill>
          <bgColor rgb="FF00B0F0"/>
        </patternFill>
      </fill>
      <border>
        <left style="thin">
          <color auto="1"/>
        </left>
        <right style="thin">
          <color auto="1"/>
        </right>
        <top style="thin">
          <color auto="1"/>
        </top>
        <bottom style="thin">
          <color auto="1"/>
        </bottom>
      </border>
    </dxf>
    <dxf>
      <font>
        <b/>
        <i val="0"/>
        <strike val="0"/>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FFC000"/>
        </patternFill>
      </fill>
      <border>
        <left style="thin">
          <color auto="1"/>
        </left>
        <right style="thin">
          <color auto="1"/>
        </right>
        <top style="thin">
          <color auto="1"/>
        </top>
        <bottom style="thin">
          <color auto="1"/>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0" tint="-4.9958800012207406E-2"/>
      </font>
      <fill>
        <patternFill>
          <bgColor theme="0" tint="-4.9958800012207406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numFmt numFmtId="165" formatCode="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alignment horizontal="center" vertical="bottom" textRotation="0" wrapText="0" shrinkToFit="0" readingOrder="0"/>
      <border>
        <left/>
        <right/>
        <top/>
        <bottom/>
      </border>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alignment horizontal="center" vertical="bottom" textRotation="0" wrapText="0" shrinkToFit="0" readingOrder="0"/>
      <border>
        <left/>
        <right/>
        <top/>
        <bottom/>
      </border>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alignment horizontal="center" vertical="bottom" textRotation="0" wrapText="0" shrinkToFit="0" readingOrder="0"/>
      <border>
        <left/>
        <right/>
        <top/>
        <bottom/>
      </border>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fill>
        <patternFill patternType="solid">
          <bgColor rgb="FFFFFFFF"/>
        </patternFill>
      </fill>
      <alignment horizontal="center" vertical="bottom" textRotation="0" wrapText="0" shrinkToFit="0" readingOrder="0"/>
      <border>
        <left/>
        <right/>
        <top/>
        <bottom/>
      </border>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alignment horizontal="center" vertical="bottom" textRotation="0" wrapText="0" shrinkToFit="0" readingOrder="0"/>
      <border>
        <left/>
        <right/>
        <top/>
        <bottom/>
      </border>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alignment horizontal="general" vertical="bottom" textRotation="0" wrapText="0" shrinkToFit="0" readingOrder="0"/>
      <border>
        <left/>
        <right/>
        <top/>
        <bottom/>
      </border>
    </dxf>
    <dxf>
      <font>
        <b val="0"/>
        <i val="0"/>
        <strike val="0"/>
        <u val="none"/>
        <sz val="11"/>
        <color indexed="8"/>
        <name val="Verdana"/>
      </font>
      <numFmt numFmtId="165" formatCode="0;;;@"/>
      <alignment horizontal="general" vertical="top" textRotation="0" wrapText="1" shrinkToFit="0" readingOrder="0"/>
    </dxf>
    <dxf>
      <font>
        <b val="0"/>
        <i val="0"/>
        <strike val="0"/>
        <u val="none"/>
        <sz val="11"/>
        <color rgb="FF000000"/>
        <name val="Verdana"/>
      </font>
      <alignment horizontal="general" vertical="bottom" textRotation="0" wrapText="0" shrinkToFit="0" readingOrder="0"/>
      <border>
        <left/>
        <right/>
        <top/>
        <bottom/>
      </border>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right" vertical="bottom" textRotation="0" wrapText="1" shrinkToFit="0" readingOrder="0"/>
      <border>
        <left style="medium">
          <color rgb="FFCCCCCC"/>
        </left>
        <right style="medium">
          <color rgb="FFCCCCCC"/>
        </right>
        <top style="medium">
          <color rgb="FFCCCCCC"/>
        </top>
        <bottom style="medium">
          <color rgb="FFCCCCCC"/>
        </bottom>
      </border>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bottom" textRotation="0" wrapText="1" shrinkToFit="0" readingOrder="0"/>
      <border>
        <left style="medium">
          <color rgb="FFCCCCCC"/>
        </left>
        <right style="medium">
          <color rgb="FFCCCCCC"/>
        </right>
        <top style="medium">
          <color rgb="FFCCCCCC"/>
        </top>
        <bottom style="medium">
          <color rgb="FFCCCCCC"/>
        </bottom>
      </border>
    </dxf>
    <dxf>
      <font>
        <b val="0"/>
        <i val="0"/>
        <strike val="0"/>
        <u val="none"/>
        <sz val="11"/>
        <color indexed="8"/>
        <name val="Verdana"/>
      </font>
      <alignment horizontal="general" vertical="top" textRotation="0" wrapText="1" shrinkToFit="0" readingOrder="0"/>
    </dxf>
    <dxf>
      <font>
        <b val="0"/>
        <i val="0"/>
        <strike val="0"/>
        <u val="none"/>
        <sz val="11"/>
        <color rgb="FF000000"/>
        <name val="Verdana"/>
      </font>
      <fill>
        <patternFill patternType="solid">
          <bgColor rgb="FFFFFFFF"/>
        </patternFill>
      </fill>
      <alignment horizontal="general" vertical="bottom" textRotation="0" wrapText="1" shrinkToFit="0" readingOrder="0"/>
      <border>
        <left style="medium">
          <color rgb="FFCCCCCC"/>
        </left>
        <right style="medium">
          <color rgb="FFCCCCCC"/>
        </right>
        <top style="medium">
          <color rgb="FFCCCCCC"/>
        </top>
        <bottom style="medium">
          <color rgb="FFCCCCCC"/>
        </bottom>
      </border>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center" vertical="bottom" textRotation="0" wrapText="1" shrinkToFit="0" readingOrder="0"/>
      <border>
        <left style="medium">
          <color rgb="FFCCCCCC"/>
        </left>
        <right style="medium">
          <color rgb="FFCCCCCC"/>
        </right>
        <top style="medium">
          <color rgb="FFCCCCCC"/>
        </top>
        <bottom style="medium">
          <color rgb="FFCCCCCC"/>
        </bottom>
      </border>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rgb="FF000000"/>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rgb="FF000000"/>
        <name val="Verdana"/>
      </font>
      <alignment horizontal="general" vertical="bottom" textRotation="0" wrapText="1" shrinkToFit="0" readingOrder="0"/>
      <border>
        <left style="medium">
          <color rgb="FFCCCCCC"/>
        </left>
        <right style="medium">
          <color rgb="FFCCCCCC"/>
        </right>
        <top style="medium">
          <color rgb="FFCCCCCC"/>
        </top>
        <bottom style="medium">
          <color rgb="FFCCCCCC"/>
        </bottom>
      </border>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val="0"/>
        <strike val="0"/>
        <u val="none"/>
        <sz val="11"/>
        <color indexed="8"/>
        <name val="Verdana"/>
      </font>
      <alignment horizontal="general" vertical="top" textRotation="0" wrapText="1" shrinkToFit="0" readingOrder="0"/>
    </dxf>
    <dxf>
      <font>
        <b val="0"/>
        <i/>
        <strike val="0"/>
        <u val="none"/>
        <sz val="11"/>
        <color rgb="FF000000"/>
        <name val="Verdana"/>
      </font>
      <fill>
        <patternFill patternType="solid">
          <bgColor rgb="FFD9D9D9"/>
        </patternFill>
      </fill>
      <alignment horizontal="general" vertical="bottom" textRotation="0" wrapText="0" shrinkToFit="0" readingOrder="0"/>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spPr>
            <a:solidFill>
              <a:srgbClr val="FF0000"/>
            </a:solidFill>
          </c:spPr>
          <c:invertIfNegative val="0"/>
          <c:cat>
            <c:strRef>
              <c:f>Questions!$T$2:$T$21</c:f>
              <c:strCache>
                <c:ptCount val="18"/>
                <c:pt idx="0">
                  <c:v>Documentation</c:v>
                </c:pt>
                <c:pt idx="1">
                  <c:v>Application Security</c:v>
                </c:pt>
                <c:pt idx="2">
                  <c:v>Authentication, Authorization, and Accounting</c:v>
                </c:pt>
                <c:pt idx="3">
                  <c:v>Change Management</c:v>
                </c:pt>
                <c:pt idx="4">
                  <c:v>Company</c:v>
                </c:pt>
                <c:pt idx="5">
                  <c:v>Data</c:v>
                </c:pt>
                <c:pt idx="6">
                  <c:v>Database</c:v>
                </c:pt>
                <c:pt idx="7">
                  <c:v>Datacenter</c:v>
                </c:pt>
                <c:pt idx="8">
                  <c:v>Firewalls, IDS, IPS, and Networking</c:v>
                </c:pt>
                <c:pt idx="9">
                  <c:v>Physical Security</c:v>
                </c:pt>
                <c:pt idx="10">
                  <c:v>Policies, Procedures, and Processes</c:v>
                </c:pt>
                <c:pt idx="11">
                  <c:v>Systems Management &amp; Configuration</c:v>
                </c:pt>
                <c:pt idx="12">
                  <c:v>Vulnerability Scanning</c:v>
                </c:pt>
                <c:pt idx="14">
                  <c:v>Mobile App</c:v>
                </c:pt>
                <c:pt idx="15">
                  <c:v>Third Parties</c:v>
                </c:pt>
                <c:pt idx="16">
                  <c:v>Business Continuity Plan</c:v>
                </c:pt>
                <c:pt idx="17">
                  <c:v>Disaster Recovery Plan</c:v>
                </c:pt>
              </c:strCache>
            </c:strRef>
          </c:cat>
          <c:val>
            <c:numRef>
              <c:f>Questions!$Y$2:$Y$21</c:f>
              <c:numCache>
                <c:formatCode>0.00%</c:formatCode>
                <c:ptCount val="20"/>
                <c:pt idx="0">
                  <c:v>0.47619047619047616</c:v>
                </c:pt>
                <c:pt idx="1">
                  <c:v>0.46666666666666667</c:v>
                </c:pt>
                <c:pt idx="2">
                  <c:v>0.58823529411764708</c:v>
                </c:pt>
                <c:pt idx="3">
                  <c:v>0.6</c:v>
                </c:pt>
                <c:pt idx="4">
                  <c:v>0.625</c:v>
                </c:pt>
                <c:pt idx="5">
                  <c:v>0.78761061946902655</c:v>
                </c:pt>
                <c:pt idx="6">
                  <c:v>1</c:v>
                </c:pt>
                <c:pt idx="7">
                  <c:v>0.70967741935483875</c:v>
                </c:pt>
                <c:pt idx="8">
                  <c:v>0.32075471698113206</c:v>
                </c:pt>
                <c:pt idx="9">
                  <c:v>0.75</c:v>
                </c:pt>
                <c:pt idx="10">
                  <c:v>1</c:v>
                </c:pt>
                <c:pt idx="11">
                  <c:v>1</c:v>
                </c:pt>
                <c:pt idx="12">
                  <c:v>0.82051282051282048</c:v>
                </c:pt>
                <c:pt idx="13" formatCode="0%">
                  <c:v>0</c:v>
                </c:pt>
                <c:pt idx="14" formatCode="0%">
                  <c:v>0.62264150943396224</c:v>
                </c:pt>
                <c:pt idx="15" formatCode="0%">
                  <c:v>0</c:v>
                </c:pt>
                <c:pt idx="16" formatCode="0%">
                  <c:v>0.24</c:v>
                </c:pt>
                <c:pt idx="17" formatCode="0%">
                  <c:v>0.83333333333333337</c:v>
                </c:pt>
                <c:pt idx="18" formatCode="0%">
                  <c:v>0</c:v>
                </c:pt>
                <c:pt idx="19" formatCode="0%">
                  <c:v>0</c:v>
                </c:pt>
              </c:numCache>
            </c:numRef>
          </c:val>
          <c:extLst>
            <c:ext xmlns:c16="http://schemas.microsoft.com/office/drawing/2014/chart" uri="{C3380CC4-5D6E-409C-BE32-E72D297353CC}">
              <c16:uniqueId val="{00000006-E007-42A3-87BD-6B8D651659D1}"/>
            </c:ext>
          </c:extLst>
        </c:ser>
        <c:ser>
          <c:idx val="0"/>
          <c:order val="1"/>
          <c:spPr>
            <a:solidFill>
              <a:srgbClr val="FF0000"/>
            </a:solidFill>
            <a:ln w="9525">
              <a:noFill/>
            </a:ln>
            <a:sp3d/>
          </c:spPr>
          <c:invertIfNegative val="0"/>
          <c:cat>
            <c:strRef>
              <c:f>Questions!$T$2:$T$21</c:f>
              <c:strCache>
                <c:ptCount val="18"/>
                <c:pt idx="0">
                  <c:v>Documentation</c:v>
                </c:pt>
                <c:pt idx="1">
                  <c:v>Application Security</c:v>
                </c:pt>
                <c:pt idx="2">
                  <c:v>Authentication, Authorization, and Accounting</c:v>
                </c:pt>
                <c:pt idx="3">
                  <c:v>Change Management</c:v>
                </c:pt>
                <c:pt idx="4">
                  <c:v>Company</c:v>
                </c:pt>
                <c:pt idx="5">
                  <c:v>Data</c:v>
                </c:pt>
                <c:pt idx="6">
                  <c:v>Database</c:v>
                </c:pt>
                <c:pt idx="7">
                  <c:v>Datacenter</c:v>
                </c:pt>
                <c:pt idx="8">
                  <c:v>Firewalls, IDS, IPS, and Networking</c:v>
                </c:pt>
                <c:pt idx="9">
                  <c:v>Physical Security</c:v>
                </c:pt>
                <c:pt idx="10">
                  <c:v>Policies, Procedures, and Processes</c:v>
                </c:pt>
                <c:pt idx="11">
                  <c:v>Systems Management &amp; Configuration</c:v>
                </c:pt>
                <c:pt idx="12">
                  <c:v>Vulnerability Scanning</c:v>
                </c:pt>
                <c:pt idx="14">
                  <c:v>Mobile App</c:v>
                </c:pt>
                <c:pt idx="15">
                  <c:v>Third Parties</c:v>
                </c:pt>
                <c:pt idx="16">
                  <c:v>Business Continuity Plan</c:v>
                </c:pt>
                <c:pt idx="17">
                  <c:v>Disaster Recovery Plan</c:v>
                </c:pt>
              </c:strCache>
            </c:strRef>
          </c:cat>
          <c:val>
            <c:numRef>
              <c:f>Questions!$Y$2:$Y$21</c:f>
              <c:numCache>
                <c:formatCode>0.00%</c:formatCode>
                <c:ptCount val="20"/>
                <c:pt idx="0">
                  <c:v>0.47619047619047616</c:v>
                </c:pt>
                <c:pt idx="1">
                  <c:v>0.46666666666666667</c:v>
                </c:pt>
                <c:pt idx="2">
                  <c:v>0.58823529411764708</c:v>
                </c:pt>
                <c:pt idx="3">
                  <c:v>0.6</c:v>
                </c:pt>
                <c:pt idx="4">
                  <c:v>0.625</c:v>
                </c:pt>
                <c:pt idx="5">
                  <c:v>0.78761061946902655</c:v>
                </c:pt>
                <c:pt idx="6">
                  <c:v>1</c:v>
                </c:pt>
                <c:pt idx="7">
                  <c:v>0.70967741935483875</c:v>
                </c:pt>
                <c:pt idx="8">
                  <c:v>0.32075471698113206</c:v>
                </c:pt>
                <c:pt idx="9">
                  <c:v>0.75</c:v>
                </c:pt>
                <c:pt idx="10">
                  <c:v>1</c:v>
                </c:pt>
                <c:pt idx="11">
                  <c:v>1</c:v>
                </c:pt>
                <c:pt idx="12">
                  <c:v>0.82051282051282048</c:v>
                </c:pt>
                <c:pt idx="13" formatCode="0%">
                  <c:v>0</c:v>
                </c:pt>
                <c:pt idx="14" formatCode="0%">
                  <c:v>0.62264150943396224</c:v>
                </c:pt>
                <c:pt idx="15" formatCode="0%">
                  <c:v>0</c:v>
                </c:pt>
                <c:pt idx="16" formatCode="0%">
                  <c:v>0.24</c:v>
                </c:pt>
                <c:pt idx="17" formatCode="0%">
                  <c:v>0.83333333333333337</c:v>
                </c:pt>
                <c:pt idx="18" formatCode="0%">
                  <c:v>0</c:v>
                </c:pt>
                <c:pt idx="19" formatCode="0%">
                  <c:v>0</c:v>
                </c:pt>
              </c:numCache>
            </c:numRef>
          </c:val>
          <c:extLst>
            <c:ext xmlns:c16="http://schemas.microsoft.com/office/drawing/2014/chart" uri="{C3380CC4-5D6E-409C-BE32-E72D297353CC}">
              <c16:uniqueId val="{00000005-E007-42A3-87BD-6B8D651659D1}"/>
            </c:ext>
          </c:extLst>
        </c:ser>
        <c:dLbls>
          <c:showLegendKey val="0"/>
          <c:showVal val="0"/>
          <c:showCatName val="0"/>
          <c:showSerName val="0"/>
          <c:showPercent val="0"/>
          <c:showBubbleSize val="0"/>
        </c:dLbls>
        <c:gapWidth val="182"/>
        <c:shape val="box"/>
        <c:axId val="1909008419"/>
        <c:axId val="1029700464"/>
        <c:axId val="0"/>
      </c:bar3DChart>
      <c:catAx>
        <c:axId val="1909008419"/>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1029700464"/>
        <c:crosses val="autoZero"/>
        <c:auto val="1"/>
        <c:lblAlgn val="ctr"/>
        <c:lblOffset val="100"/>
        <c:noMultiLvlLbl val="0"/>
      </c:catAx>
      <c:valAx>
        <c:axId val="1029700464"/>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1909008419"/>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tif"/><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879157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879157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37722</xdr:colOff>
      <xdr:row>12</xdr:row>
      <xdr:rowOff>150892</xdr:rowOff>
    </xdr:from>
    <xdr:to>
      <xdr:col>1</xdr:col>
      <xdr:colOff>5897326</xdr:colOff>
      <xdr:row>12</xdr:row>
      <xdr:rowOff>1419174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90700" y="7620000"/>
          <a:ext cx="5857875" cy="1266825"/>
        </a:xfrm>
        <a:prstGeom prst="rect">
          <a:avLst/>
        </a:prstGeom>
      </xdr:spPr>
    </xdr:pic>
    <xdr:clientData/>
  </xdr:twoCellAnchor>
  <xdr:twoCellAnchor editAs="oneCell">
    <xdr:from>
      <xdr:col>0</xdr:col>
      <xdr:colOff>75444</xdr:colOff>
      <xdr:row>15</xdr:row>
      <xdr:rowOff>314356</xdr:rowOff>
    </xdr:from>
    <xdr:to>
      <xdr:col>1</xdr:col>
      <xdr:colOff>7294469</xdr:colOff>
      <xdr:row>15</xdr:row>
      <xdr:rowOff>1181978</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a:stretch>
          <a:fillRect/>
        </a:stretch>
      </xdr:blipFill>
      <xdr:spPr>
        <a:xfrm>
          <a:off x="76200" y="10363200"/>
          <a:ext cx="8972550" cy="866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774700</xdr:colOff>
      <xdr:row>8</xdr:row>
      <xdr:rowOff>0</xdr:rowOff>
    </xdr:from>
    <xdr:to>
      <xdr:col>7</xdr:col>
      <xdr:colOff>1512888</xdr:colOff>
      <xdr:row>43</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15668625"/>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5725" y="66675"/>
          <a:ext cx="7610475" cy="156686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3487.613428819444" createdVersion="6" refreshedVersion="6" minRefreshableVersion="3" recordCount="267" xr:uid="{00000000-000A-0000-FFFF-FFFF06000000}">
  <cacheSource type="worksheet">
    <worksheetSource ref="A1:S268" sheet="Questions"/>
  </cacheSource>
  <cacheFields count="19">
    <cacheField name="Order" numFmtId="0">
      <sharedItems containsString="0" containsBlank="1" containsNumber="1" containsInteger="1" count="275">
        <n v="1"/>
        <n v="2"/>
        <n v="3"/>
        <n v="4"/>
        <m/>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74" u="1"/>
        <n v="273" u="1"/>
        <n v="272" u="1"/>
        <n v="271" u="1"/>
        <n v="270" u="1"/>
        <n v="269" u="1"/>
        <n v="268" u="1"/>
        <n v="267" u="1"/>
      </sharedItems>
    </cacheField>
    <cacheField name="ID" numFmtId="0">
      <sharedItems containsBlank="1" count="277">
        <s v="QUAL-01"/>
        <s v="QUAL-02"/>
        <s v="QUAL-03"/>
        <s v="QUAL-04"/>
        <m/>
        <s v="QUAL-05"/>
        <s v="QUAL-06"/>
        <s v="QUAL-07"/>
        <s v="DOCU-01"/>
        <s v="DOCU-02"/>
        <s v="DOCU-03"/>
        <s v="DOCU-04"/>
        <s v="DOCU-05"/>
        <s v="DOCU-06"/>
        <s v="THRD-01"/>
        <s v="THRD-02"/>
        <s v="THRD-03"/>
        <s v="THRD-04"/>
        <s v="CONS-01"/>
        <s v="CONS-02"/>
        <s v="CONS-03"/>
        <s v="CONS-04"/>
        <s v="CONS-05"/>
        <s v="CONS-06"/>
        <s v=""/>
        <s v="CONS-08"/>
        <s v="APPL-01"/>
        <s v="APPL-02"/>
        <s v="APPL-03"/>
        <s v="APPL-04"/>
        <s v="APPL-05"/>
        <s v="APPL-06"/>
        <s v="APPL-07"/>
        <s v="APPL-08"/>
        <s v="APPL-09"/>
        <s v="APPL-10"/>
        <s v="APPL-11"/>
        <s v="APPL-12"/>
        <s v="APPL-13"/>
        <s v="APPL-14"/>
        <s v="APPL-15"/>
        <s v="APPL-16"/>
        <s v="APPL-17"/>
        <s v="AAAI-01"/>
        <s v="AAAI-02"/>
        <s v="AAAI-03"/>
        <s v="AAAI-04"/>
        <s v="AAAI-05"/>
        <s v="AAAI-06"/>
        <s v="AAAI-07"/>
        <s v="AAAI-08"/>
        <s v="AAAI-09"/>
        <s v="AAAI-10"/>
        <s v="AAAI-11"/>
        <s v="AAAI-12"/>
        <s v="AAAI-13"/>
        <s v="AAAI-14"/>
        <s v="AAAI-15"/>
        <s v="AAAI-16"/>
        <s v="AAAI-17"/>
        <s v="BCPL-01"/>
        <s v="BCPL-02"/>
        <s v="BCPL-03"/>
        <s v="BCPL-04"/>
        <s v="BCPL-05"/>
        <s v="BCPL-06"/>
        <s v="BCPL-07"/>
        <s v="BCPL-08"/>
        <s v="BCPL-09"/>
        <s v="BCPL-10"/>
        <s v="BCPL-11"/>
        <s v="BCPL-12"/>
        <s v="CHNG-01"/>
        <s v="CHNG-02"/>
        <s v="CHNG-03"/>
        <s v="CHNG-04"/>
        <s v="CHNG-05"/>
        <s v="CHNG-06"/>
        <s v="CHNG-07"/>
        <s v="CHNG-08"/>
        <s v="CHNG-09"/>
        <s v="CHNG-10"/>
        <s v="CHNG-11"/>
        <s v="CHNG-12"/>
        <s v="CHNG-13"/>
        <s v="CHNG-14"/>
        <s v="CHNG-15"/>
        <s v="DATA-01"/>
        <s v="DATA-02"/>
        <s v="DATA-03"/>
        <s v="DATA-04"/>
        <s v="DATA-05"/>
        <s v="DATA-06"/>
        <s v="DATA-07"/>
        <s v="DATA-08"/>
        <s v="DATA-09"/>
        <s v="DATA-10"/>
        <s v="DATA-11"/>
        <s v="DATA-12"/>
        <s v="DATA-13"/>
        <s v="DATA-14"/>
        <s v="DATA-15"/>
        <s v="DATA-16"/>
        <s v="DATA-17"/>
        <s v="DATA-18"/>
        <s v="DATA-20"/>
        <s v="DATA-21"/>
        <s v="DATA-22"/>
        <s v="DATA-23"/>
        <s v="DATA-24"/>
        <s v="DATA-25"/>
        <s v="DATA-26"/>
        <s v="DATA-27"/>
        <s v="DATA-28"/>
        <s v="DBAS-01"/>
        <s v="DBAS-02"/>
        <s v="DCTR-01"/>
        <s v="DCTR-02"/>
        <s v="DCTR-03"/>
        <s v="DCTR-04"/>
        <s v="DCTR-07"/>
        <s v="DCTR-08"/>
        <s v="DCTR-09"/>
        <s v="DCTR-11"/>
        <s v="DCTR-12"/>
        <s v="DCTR-13"/>
        <s v="DCTR-14"/>
        <s v="DCTR-15"/>
        <s v="DCTR-17"/>
        <s v="DCTR-18"/>
        <s v="DCTR-19"/>
        <s v="DRPL-01"/>
        <s v="DRPL-02"/>
        <s v="DRPL-03"/>
        <s v="DRPL-04"/>
        <s v="DRPL-05"/>
        <s v="DRPL-07"/>
        <s v="DRPL-08"/>
        <s v="DRPL-09"/>
        <s v="DRPL-10"/>
        <s v="DRPL-12"/>
        <s v="DRPL-13"/>
        <s v="FIDP-01"/>
        <s v="FIDP-02"/>
        <s v="FIDP-03"/>
        <s v="FIDP-04"/>
        <s v="FIDP-05"/>
        <s v="FIDP-06"/>
        <s v="FIDP-07"/>
        <s v="FIDP-08"/>
        <s v="FIDP-09"/>
        <s v="FIDP-10"/>
        <s v="FIDP-12"/>
        <s v="MAPP-01"/>
        <s v="MAPP-02"/>
        <s v="MAPP-03"/>
        <s v="MAPP-04"/>
        <s v="MAPP-05"/>
        <s v="MAPP-06"/>
        <s v="MAPP-07"/>
        <s v="MAPP-08"/>
        <s v="MAPP-09"/>
        <s v="MAPP-10"/>
        <s v="MAPP-11"/>
        <s v="PHYS-01"/>
        <s v="PHYS-02"/>
        <s v="PHYS-03"/>
        <s v="PHYS-04"/>
        <s v="PHYS-05"/>
        <s v="PPPR-01"/>
        <s v="PPPR-02"/>
        <s v="PPPR-03"/>
        <s v="PPPR-04"/>
        <s v="PPPR-05"/>
        <s v="PPPR-06"/>
        <s v="PPPR-07"/>
        <s v="PPPR-08"/>
        <s v="PPPR-09"/>
        <s v="PPPR-10"/>
        <s v="PPPR-11"/>
        <s v="PPPR-12"/>
        <s v="PPPR-13"/>
        <s v="PPPR-14"/>
        <s v="PPPR-15"/>
        <s v="PPPR-16"/>
        <s v="PPPR-17"/>
        <s v="PPPR-18"/>
        <s v="PPPR-19"/>
        <s v="PPPR-20"/>
        <s v="PROD-01"/>
        <s v="PROD-02"/>
        <s v="QLAS-01"/>
        <s v="QLAS-02"/>
        <s v="QLAS-03"/>
        <s v="QLAS-04"/>
        <s v="QLAS-05"/>
        <s v="SYST-01"/>
        <s v="SYST-02"/>
        <s v="SYST-03"/>
        <s v="SYST-04"/>
        <s v="VULN-01"/>
        <s v="VULN-03"/>
        <s v="VULN-04"/>
        <s v="VULN-05"/>
        <s v="VULN-06"/>
        <s v="VULN-07"/>
        <s v="VULN-08"/>
        <s v="VULN-09"/>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HIPA-30"/>
        <s v="HIPA-31"/>
        <s v="PCID-01"/>
        <s v="PCID-02"/>
        <s v="PCID-03"/>
        <s v="PCID-04"/>
        <s v="PCID-05"/>
        <s v="PCID-06"/>
        <s v="PCID-07"/>
        <s v="PCID-08"/>
        <s v="PCID-09"/>
        <s v="PCID-10"/>
        <s v="PCID-11"/>
        <s v="PCID-12"/>
        <s v="COMP-01"/>
        <s v="COMP-02"/>
        <s v="COMP-03"/>
        <s v="COMP-04"/>
        <s v="COMP-05"/>
        <s v="COMP-06"/>
        <s v="COMP-07"/>
        <s v="CONS-07" u="1"/>
        <s v="CONS-09" u="1"/>
        <s v="DCTR-10" u="1"/>
        <s v="DRPL-06" u="1"/>
        <s v="DCTR-16" u="1"/>
        <s v="FIDP-11" u="1"/>
        <s v="DATA-29" u="1"/>
        <s v="VULN-02" u="1"/>
        <s v="DCTR-05" u="1"/>
        <s v="DCTR-06" u="1"/>
        <s v="DATA-19" u="1"/>
        <s v="HIPA-32" u="1"/>
        <s v="PPPR-21" u="1"/>
        <s v="PPPR-22" u="1"/>
        <s v="PPPR-23" u="1"/>
        <s v="DRPL-11" u="1"/>
        <s v="DRPL-14" u="1"/>
        <s v="PHYS-06" u="1"/>
        <s v="APPL-18" u="1"/>
      </sharedItems>
    </cacheField>
    <cacheField name="Question" numFmtId="0">
      <sharedItems containsBlank="1" count="316" longText="1">
        <s v="Does your product process protected health information (PHI) or any data covered by the Health Insurance Portability and Accountability Act?"/>
        <s v="Does the vended product host/support a mobile application? (e.g. app)"/>
        <s v="Will institution data be shared with or hosted by any third parties? (e.g. any entity not wholly-owned by your company is considered a third-party)"/>
        <s v="Do you have a Business Continuity Plan (BCP)?"/>
        <m/>
        <s v="Do you have a Disaster Recovery Plan (DRP)?"/>
        <s v="Will data regulated by PCI DSS reside in the vended product?"/>
        <s v="Is your company a consulting firm providing only consultation to the Institution?"/>
        <s v="Have you undergone a SSAE 16 audit?"/>
        <s v="Have you completed the Cloud Security Alliance (CSA) self assessment or CAIQ?"/>
        <s v="Have you received the Cloud Security Alliance STAR certification?"/>
        <s v="Do you conform with a specific industry standard security framework? (e.g. NIST Cybersecurity Framework, ISO 27001, etc.)"/>
        <s v="Are you compliant with FISMA standards?"/>
        <s v="Does your organization have a data privacy policy?"/>
        <s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s v="Provide a brief description for why each of these third parties will have access to institution data."/>
        <s v="What legal agreements (i.e. contracts) do you have in place with these third parties that address liability in the event of a data breach?"/>
        <s v="Describe or provide references to your third party management strategy or provide additional information that may help analysts better understand your environment and how it relates to third-party solution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e v="#N/A"/>
        <s v="Will the consultant need remote access to the Institution's network or systems?"/>
        <s v="Do you support role-based access control (RBAC) for end-users?"/>
        <s v="Do you support role-based access control (RBAC) for system administrators?"/>
        <s v="Can employees access customer data remotely?"/>
        <s v="Can you provide overall system and/or application architecture diagrams including a full description of the data communications architecture for all components of the system?"/>
        <s v="Does the system provide data input validation and error messages? "/>
        <s v="Do you employ a single-tenant environment? "/>
        <s v="What operating system(s) is/are leveraged by the system(s)/application(s) that will have access to institution's data?"/>
        <s v="Have you or any third party you contract with that may have access or allow access to the institution's data experienced a breach?"/>
        <s v="Describe or provide a reference to additional software/products necessary to implement a functional system on either the backend or user-interface side of the system. "/>
        <s v="Describe or provide a reference to the overall system and/or application architecture(s), including appropriate diagrams. Include a full description of the data communications architecture for all components of the system. "/>
        <s v="Are databases used in the system segregated from front-end systems? (e.g. web and application servers)"/>
        <s v="Describe or provide a reference to all web-enabled features and functionality of the system (i.e. accessed via a web-based interface). "/>
        <s v="Are there any OS and/or web-browser combinations that are not currently supported?"/>
        <s v="Can your system take advantage of mobile and/or GPS enabled mobile devices?  "/>
        <s v="Describe or provide a reference to the facilities available in the system to provide separation of duties between security administration and system administration functions."/>
        <s v="Describe or provide a reference that details how administrator access is handled (e.g. provisioning, principle of least privilege, deprovisioning, etc.)"/>
        <s v="Describe or provide references explaining how tertiary services are redundant (i.e. DNS, ISP, etc…)."/>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web-based interface support authentication, including standards-based single-sign-on? (e.g. InCommon)"/>
        <s v="Are there any passwords/passphrases hard coded into your systems or products?"/>
        <s v="Are user account passwords/passphrases visible in administration modules?"/>
        <s v="Are user account passwords/passphrases stored encrypted?"/>
        <s v="Does your application and/or user-frontend/portal support multi-factor authentication? (e.g. Duo, Google Authenticator, OTP, etc.)"/>
        <s v="Does your application support integration with other authentication and authorization systems?  List which ones (such as Active Directory, Kerberos and what version) in Additional Info?"/>
        <s v="Will any external authentication or authorization system be utilized by an application with access to the institution's data?"/>
        <s v="Does the system (servers/infrastructure) support external authentication services (e.g. Active Directory, LDAP) in place of local authentication?"/>
        <s v="Does the system operate in a mixed authentication mode (i.e. external and local authentication)?"/>
        <s v="Will any external authentication or authorization system be utilized by a system with access to institution data?"/>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Describe or provide a reference to your Business Continuity Plan (BCP)."/>
        <s v="May the Institution review your BCP and supporting documentation?"/>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
        <s v="Has your BCP been tested in the last year? "/>
        <s v="Does your organization conduct training and awareness activities to validate its employees understanding of their roles and responsibilities during a crisis?"/>
        <s v="Are specific crisis management roles and responsibilities defined and documented?"/>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Do you have a documented and currently followed change management process (CMP)?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s v="Will the Institution be notified of major changes to your environment that could impact the Institution's security posture?"/>
        <s v="Do clients have the option to not participate in or postpone an upgrade to a new release?"/>
        <s v="Describe or provide a reference to your solution support strategy in relation to maintaining software currency. (i.e. how many concurrent versions are you willing to run and support?)"/>
        <s v="Identify the most current version of the software. Detail the percentage of live customers that are utilizing the proposed version of the software as well as each version of the software currently in use."/>
        <s v="Does the system support client customizations from one release to another?"/>
        <s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
        <s v="Do you have a release schedule for product updates?"/>
        <s v="Do you have a technology roadmap, for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physically and logically separate Institution's data from that of other customers?"/>
        <s v="Will Institution's data be stored on any devices (database servers, file servers, SAN, NAS, …) configured with non-RFC 1918/4193 (i.e. publicly routable) IP addresses?"/>
        <s v="Is sensitive data encrypted in transport? (e.g. system-to-client)"/>
        <s v="Is sensitive data encrypted in storage (e.g. disk encryption, at-rest)?"/>
        <s v="Do you employ or allow any cryptographic modules that do not conform to the Federal Information Processing Standards (FIPS PUB 140-2)?"/>
        <s v="Does your system employ encryption technologies when transmitting sensitive information over TCP/IP networks (e.g., SSH, SSL/TLS, VPN)? (e.g. system-to-system and system-to-client)"/>
        <s v="List all locations (i.e. city + datacenter name) where the institution's data will be stored?"/>
        <s v="At the completion of this contract, will data be returned to the institution?"/>
        <s v="Will the institution's data be available within the system for a period of time at the completion of this contract?"/>
        <s v="Can the institution extract a ful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Describe or provide a reference to the backup processes for the servers on which the service and/or data resides. "/>
        <s v="Are backup copies made according to pre-defined schedules and securely stored and protected?"/>
        <s v="How long are data backups stored?"/>
        <s v="Are data backups encrypted?"/>
        <s v="Do you have a cryptographic key management process (generation, exchange, storage, safeguards, use, vetting, and replacement), that is documented and currently implemented, for all system components? (e.g. database, system, web, etc.)"/>
        <s v="Are you performing off site backups? (i.e. digitally moved off site)"/>
        <s v="Are physical backups taken off site? (i.e. physically moved off site)"/>
        <s v="Do backups containing the institution's data ever leave the Institution's Data Zone either physically or via network routing?"/>
        <s v="Do you have a media handling process, that is documented and currently implemented, including end-of-life, repurposing, and data sanitization procedures?"/>
        <s v="Does the process described in DATA-23 adhere to DoD 5220.22-M and/or NIST SP 800-88 standards?"/>
        <s v="Do procedures exist to ensure that retention and destruction of data meets established business and regulatory requirements?"/>
        <s v="Is media used for long-term retention of business data and archival purposes stored in a secure, environmentally protected area?"/>
        <s v="Will you handle data in a FERPA compliant manner?"/>
        <s v="Is any institution data visible in system administration modules/tools?"/>
        <s v="Does the database support encryption of specified data elements in storage?"/>
        <s v="Do you currently use encryption in your database(s)?"/>
        <s v="Does your company own the physical data center where the Institution's data will reside?"/>
        <s v="Does the hosting provider have a SOC 2 Type 2 report available?"/>
        <s v="Are the data centers staffed 24 hours a day, seven days a week (i.e 24x7x365)?"/>
        <s v="Do any of your servers reside in a co-located data center?"/>
        <s v="Select the option that best describes the network segment that servers are connected to."/>
        <s v="Does this data center operate outside of the Institution's Data Zone?"/>
        <s v="Will any institution data leave the Institution's Data Zone?"/>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Describe or provide a reference to the availability of cooling and fire suppression systems in all datacenters where institution data will reside."/>
        <s v="State how many Internet Service Providers (ISPs) provide connectivity to each datacenter where the institution's data will reside. "/>
        <s v="Does every datacenter where the Institution's data will reside have multiple telephone company or network provider entrances to the facility?"/>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Data Zone?"/>
        <s v="Does your organization have a disaster recovery site or a contracted Disaster Recovery provider?"/>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Please provide a summary of the results in Additional Information (including actual recovery time)."/>
        <s v="Are all components of the DRP reviewed at least annually and updated as needed to reflect change? "/>
        <s v="Do you carry cyber-risk insurance to protect against unforeseen service outages, data that is lost or stolen, and security incidents?"/>
        <s v="Are you utilizing a web application firewall (WAF)?"/>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Are audit logs available for all changes to the network, firewall, IDS, and IPS systems?"/>
        <s v="On which mobile operating systems is your software or service supported?"/>
        <s v="Describe or provide a reference to the application's architecture and functionality."/>
        <s v="Is the application available from a trusted source (e.g., iTunes App Store, Android Market, BB World)?"/>
        <s v="Does the application store, process, or transmit critical data?"/>
        <s v="Is Institution's data encrypted in transport?"/>
        <s v="Is Institution's data encrypted in storage? (e.g. disk encryption, at-rest)"/>
        <s v="Does the mobile application support Kerberos, CAS, or Active Directory authentication?"/>
        <s v="Will any of these systems be implemented on systems hosting the Institution's data?"/>
        <s v="Does the application adhere to secure coding practices (e.g. OWASP, etc.)?"/>
        <s v="Has the application been tested for vulnerabilities by a third party?"/>
        <s v="State the party that performed the vulnerability test and the date it was conducted?"/>
        <s v="Does your organization have physical security controls and policies in place?"/>
        <s v="Are employees allowed to take home Institution's data in any form?"/>
        <s v="Are video monitoring feeds retained?"/>
        <s v="Are video feeds monitored by datacenter staff?"/>
        <s v="Are individuals required to sign in/out for installation and removal of equipment?"/>
        <s v="Can you share the organization chart, mission statement, and policies for your information security unit?"/>
        <s v="Do you have a documented patch management process?"/>
        <s v="Can you accommodate encryption requirements using open standards?"/>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Data Zone laws and regulations?"/>
        <s v="Do you perform background screenings or multi-state background checks on all employees prior to their first day of work?"/>
        <s v="Do you require new employees to fill out agreements and review policies?  "/>
        <s v="Do you have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 you incorporate customer feedback into security feature requests?"/>
        <s v="Can you provide an evaluation site to the institution for testing?"/>
        <s v="Provide a general summary of your Quality Assurance program."/>
        <s v="Do you comply with ISO 9001?"/>
        <s v="Will your company provide quality and performance metrics in relation to the scope of services and performance expectations for the services you are offering?"/>
        <s v="Have you supplied products and/or services to the Institution (or its Campuses) in the last five years?"/>
        <s v="Do you have a program to keep your customers abreast of higher education and/or industry issues?"/>
        <s v="Are systems that support this service managed via a separate management network?"/>
        <s v="Do you have an implemented system configuration management process? (e.g. secure &quot;gold&quot; images, etc.)"/>
        <s v="Are employee mobile devices managed by your company's Mobile Device Management (MDM) platform?"/>
        <s v="Do you have a systems management and configuration strategy that encompasses servers, appliances, and mobile devices (company and employee owned)?"/>
        <s v="Are your applications scanned externally for vulnerabilities?"/>
        <s v="Are your applications scanned for vulnerabilities prior to new releases?"/>
        <s v="Are your systems scanned externally for vulnerabilities?"/>
        <s v="Have your systems had an external vulnerability assessment in the last year?"/>
        <s v="Describe or provide a reference to the tool(s) used to scan for vulnerabilities in your applications and systems."/>
        <s v="Will you provide results of security scans to the Institution?"/>
        <s v="Describe or provide a reference to how you monitor for and protect against common web application security vulnerabilities (e.g. SQL injection, XSS, XSRF, etc.)."/>
        <s v="Will you allow the institution to perform its own security test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Do you have an incident response process and reporting in place to investigate any potential incidents and report actual incidents?"/>
        <s v="Do you have a plan to comply with the Breach Notification requirements if there is a breach of data?"/>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 v="Describe your organization’s business background and ownership structure, including all parent and subsidiary relationships."/>
        <s v="Describe how long your organization has conducted business in this product area."/>
        <s v="Do you have existing higher education customers?"/>
        <s v="Have you had a significant breach in the last 5 year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Will you provide results of security scans to the Institution (if requested)?" u="1"/>
        <s v="Have your applications had an external assessment in the last year?  Please list date in Additional Information (mm/dd/yyyy)" u="1"/>
        <s v="Describe or provide a reference to your media handling process, that is documented and currently implemented, including end-of-life, repurposing, and data sanitization procedures." u="1"/>
        <s v="State the party that performed the test and the date it was conducted?" u="1"/>
        <s v="Describe or provide a reference to any other safeguards used to monitor for attacks?" u="1"/>
        <s v="Does your systems or products store, process, or transmit cardholder (payment/credit/debt card) data?" u="1"/>
        <s v="Are your servers separated from other companies via a physical barrier, such as a cage or hardened walls?" u="1"/>
        <s v="Is your company subject to US laws and regulations?" u="1"/>
        <s v="Are any disaster recovery locations outside the United States?" u="1"/>
        <s v="Describe or provide a reference to your cryptographic key management process (generation, exchange, storage, safeguards, use, vetting, and replacement) of all system components (e.g. database, system, web, etc.)." u="1"/>
        <s v="Summarize the encryption algorithm/strategy you are using to secure the backups." u="1"/>
        <s v="List all datacenters and their cities, states (provinces), and countries where the institution's data will be stored (including within the United States).   " u="1"/>
        <s v="Does your organization conduct an annual test of relocating to this site for disaster recovery purposes?" u="1"/>
        <s v="Do current backups include all operating system software, utilities, security software, application software, and data files necessary for recovery?" u="1"/>
        <s v="Have you undergone a SSAE 16 audit? Please indicate in Additional Information if your hosting provider was the subject of the audit" u="1"/>
        <s v="Are you performing offsite backups? (i.e. digitally moved off site)" u="1"/>
        <s v="What type of availability does your Disaster Recovery site provide?" u="1"/>
        <s v="Does your system employ encryption technologies when transmitting sensitive information over TCP/IP networks (e.g., SSH, SSL/TLS, VPN)?" u="1"/>
        <s v="What are the equipment removal procedures for the clients?" u="1"/>
        <s v="Describe or provide a reference to your internal audit processes and procedures." u="1"/>
        <s v="Is intrusion monitoring performed internally or by a third-party service?" u="1"/>
        <s v="Will any institution data leave theInstitution's Data Zone?" u="1"/>
        <s v="Is the security awareness training mandatory for all employees?" u="1"/>
        <s v="Describe or provide a reference to physical safeguards that are placed on facilities housing the institution's data (e.g., video monitoring, restricted access areas, man traps, card access controls, etc.)?" u="1"/>
        <s v="If possible, can the Institution review your BCP and supporting documentation?" u="1"/>
        <s v="If possible, can the Institution review your DRP and supporting documentation?" u="1"/>
        <s v="Does your organization conduct an annual test of relocating to this alternate site for business recovery purposes?" u="1"/>
        <s v="Do backups containing the institution's data ever leave the Institutions Data Zone either physically or via network routing?" u="1"/>
        <s v="Do you have a documented information security policy?" u="1"/>
        <s v="Describe or provide a reference to your system development life cycle methodology including your environments, version control, and change management (if not already covered in the Change Management section)." u="1"/>
        <s v="Provide a general summary of your systems management and configuration strategy, including servers, appliances, and mobile devices (company and employee owned)." u="1"/>
        <s v="Is it encrypted (at rest) while in the consultant's possession?" u="1"/>
        <s v="Have your systems had an external assessment in the last year?  Please list date in Additional Information (mm/dd/yyyy)" u="1"/>
        <s v="How frequently are employees required to undergo the security awareness training?" u="1"/>
        <s v="If outsourced or co-located, is there a contract in place to prevent data from leaving the United States?" u="1"/>
        <s v="Do the documented test results identify your organizations actual recovery time capabilities for technology and facilities?" u="1"/>
        <s v="Do you conform with a specific industry standard security framework? (e.g. NIST Cybersecurity Framework, ISO 27001, etc.)  Answer yes or no and list framework in Additional Info" u="1"/>
        <s v="Is sensitive data encrypted in transport?" u="1"/>
        <s v="Does the physical barrier fully enclose the physical space preventing unauthorized physical contact with any of your devices?" u="1"/>
        <s v="Does the process described in DATA-24 adhere to DoD 5220.22-M and/or NIST SP 800-88 standards?" u="1"/>
        <s v="Is Institution data encrypted in storage? (e.g. disk encryption, at-rest)" u="1"/>
        <s v="How often are redundant power strategies tested?" u="1"/>
        <s v="Does the application adhere to secure coding practices?" u="1"/>
        <s v="Is the video feed monitored by data center staff?" u="1"/>
        <s v="Describe testing processes that are established and followed (e.g., development of test plans, personnel involved in the testing process, and authorized individual accountable for approval and certification of test results)?" u="1"/>
        <s v="Describe or provide a reference to the types of authentication, including standards-based single-sign-on (SSO, InCommon), that are supported by the web-based interface?" u="1"/>
        <s v="How long will it remain in their possession?" u="1"/>
        <s v="Is Institution data encrypted in transport?" u="1"/>
        <s v="Have you completed the Cloud Security Alliance (CSA) self assessment or CAIQ? Please indicate in Additional Information if you are in progress" u="1"/>
        <s v="Briefly describe your security organization. Include the responsible party for your information security program and the size of your security staff?" u="1"/>
        <s v="Is a process documented, and currently followed, that requires a review and update  of the access-list for privileged accounts?" u="1"/>
        <s v="Does this process adhere to DoD 5220.22-M and/or NIST SP 800-88 standards?" u="1"/>
        <s v="Does the systems or products use a third party to collect, store, process, or transmit cardholder (payment/credit/debt card) data?" u="1"/>
        <s v="Are audit logs available for all changes to the network, firewall, IDS, and/or IPS?" u="1"/>
        <s v="Describe or provide a reference to any other safeguards used to monitor for malicious activity?" u="1"/>
        <s v="Have your systems had an external assessment in the last year?" u="1"/>
        <s v="Do you subject your code to Static Code Analysis and/or Static Application Security Testing prior to release? If so, what tool(s) do you use?&quot;" u="1"/>
        <s v="Are there any passwords/passphrases &quot;hard coded&quot; into your systems or products?" u="1"/>
      </sharedItems>
    </cacheField>
    <cacheField name="Additional Info" numFmtId="0">
      <sharedItems containsBlank="1" containsMixedTypes="1" containsNumber="1" containsInteger="1" count="3">
        <n v="0"/>
        <m/>
        <e v="#N/A"/>
      </sharedItems>
    </cacheField>
    <cacheField name="High Risk" numFmtId="0">
      <sharedItems containsBlank="1" count="3">
        <b v="1"/>
        <b v="0"/>
        <m/>
      </sharedItems>
    </cacheField>
    <cacheField name="Category" numFmtId="0">
      <sharedItems containsBlank="1"/>
    </cacheField>
    <cacheField name="C_Answer" numFmtId="0">
      <sharedItems containsBlank="1"/>
    </cacheField>
    <cacheField name="Required" numFmtId="0">
      <sharedItems containsString="0" containsBlank="1" containsNumber="1" containsInteger="1"/>
    </cacheField>
    <cacheField name="V_Answer" numFmtId="0">
      <sharedItems containsBlank="1" containsMixedTypes="1" containsNumber="1" containsInteger="1"/>
    </cacheField>
    <cacheField name="Compliant" numFmtId="0">
      <sharedItems containsBlank="1" containsMixedTypes="1" containsNumber="1" containsInteger="1" count="4">
        <n v="1"/>
        <m/>
        <n v="0"/>
        <e v="#N/A"/>
      </sharedItems>
    </cacheField>
    <cacheField name="Weight" numFmtId="0">
      <sharedItems containsBlank="1" containsMixedTypes="1" containsNumber="1" containsInteger="1"/>
    </cacheField>
    <cacheField name="Score" numFmtId="0">
      <sharedItems containsBlank="1" containsMixedTypes="1" containsNumber="1" containsInteger="1"/>
    </cacheField>
    <cacheField name="CIS" numFmtId="165">
      <sharedItems containsBlank="1" containsMixedTypes="1" containsNumber="1" containsInteger="1" count="33">
        <s v="CSC 13"/>
        <s v="CSC 18"/>
        <s v="CSC 10"/>
        <m/>
        <s v="CSC 14"/>
        <n v="0"/>
        <e v="#N/A"/>
        <s v="CSC 2, CSC 3"/>
        <s v="CSC16"/>
        <s v="CSC 12"/>
        <s v="CSC 2"/>
        <s v="CSC 7"/>
        <s v="CSC 5"/>
        <s v="CSC 16"/>
        <s v="CSC 6"/>
        <s v="CSC 1"/>
        <s v="CAC 13"/>
        <s v="CSC 13, CSC 14"/>
        <s v="CSC 3"/>
        <s v="CSC 3, CSC 14"/>
        <s v="CSC 9"/>
        <s v="CSC 10, CSC 12"/>
        <s v="CSC 19"/>
        <s v="CSC 13, CSC 18"/>
        <s v="CSC 4"/>
        <s v="CSC 4, CSC 17"/>
        <s v="CSC 17"/>
        <s v="CSC 7, CSC 18"/>
        <s v="CSC 20"/>
        <s v="CSC 16, 5"/>
        <s v="CSC 6, CSC 16"/>
        <s v="CSC 1, CSC 2"/>
        <s v="CSC 12, CSC 13"/>
      </sharedItems>
    </cacheField>
    <cacheField name="HIPAA" numFmtId="165">
      <sharedItems containsBlank="1" containsMixedTypes="1" containsNumber="1" containsInteger="1" count="27">
        <s v="Discovery"/>
        <n v="0"/>
        <s v="§164.308(a)(1)(i)"/>
        <e v="#N/A"/>
        <s v="§164.308(a)(1)(ii)(B)"/>
        <m/>
        <s v="§164.308(a)(5)(i)"/>
        <s v="§164.316(b)(2)(iii)"/>
        <s v="§164.308(a)(2)"/>
        <s v="§164.308(a)(6)(i)"/>
        <s v="§164.308(a)(6)(ii)"/>
        <s v="§164.308(a)(1)(i), §164.308(a)(1)(ii)(A)"/>
        <s v="§164.308(a)(5)(ii)(D)"/>
        <s v="§164.308(a)(4), §164.312(a)(2)(ii),  _x000a_§164.312(a)(2)(iii)"/>
        <s v="§164.308(a)(4),_x000a_§164.312(a)(2)(ii), §164.312(a)(2)(iii)"/>
        <s v="§164.308(a)(4), _x000a_§164.312(d)"/>
        <s v="§164.308(a)(4), _x000a_§164.312(a)(1), §164.312(a)(2)(i), _x000a_§164.312(d)"/>
        <s v="§164.308(a)(4),_x000a_§164.312(a)(1), §164.312(a)(2)(i), _x000a_§164.312(d)"/>
        <s v="§164.308(a)(4), _x000a_§164.312(a)(1), §164.312(a)(2)(i),_x000a_§164.312(d)"/>
        <s v="§164.308(a)(4), _x000a_§164.312(a)(1)"/>
        <s v="§ 164.308(a)(1)(ii)(D)"/>
        <s v="§164.312(b)"/>
        <s v="§164.312(a)(2)(ii)"/>
        <s v="§164.308(a)(7)(i)"/>
        <s v="§164.308(b)(2)"/>
        <s v="§164.308(b)(1),_x000a_§164.308(b)(3), §164.314(a)(1)(i)"/>
        <s v="§164.308(a)(3)(i), §164.308(b)(1), _x000a_§164.308(b)(3), §164.314(a)(1)(i)"/>
      </sharedItems>
    </cacheField>
    <cacheField name="ISO 27002:27013" numFmtId="165">
      <sharedItems containsBlank="1" containsMixedTypes="1" containsNumber="1" count="72">
        <s v="18.1.1"/>
        <n v="0"/>
        <s v="17.1.2"/>
        <m/>
        <s v="15.2.1"/>
        <s v="18.1.4"/>
        <s v="15.1.3"/>
        <s v="9.1.2"/>
        <s v="9.2.6"/>
        <s v="9"/>
        <e v="#N/A"/>
        <s v="11.2.6"/>
        <n v="6.2"/>
        <s v="9.1.1"/>
        <s v="12.5.1"/>
        <n v="16"/>
        <s v="12.1.1"/>
        <s v="12.1.4"/>
        <s v="9.2.3, 12.1.4"/>
        <n v="9.1999999999999993"/>
        <s v="9.2.3, 9.3.1, 9.4.3"/>
        <s v="9.1.1, 9.2.3, 9.3.1, 9.4.3"/>
        <s v="9.4.3"/>
        <s v="12.4"/>
        <s v="17.1.1"/>
        <s v="17"/>
        <s v="17.1.3"/>
        <s v="7.2.2, 17.1.3"/>
        <s v="7.2.2, 16.1.1, 17.1.3"/>
        <s v="17.2.1"/>
        <s v="12.1.2"/>
        <s v="12.6.1"/>
        <s v="10.1.1"/>
        <s v="8.2.3, 10.1.1"/>
        <s v="13.2"/>
        <s v="8.1.4"/>
        <s v="12.3.1"/>
        <s v="8.1.2"/>
        <s v="10.1.2"/>
        <s v="8.3.1"/>
        <s v="8.3.1, 18.1.1"/>
        <s v="14.2.5"/>
        <s v="11.1.1"/>
        <s v="11.1.4"/>
        <s v="16.1.1, 17.1.1"/>
        <s v="13.1.1"/>
        <s v="13"/>
        <s v="13.1.2"/>
        <s v="12.4.1"/>
        <s v="8.2.1; 8.2.3"/>
        <s v="8.2.3"/>
        <s v="9.4.2"/>
        <s v="14.2.1"/>
        <s v="12.7.1, 18.2.1"/>
        <s v="11.1.2, 11.1.3"/>
        <s v="11.1.2,  11.1.3"/>
        <s v="11.1.2"/>
        <s v="5.1.1"/>
        <s v="10.1.1, 18.1.5"/>
        <s v="14.2.1, 14.2.5, 14.2.8"/>
        <s v="16.1.5"/>
        <s v="7.1.1"/>
        <s v="7.1.2"/>
        <s v="7.2.2"/>
        <s v="9.2.5"/>
        <s v="12.7.1"/>
        <s v="6.2.1"/>
        <s v="18.2.1"/>
        <s v="18.1.1, 7.2.2"/>
        <s v="16.1.1"/>
        <s v="16.1.2, 16.1.5, 18.1.1"/>
        <s v="9.2.3"/>
      </sharedItems>
    </cacheField>
    <cacheField name="NIST Cybersecurity Framework" numFmtId="165">
      <sharedItems containsBlank="1" containsMixedTypes="1" containsNumber="1" containsInteger="1" count="53">
        <s v="ID.GV-3"/>
        <n v="0"/>
        <s v="ID.AM-6, PR.AT-3"/>
        <s v="PR.IP-9"/>
        <m/>
        <s v="ID.AM-6, PR-AT-3"/>
        <e v="#N/A"/>
        <s v="ID.AM-5"/>
        <s v="PR.AC-3, PR.MA-2"/>
        <s v="PR.AC-4, PR.PT-3"/>
        <s v="PR.PT-3"/>
        <s v="ID.AM-2"/>
        <s v="ID.AM-1, ID.AM-2, ID.AM-4"/>
        <s v="PR.AC-4"/>
        <s v="PR.AC-1"/>
        <s v="PR.AC-1, PR.AC-4"/>
        <s v="PR.PT-1"/>
        <s v="PR.IP-3"/>
        <s v="PR.IP-3, PR.DS-7"/>
        <s v="PR.DS-6"/>
        <s v="PR.AC-2, PR.IP-5"/>
        <s v="PR.DS-2"/>
        <s v="PR.DS-1"/>
        <s v="PR.IP-4"/>
        <s v="PR.DS-1, PR.IP-4"/>
        <s v="PR.DS-3"/>
        <s v="PR.DS-3, ID.GV-3"/>
        <s v="PR.DS-1, PR.DS-2"/>
        <s v="PR.AC-5"/>
        <s v="PR.DS-4"/>
        <s v="PR.DS-5"/>
        <s v="DE.CM-1"/>
        <s v="DE.CM-1, DE.CM-2, DE.CM-7"/>
        <s v="DE.AE-1, DE.CM-1, PR.PT-4"/>
        <s v="DE.CM-7"/>
        <s v="DE.CM-7, PR.DS-2"/>
        <s v="DE.CM-7, PR.DS-1"/>
        <s v="DE.CM-7, DE.CM-8, ID.RA-1"/>
        <s v="PR.AC-2, PR.AT-5, PR.IP-5, DE.CM-2"/>
        <s v="PR.AC-2, PR.AC-4, PR.DS-1, PR.DS-3, PR.DS-5"/>
        <s v="DE.CM-2"/>
        <s v="ID.GV-2"/>
        <s v="PR.IP-12"/>
        <s v="DE.CM-8, RS.MI-3"/>
        <s v="PR.IP-2"/>
        <s v="PR.IP-11"/>
        <s v="PR.AT-1"/>
        <s v="PR.DS-7"/>
        <s v="PR.PT-4"/>
        <s v="PR.IP-1"/>
        <s v="PR.IP-1, PR.IP-2"/>
        <s v="DE.CM-8"/>
        <s v="ID.RA-1, DE.CM-8, PR.IP-12"/>
      </sharedItems>
    </cacheField>
    <cacheField name="NIST SP 800-171r1" numFmtId="165">
      <sharedItems containsBlank="1" containsMixedTypes="1" containsNumber="1" containsInteger="1" count="72">
        <s v="ID.GV-3"/>
        <n v="0"/>
        <s v="ID.AM-6, PR.AT-3"/>
        <s v="PR.IP-9"/>
        <m/>
        <s v="3.8.2"/>
        <s v="3.1.2, 3.1.3"/>
        <s v="3.1.2"/>
        <e v="#N/A"/>
        <s v="3.4.9"/>
        <s v="3.1.12, 3.1.13, 3.1.14, 3.1.14, 3.1.15, 3.1.8, 3.1.20, 3.7.5, 3.8.2, 3.13.7"/>
        <s v="3.1.4"/>
        <s v="3.1.1, 3.1.5, 3.1.6, 3.7.1, 3.7.2"/>
        <s v="3.5.6"/>
        <s v="3.5.7"/>
        <s v="3.5.5, 3.5.8"/>
        <s v="3.5.1"/>
        <s v="3.5.10"/>
        <s v="3.5.2, 3.5.3"/>
        <s v="3.1.1"/>
        <s v="3.1.7, 3.3.1"/>
        <s v="3.1.7, 3.3.2, 3.3.3, 3.3.4, 3.3.5, 3.4.3, 3.7.1, 3.7.6, 3.10.4, 3.10.5"/>
        <s v="3.3.8, 3.3.9"/>
        <s v="3.12.2"/>
        <s v="3.2.1, 3.2.2"/>
        <s v="3.4.3, 3.4.4"/>
        <s v="3.4.3, 3.4.4, 3.4.5"/>
        <s v="3.4.4"/>
        <s v="3.14.4"/>
        <s v="3.1.3, 3.8.1"/>
        <s v="3.1.22"/>
        <s v="3.1.19, 3.8.1"/>
        <s v="3.8.6, 3.13.11"/>
        <s v="3.8.1"/>
        <s v="3.8.9"/>
        <s v="3.13.10"/>
        <s v="3.8.1, 3.8.9"/>
        <s v="3.8.1, 3.8.5, 3.8.9"/>
        <s v="3.7.1, 3.7.2, 3.8.3"/>
        <s v="3.7.3, 3.8.3,"/>
        <s v="3.8.1, 3.8.2"/>
        <s v="3.1.3"/>
        <s v="3.6.2"/>
        <s v="3.6.1, 3.14.6, 3.14.7"/>
        <s v="3.3.1"/>
        <s v="3.1.19"/>
        <s v="3.8.2, 3.10.1, 3.10.2, 3.10.5, 3.10.6, 3.12.1"/>
        <s v="3.8.1, 3.8.5, 3.8.7"/>
        <s v="3.10.2"/>
        <s v="3.7.3, 3.8.1, 3.8.5, 3.8.7, 3.10.3"/>
        <s v="3.9.1, 3.9.2"/>
        <s v="3.13.2"/>
        <s v="3.6.1, 3.12.2"/>
        <s v="3.6.2,"/>
        <s v="3.9.1"/>
        <s v="3.2.1"/>
        <s v="3.2.1, 3.2.2, 3.2.3"/>
        <s v="3.1.7"/>
        <s v="3.4.1, 3.4.2, 3.4.3"/>
        <s v="3.13.13"/>
        <s v="3.1.18, 3.7.1, 3.13.13"/>
        <s v="3.11.1, 3.11.2, 3.11.3"/>
        <s v="3.11.1, 3.11.2, 3.11.3, 3.14.2"/>
        <s v="3.2.2"/>
        <s v="3.6.1, 3.14.1"/>
        <s v="3.6.2, 3.12.2"/>
        <s v="3.5.9"/>
        <s v="3.1.8"/>
        <s v="3.1.10, 3.1.11"/>
        <s v="3.1.2, 3.1.5"/>
        <s v="3.3.2"/>
        <s v="3.6.3, 3.12.2"/>
      </sharedItems>
    </cacheField>
    <cacheField name="NIST SP 800-53r4" numFmtId="165">
      <sharedItems containsBlank="1" containsMixedTypes="1" containsNumber="1" containsInteger="1" count="70">
        <s v="RA-2"/>
        <s v="IA-2, IA-3, CM-3, SI-2"/>
        <n v="0"/>
        <s v="AU-7, AU-9, IR-4"/>
        <m/>
        <s v="CA-5, PL-2"/>
        <s v="SA-9"/>
        <s v="PE-2, PE-3, PE-5, PE-11, PE-13, PE-14, SA-9"/>
        <s v="MP-2, RA-3"/>
        <s v="PS-3"/>
        <s v="PS-5"/>
        <s v="AC-4"/>
        <s v="MP-2"/>
        <e v="#N/A"/>
        <s v="AC-17; NIST SP 800-46"/>
        <s v="CM-11"/>
        <s v="AC-3, CM-7; NIST SP 800-46"/>
        <s v="CA-9, SC-4"/>
        <s v="AC-5"/>
        <s v="AC-2, AC-3, AC-6, MA-2, MA-3"/>
        <s v="IA-4"/>
        <s v="IA-5(1)"/>
        <s v="IA-2, IA-5"/>
        <s v="IA-5"/>
        <s v="AC-6(1,3,9), AU-2, AU-2(3), AU-3, AU-7, AU-9(4), AU-12, NIST 800-92"/>
        <s v="AU-2(3), AU-6, AU-12, AC-6(9), CM-3, MA-2, MA-5, PE-3"/>
        <s v="AU-9"/>
        <s v="AU-7, AU-9, IR-4, AC-5, CP-4, CP-10; NIST SP 800-34"/>
        <s v="AC-5, CP-4, CP-10; NIST SP 800-34"/>
        <s v="AT-3, AC-5, CP-4, CP-10; NIST SP 800-34"/>
        <s v="CM-3, CM-4, CM-5"/>
        <s v="AC-4, MP-2, MP-4"/>
        <s v="AC-22"/>
        <s v="MP-2, AC-19(5)"/>
        <s v="PE-2, PE-3, PE-5, MP-5"/>
        <s v="CP-9"/>
        <s v="SC-28, SC-13, FIPS PUB 140-2"/>
        <s v="CP-9, MP-5"/>
        <s v="CP-9 MP-6, NIST SP 800-60, NIST SP 800-88, AC-2, AC-6, IA-4, PM-2, PM-10, SI-5, MA-2, MA-3, MP-6"/>
        <s v="AC-2, AC-6, IA-4, PM-2, PM-10, SI-5, MA-2"/>
        <s v="SI-12, AC-2, AC-6, IA-4, PM-2, PM-10, SI-5, MA-2"/>
        <s v="AC-2, AC-6, IA-4, PM-2, PM-10, SI-5"/>
        <s v="PE-2, PE-3, PE-5, PE-11, PE-13, PE-14"/>
        <s v="IR-2, IR-4, IR-5"/>
        <s v="AU-2"/>
        <s v="AC-19(5)"/>
        <s v="MP-4, PE-2, PE-5, PE-6, PE-17"/>
        <s v="MP-2, MP-5, MP-7"/>
        <s v="PE-6"/>
        <s v="PM-2, PM-10, SI-5, CA-5, PM-1"/>
        <s v="CA-5, PM-1"/>
        <s v="CM-3, SA-15, SA-3, SA-8, SC-2, CA-5, PM-1"/>
        <s v="CA-5, PM-1, IR-4, IR-5, IR-7, IR-8"/>
        <s v="CA-5, PM-1, IR-4, IR-5, IR-6, IR-7, IR-8"/>
        <s v="CA-2, SA-15, CA-5, PM-1, IR-4, IR-5, IR-6, R-7, IR-8"/>
        <s v="CA-5, PM-1, PS-3"/>
        <s v="AT-2, CA-5, PM-1"/>
        <s v="AT-2, AT-3, CA-5, PM-1"/>
        <s v="CA-5, PM-1, PS-4, PS-5, PE-2, PE-3, PE-5, AC-6, RA-3, SA-8, CA-2, NIST SP 800-37; NIST SP 800-39; NIST SP 800-115; NIST SP 800-137"/>
        <s v="CM-2, CM-3, CM-6, CM-8"/>
        <s v="CM-2, CM-6, CM-3, AC-19, MA-2"/>
        <s v="SI-2"/>
        <s v="AT-3"/>
        <s v="IR-2, IR-4, IR-5, IR-7"/>
        <s v="IR-6"/>
        <s v="AC-7"/>
        <s v="AC-11, AC-11(1), AC-12"/>
        <s v="AU-2, AU-6, AU-12"/>
        <s v="AU-3"/>
        <s v="SA-3, SA-15, SC-2, PM-2, PM-10, SI-5,PM-3 "/>
      </sharedItems>
    </cacheField>
    <cacheField name="PCI DSS" numFmtId="165">
      <sharedItems containsBlank="1" containsMixedTypes="1" containsNumber="1" count="54">
        <n v="0"/>
        <n v="12.8"/>
        <n v="12.1"/>
        <m/>
        <s v="PCI Scope, Discovery"/>
        <s v="PCI Scope"/>
        <s v="12.1, Scope"/>
        <e v="#N/A"/>
        <s v="7.x"/>
        <s v="12.8, 4.2"/>
        <n v="2.4"/>
        <s v="12.x"/>
        <s v="7.x, 8.x"/>
        <s v="8.x"/>
        <s v="2.1, 8.x"/>
        <s v="10.1, 10.2, 10.3, 10.5, 10.6, 10.7"/>
        <s v="10.1, 10.2, 10.3, 10.5, 10.6, 10.7, 9.x"/>
        <n v="10.7"/>
        <s v="6.4, 6.4.5, 6.4.5.1, 6.4.5.2"/>
        <s v="6.4, 12.8, 12.9"/>
        <s v="12.1, 12.8"/>
        <s v="12.1, 12.8, 6.2"/>
        <s v="12.2, 12.8"/>
        <s v="12.1, 12.2, 12.8"/>
        <s v="12.10, 12.8, 6.4"/>
        <s v="12.8, 9.x"/>
        <s v="12.8, 4.1"/>
        <s v="9.x"/>
        <n v="12.9"/>
        <n v="1.1000000000000001"/>
        <n v="11.4"/>
        <n v="11.5"/>
        <s v="1.1, 10.8, 10.6, 10.3, 10.2, 11.4"/>
        <n v="4.0999999999999996"/>
        <s v="12.1, 9.x"/>
        <s v="12.4, 12.5"/>
        <s v="6.4.5"/>
        <s v="12.6, 6.5"/>
        <n v="6.3"/>
        <s v="6.3.2"/>
        <s v="6.3.2, 6.4.5.3"/>
        <s v="6.3, 6.3.1"/>
        <s v="12.10, 12.8, 12.9"/>
        <n v="12.7"/>
        <s v="12.6, 7.x, 8.x, 9.x"/>
        <s v="12.1, 5.4 (?)"/>
        <n v="12.6"/>
        <s v="12.1, 12.5, 12.6"/>
        <n v="11.2"/>
        <s v="11.2, 11.3"/>
        <s v="11.2, 12.8"/>
        <s v="12.10, 10.10"/>
        <n v="12.2"/>
        <s v="12.8, 1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x v="0"/>
    <s v="Qualifiers"/>
    <s v="Yes"/>
    <n v="1"/>
    <s v="Yes"/>
    <x v="0"/>
    <n v="10"/>
    <n v="10"/>
    <x v="0"/>
    <x v="0"/>
    <x v="0"/>
    <x v="0"/>
    <x v="0"/>
    <x v="0"/>
    <x v="0"/>
  </r>
  <r>
    <x v="1"/>
    <x v="1"/>
    <x v="1"/>
    <x v="0"/>
    <x v="1"/>
    <s v="Qualifiers"/>
    <s v="Yes"/>
    <n v="1"/>
    <s v="Yes"/>
    <x v="0"/>
    <n v="10"/>
    <n v="10"/>
    <x v="1"/>
    <x v="1"/>
    <x v="1"/>
    <x v="1"/>
    <x v="1"/>
    <x v="1"/>
    <x v="0"/>
  </r>
  <r>
    <x v="2"/>
    <x v="2"/>
    <x v="2"/>
    <x v="0"/>
    <x v="0"/>
    <s v="Qualifiers"/>
    <s v="No"/>
    <n v="1"/>
    <s v="No"/>
    <x v="0"/>
    <n v="10"/>
    <n v="10"/>
    <x v="0"/>
    <x v="1"/>
    <x v="1"/>
    <x v="2"/>
    <x v="2"/>
    <x v="2"/>
    <x v="1"/>
  </r>
  <r>
    <x v="3"/>
    <x v="3"/>
    <x v="3"/>
    <x v="0"/>
    <x v="0"/>
    <s v="Qualifiers"/>
    <s v="Yes"/>
    <n v="1"/>
    <n v="0"/>
    <x v="0"/>
    <n v="10"/>
    <n v="10"/>
    <x v="2"/>
    <x v="1"/>
    <x v="2"/>
    <x v="3"/>
    <x v="3"/>
    <x v="3"/>
    <x v="2"/>
  </r>
  <r>
    <x v="4"/>
    <x v="4"/>
    <x v="4"/>
    <x v="1"/>
    <x v="2"/>
    <m/>
    <m/>
    <m/>
    <m/>
    <x v="1"/>
    <m/>
    <m/>
    <x v="3"/>
    <x v="1"/>
    <x v="3"/>
    <x v="4"/>
    <x v="4"/>
    <x v="4"/>
    <x v="3"/>
  </r>
  <r>
    <x v="5"/>
    <x v="5"/>
    <x v="5"/>
    <x v="0"/>
    <x v="0"/>
    <s v="Qualifiers"/>
    <s v="Yes"/>
    <n v="1"/>
    <n v="0"/>
    <x v="0"/>
    <n v="10"/>
    <n v="10"/>
    <x v="2"/>
    <x v="1"/>
    <x v="2"/>
    <x v="3"/>
    <x v="3"/>
    <x v="5"/>
    <x v="2"/>
  </r>
  <r>
    <x v="6"/>
    <x v="6"/>
    <x v="6"/>
    <x v="0"/>
    <x v="0"/>
    <s v="Qualifiers"/>
    <s v="No"/>
    <n v="1"/>
    <n v="0"/>
    <x v="0"/>
    <n v="10"/>
    <n v="10"/>
    <x v="0"/>
    <x v="1"/>
    <x v="0"/>
    <x v="0"/>
    <x v="0"/>
    <x v="0"/>
    <x v="4"/>
  </r>
  <r>
    <x v="7"/>
    <x v="7"/>
    <x v="7"/>
    <x v="0"/>
    <x v="1"/>
    <s v="Qualifiers"/>
    <s v="Yes"/>
    <n v="1"/>
    <n v="0"/>
    <x v="0"/>
    <n v="10"/>
    <n v="10"/>
    <x v="4"/>
    <x v="1"/>
    <x v="1"/>
    <x v="1"/>
    <x v="1"/>
    <x v="2"/>
    <x v="5"/>
  </r>
  <r>
    <x v="8"/>
    <x v="8"/>
    <x v="8"/>
    <x v="0"/>
    <x v="1"/>
    <s v="Documentation"/>
    <s v="Yes"/>
    <n v="1"/>
    <n v="0"/>
    <x v="2"/>
    <n v="15"/>
    <n v="0"/>
    <x v="5"/>
    <x v="1"/>
    <x v="4"/>
    <x v="1"/>
    <x v="1"/>
    <x v="6"/>
    <x v="0"/>
  </r>
  <r>
    <x v="9"/>
    <x v="9"/>
    <x v="9"/>
    <x v="0"/>
    <x v="1"/>
    <s v="Documentation"/>
    <s v="Yes"/>
    <n v="1"/>
    <n v="0"/>
    <x v="2"/>
    <n v="10"/>
    <n v="0"/>
    <x v="5"/>
    <x v="1"/>
    <x v="4"/>
    <x v="1"/>
    <x v="1"/>
    <x v="7"/>
    <x v="0"/>
  </r>
  <r>
    <x v="10"/>
    <x v="10"/>
    <x v="10"/>
    <x v="0"/>
    <x v="1"/>
    <s v="Documentation"/>
    <s v="Yes"/>
    <n v="1"/>
    <n v="0"/>
    <x v="2"/>
    <n v="15"/>
    <n v="0"/>
    <x v="5"/>
    <x v="1"/>
    <x v="4"/>
    <x v="1"/>
    <x v="1"/>
    <x v="7"/>
    <x v="0"/>
  </r>
  <r>
    <x v="11"/>
    <x v="11"/>
    <x v="11"/>
    <x v="0"/>
    <x v="0"/>
    <s v="Documentation"/>
    <s v="Yes"/>
    <n v="1"/>
    <n v="0"/>
    <x v="2"/>
    <n v="25"/>
    <n v="0"/>
    <x v="5"/>
    <x v="1"/>
    <x v="0"/>
    <x v="1"/>
    <x v="1"/>
    <x v="6"/>
    <x v="6"/>
  </r>
  <r>
    <x v="12"/>
    <x v="12"/>
    <x v="12"/>
    <x v="0"/>
    <x v="1"/>
    <s v="Documentation"/>
    <s v="Yes"/>
    <n v="1"/>
    <n v="0"/>
    <x v="2"/>
    <n v="15"/>
    <n v="0"/>
    <x v="5"/>
    <x v="1"/>
    <x v="0"/>
    <x v="1"/>
    <x v="1"/>
    <x v="6"/>
    <x v="0"/>
  </r>
  <r>
    <x v="13"/>
    <x v="13"/>
    <x v="13"/>
    <x v="0"/>
    <x v="0"/>
    <s v="Documentation"/>
    <s v="Yes"/>
    <n v="1"/>
    <n v="0"/>
    <x v="2"/>
    <n v="25"/>
    <n v="0"/>
    <x v="5"/>
    <x v="2"/>
    <x v="5"/>
    <x v="0"/>
    <x v="0"/>
    <x v="6"/>
    <x v="0"/>
  </r>
  <r>
    <x v="14"/>
    <x v="14"/>
    <x v="14"/>
    <x v="0"/>
    <x v="0"/>
    <s v="Third-Parties"/>
    <s v="Yes"/>
    <n v="1"/>
    <n v="0"/>
    <x v="2"/>
    <n v="25"/>
    <n v="0"/>
    <x v="0"/>
    <x v="1"/>
    <x v="6"/>
    <x v="5"/>
    <x v="5"/>
    <x v="8"/>
    <x v="1"/>
  </r>
  <r>
    <x v="15"/>
    <x v="15"/>
    <x v="15"/>
    <x v="0"/>
    <x v="0"/>
    <s v="Third-Parties"/>
    <s v="Yes"/>
    <n v="1"/>
    <n v="0"/>
    <x v="2"/>
    <n v="25"/>
    <n v="0"/>
    <x v="0"/>
    <x v="1"/>
    <x v="6"/>
    <x v="5"/>
    <x v="5"/>
    <x v="2"/>
    <x v="1"/>
  </r>
  <r>
    <x v="16"/>
    <x v="16"/>
    <x v="16"/>
    <x v="0"/>
    <x v="0"/>
    <s v="Third-Parties"/>
    <s v="Yes"/>
    <n v="1"/>
    <n v="0"/>
    <x v="2"/>
    <n v="25"/>
    <n v="0"/>
    <x v="0"/>
    <x v="1"/>
    <x v="6"/>
    <x v="0"/>
    <x v="1"/>
    <x v="9"/>
    <x v="1"/>
  </r>
  <r>
    <x v="17"/>
    <x v="17"/>
    <x v="17"/>
    <x v="0"/>
    <x v="0"/>
    <s v="Third-Parties"/>
    <s v="Yes"/>
    <n v="1"/>
    <n v="0"/>
    <x v="2"/>
    <n v="25"/>
    <n v="0"/>
    <x v="5"/>
    <x v="1"/>
    <x v="6"/>
    <x v="2"/>
    <x v="1"/>
    <x v="10"/>
    <x v="1"/>
  </r>
  <r>
    <x v="18"/>
    <x v="18"/>
    <x v="18"/>
    <x v="0"/>
    <x v="1"/>
    <s v="Consulting"/>
    <s v="Yes"/>
    <n v="1"/>
    <n v="0"/>
    <x v="2"/>
    <n v="20"/>
    <n v="0"/>
    <x v="5"/>
    <x v="1"/>
    <x v="4"/>
    <x v="2"/>
    <x v="1"/>
    <x v="2"/>
    <x v="0"/>
  </r>
  <r>
    <x v="19"/>
    <x v="19"/>
    <x v="19"/>
    <x v="0"/>
    <x v="1"/>
    <s v="Consulting"/>
    <s v="No"/>
    <n v="1"/>
    <n v="0"/>
    <x v="2"/>
    <n v="20"/>
    <n v="0"/>
    <x v="4"/>
    <x v="1"/>
    <x v="7"/>
    <x v="2"/>
    <x v="6"/>
    <x v="11"/>
    <x v="0"/>
  </r>
  <r>
    <x v="20"/>
    <x v="20"/>
    <x v="20"/>
    <x v="0"/>
    <x v="0"/>
    <s v="Consulting"/>
    <s v="No"/>
    <n v="1"/>
    <n v="0"/>
    <x v="2"/>
    <n v="25"/>
    <n v="0"/>
    <x v="4"/>
    <x v="1"/>
    <x v="8"/>
    <x v="2"/>
    <x v="7"/>
    <x v="2"/>
    <x v="0"/>
  </r>
  <r>
    <x v="21"/>
    <x v="21"/>
    <x v="21"/>
    <x v="0"/>
    <x v="1"/>
    <s v="Consulting"/>
    <s v="No"/>
    <n v="1"/>
    <n v="0"/>
    <x v="2"/>
    <n v="20"/>
    <n v="0"/>
    <x v="4"/>
    <x v="1"/>
    <x v="1"/>
    <x v="2"/>
    <x v="1"/>
    <x v="2"/>
    <x v="0"/>
  </r>
  <r>
    <x v="22"/>
    <x v="22"/>
    <x v="22"/>
    <x v="0"/>
    <x v="1"/>
    <s v="Consulting"/>
    <s v="Yes"/>
    <n v="1"/>
    <n v="0"/>
    <x v="2"/>
    <n v="20"/>
    <n v="0"/>
    <x v="0"/>
    <x v="1"/>
    <x v="0"/>
    <x v="2"/>
    <x v="1"/>
    <x v="2"/>
    <x v="0"/>
  </r>
  <r>
    <x v="23"/>
    <x v="23"/>
    <x v="23"/>
    <x v="0"/>
    <x v="0"/>
    <s v="Consulting"/>
    <s v="No"/>
    <n v="1"/>
    <n v="0"/>
    <x v="2"/>
    <n v="25"/>
    <n v="0"/>
    <x v="0"/>
    <x v="1"/>
    <x v="9"/>
    <x v="2"/>
    <x v="5"/>
    <x v="12"/>
    <x v="0"/>
  </r>
  <r>
    <x v="24"/>
    <x v="24"/>
    <x v="24"/>
    <x v="2"/>
    <x v="0"/>
    <s v="Consulting"/>
    <s v="Yes"/>
    <n v="0"/>
    <e v="#N/A"/>
    <x v="3"/>
    <s v=""/>
    <s v=""/>
    <x v="6"/>
    <x v="3"/>
    <x v="10"/>
    <x v="6"/>
    <x v="8"/>
    <x v="13"/>
    <x v="7"/>
  </r>
  <r>
    <x v="25"/>
    <x v="25"/>
    <x v="25"/>
    <x v="0"/>
    <x v="0"/>
    <s v="Consulting"/>
    <s v="No"/>
    <n v="1"/>
    <n v="0"/>
    <x v="2"/>
    <n v="25"/>
    <n v="0"/>
    <x v="4"/>
    <x v="1"/>
    <x v="9"/>
    <x v="2"/>
    <x v="1"/>
    <x v="2"/>
    <x v="0"/>
  </r>
  <r>
    <x v="26"/>
    <x v="24"/>
    <x v="24"/>
    <x v="2"/>
    <x v="0"/>
    <s v="Consulting"/>
    <s v="Yes"/>
    <n v="0"/>
    <e v="#N/A"/>
    <x v="3"/>
    <s v=""/>
    <s v=""/>
    <x v="6"/>
    <x v="3"/>
    <x v="10"/>
    <x v="6"/>
    <x v="8"/>
    <x v="13"/>
    <x v="7"/>
  </r>
  <r>
    <x v="27"/>
    <x v="26"/>
    <x v="26"/>
    <x v="0"/>
    <x v="0"/>
    <s v="Application/Service Security"/>
    <s v="Yes"/>
    <n v="1"/>
    <n v="0"/>
    <x v="2"/>
    <n v="25"/>
    <n v="0"/>
    <x v="1"/>
    <x v="1"/>
    <x v="1"/>
    <x v="7"/>
    <x v="1"/>
    <x v="2"/>
    <x v="0"/>
  </r>
  <r>
    <x v="28"/>
    <x v="27"/>
    <x v="27"/>
    <x v="0"/>
    <x v="0"/>
    <s v="Application/Service Security"/>
    <s v="Yes"/>
    <n v="1"/>
    <n v="0"/>
    <x v="2"/>
    <n v="25"/>
    <n v="0"/>
    <x v="7"/>
    <x v="1"/>
    <x v="11"/>
    <x v="7"/>
    <x v="1"/>
    <x v="2"/>
    <x v="0"/>
  </r>
  <r>
    <x v="29"/>
    <x v="28"/>
    <x v="28"/>
    <x v="0"/>
    <x v="1"/>
    <s v="Application/Service Security"/>
    <s v="Yes"/>
    <n v="1"/>
    <n v="0"/>
    <x v="2"/>
    <n v="20"/>
    <n v="0"/>
    <x v="4"/>
    <x v="1"/>
    <x v="12"/>
    <x v="8"/>
    <x v="7"/>
    <x v="14"/>
    <x v="8"/>
  </r>
  <r>
    <x v="30"/>
    <x v="29"/>
    <x v="29"/>
    <x v="0"/>
    <x v="1"/>
    <s v="Application/Service Security"/>
    <s v="Yes"/>
    <n v="1"/>
    <n v="0"/>
    <x v="2"/>
    <n v="20"/>
    <n v="0"/>
    <x v="8"/>
    <x v="1"/>
    <x v="13"/>
    <x v="9"/>
    <x v="9"/>
    <x v="15"/>
    <x v="8"/>
  </r>
  <r>
    <x v="31"/>
    <x v="30"/>
    <x v="30"/>
    <x v="0"/>
    <x v="1"/>
    <s v="Application/Service Security"/>
    <s v="Yes"/>
    <n v="1"/>
    <n v="0"/>
    <x v="2"/>
    <n v="20"/>
    <n v="0"/>
    <x v="1"/>
    <x v="1"/>
    <x v="1"/>
    <x v="7"/>
    <x v="1"/>
    <x v="2"/>
    <x v="0"/>
  </r>
  <r>
    <x v="32"/>
    <x v="31"/>
    <x v="31"/>
    <x v="0"/>
    <x v="0"/>
    <s v="Application/Service Security"/>
    <s v="Yes"/>
    <n v="1"/>
    <n v="0"/>
    <x v="2"/>
    <n v="25"/>
    <n v="0"/>
    <x v="9"/>
    <x v="1"/>
    <x v="12"/>
    <x v="10"/>
    <x v="10"/>
    <x v="16"/>
    <x v="0"/>
  </r>
  <r>
    <x v="33"/>
    <x v="32"/>
    <x v="32"/>
    <x v="0"/>
    <x v="1"/>
    <s v="Application/Service Security"/>
    <m/>
    <n v="1"/>
    <n v="0"/>
    <x v="2"/>
    <n v="20"/>
    <n v="0"/>
    <x v="10"/>
    <x v="1"/>
    <x v="14"/>
    <x v="10"/>
    <x v="1"/>
    <x v="14"/>
    <x v="0"/>
  </r>
  <r>
    <x v="34"/>
    <x v="33"/>
    <x v="33"/>
    <x v="0"/>
    <x v="0"/>
    <s v="Application/Service Security"/>
    <s v="No"/>
    <n v="1"/>
    <n v="0"/>
    <x v="2"/>
    <n v="25"/>
    <n v="0"/>
    <x v="5"/>
    <x v="1"/>
    <x v="15"/>
    <x v="1"/>
    <x v="1"/>
    <x v="2"/>
    <x v="9"/>
  </r>
  <r>
    <x v="35"/>
    <x v="34"/>
    <x v="34"/>
    <x v="0"/>
    <x v="1"/>
    <s v="Application/Service Security"/>
    <m/>
    <n v="1"/>
    <n v="0"/>
    <x v="2"/>
    <n v="15"/>
    <n v="0"/>
    <x v="10"/>
    <x v="1"/>
    <x v="14"/>
    <x v="11"/>
    <x v="1"/>
    <x v="2"/>
    <x v="0"/>
  </r>
  <r>
    <x v="36"/>
    <x v="35"/>
    <x v="35"/>
    <x v="0"/>
    <x v="0"/>
    <s v="Application/Service Security"/>
    <m/>
    <n v="1"/>
    <n v="0"/>
    <x v="2"/>
    <n v="25"/>
    <n v="0"/>
    <x v="10"/>
    <x v="1"/>
    <x v="16"/>
    <x v="12"/>
    <x v="1"/>
    <x v="17"/>
    <x v="10"/>
  </r>
  <r>
    <x v="37"/>
    <x v="36"/>
    <x v="36"/>
    <x v="0"/>
    <x v="0"/>
    <s v="Application/Service Security"/>
    <s v="Yes"/>
    <n v="1"/>
    <n v="0"/>
    <x v="2"/>
    <n v="40"/>
    <n v="0"/>
    <x v="0"/>
    <x v="1"/>
    <x v="17"/>
    <x v="1"/>
    <x v="1"/>
    <x v="2"/>
    <x v="0"/>
  </r>
  <r>
    <x v="38"/>
    <x v="37"/>
    <x v="37"/>
    <x v="0"/>
    <x v="1"/>
    <s v="Application/Service Security"/>
    <s v="No"/>
    <n v="1"/>
    <n v="0"/>
    <x v="2"/>
    <n v="10"/>
    <n v="0"/>
    <x v="11"/>
    <x v="1"/>
    <x v="16"/>
    <x v="1"/>
    <x v="1"/>
    <x v="2"/>
    <x v="0"/>
  </r>
  <r>
    <x v="39"/>
    <x v="38"/>
    <x v="38"/>
    <x v="0"/>
    <x v="1"/>
    <s v="Application/Service Security"/>
    <s v="No"/>
    <n v="1"/>
    <n v="0"/>
    <x v="2"/>
    <n v="15"/>
    <n v="0"/>
    <x v="11"/>
    <x v="1"/>
    <x v="14"/>
    <x v="1"/>
    <x v="1"/>
    <x v="2"/>
    <x v="0"/>
  </r>
  <r>
    <x v="40"/>
    <x v="39"/>
    <x v="39"/>
    <x v="0"/>
    <x v="0"/>
    <s v="Application/Service Security"/>
    <s v="Yes"/>
    <n v="1"/>
    <n v="0"/>
    <x v="2"/>
    <n v="25"/>
    <n v="0"/>
    <x v="10"/>
    <x v="1"/>
    <x v="1"/>
    <x v="1"/>
    <x v="1"/>
    <x v="2"/>
    <x v="0"/>
  </r>
  <r>
    <x v="41"/>
    <x v="40"/>
    <x v="40"/>
    <x v="0"/>
    <x v="0"/>
    <s v="Application/Service Security"/>
    <s v="Yes"/>
    <n v="1"/>
    <n v="0"/>
    <x v="2"/>
    <n v="25"/>
    <n v="0"/>
    <x v="4"/>
    <x v="1"/>
    <x v="18"/>
    <x v="9"/>
    <x v="11"/>
    <x v="18"/>
    <x v="11"/>
  </r>
  <r>
    <x v="42"/>
    <x v="41"/>
    <x v="41"/>
    <x v="0"/>
    <x v="0"/>
    <s v="Application/Service Security"/>
    <s v="Yes"/>
    <n v="1"/>
    <n v="0"/>
    <x v="2"/>
    <n v="25"/>
    <n v="0"/>
    <x v="12"/>
    <x v="1"/>
    <x v="19"/>
    <x v="9"/>
    <x v="12"/>
    <x v="19"/>
    <x v="12"/>
  </r>
  <r>
    <x v="43"/>
    <x v="42"/>
    <x v="42"/>
    <x v="0"/>
    <x v="1"/>
    <s v="Application/Service Security"/>
    <s v="Yes"/>
    <n v="1"/>
    <n v="0"/>
    <x v="2"/>
    <n v="15"/>
    <n v="0"/>
    <x v="4"/>
    <x v="1"/>
    <x v="13"/>
    <x v="13"/>
    <x v="7"/>
    <x v="2"/>
    <x v="0"/>
  </r>
  <r>
    <x v="44"/>
    <x v="43"/>
    <x v="43"/>
    <x v="0"/>
    <x v="0"/>
    <s v="Authentication, Authorization, and Accounting"/>
    <s v="Yes"/>
    <n v="1"/>
    <n v="0"/>
    <x v="2"/>
    <n v="25"/>
    <n v="0"/>
    <x v="13"/>
    <x v="1"/>
    <x v="20"/>
    <x v="14"/>
    <x v="13"/>
    <x v="20"/>
    <x v="13"/>
  </r>
  <r>
    <x v="45"/>
    <x v="44"/>
    <x v="44"/>
    <x v="0"/>
    <x v="0"/>
    <s v="Authentication, Authorization, and Accounting"/>
    <s v="Yes"/>
    <n v="1"/>
    <n v="0"/>
    <x v="2"/>
    <n v="25"/>
    <n v="0"/>
    <x v="13"/>
    <x v="1"/>
    <x v="20"/>
    <x v="14"/>
    <x v="14"/>
    <x v="21"/>
    <x v="13"/>
  </r>
  <r>
    <x v="46"/>
    <x v="45"/>
    <x v="45"/>
    <x v="0"/>
    <x v="0"/>
    <s v="Authentication, Authorization, and Accounting"/>
    <s v="Yes"/>
    <n v="1"/>
    <n v="0"/>
    <x v="2"/>
    <n v="25"/>
    <n v="0"/>
    <x v="13"/>
    <x v="1"/>
    <x v="20"/>
    <x v="14"/>
    <x v="1"/>
    <x v="2"/>
    <x v="13"/>
  </r>
  <r>
    <x v="47"/>
    <x v="46"/>
    <x v="46"/>
    <x v="0"/>
    <x v="1"/>
    <s v="Authentication, Authorization, and Accounting"/>
    <s v="Yes"/>
    <n v="1"/>
    <n v="0"/>
    <x v="2"/>
    <n v="20"/>
    <n v="0"/>
    <x v="13"/>
    <x v="1"/>
    <x v="20"/>
    <x v="14"/>
    <x v="15"/>
    <x v="20"/>
    <x v="14"/>
  </r>
  <r>
    <x v="48"/>
    <x v="47"/>
    <x v="47"/>
    <x v="0"/>
    <x v="0"/>
    <s v="Authentication, Authorization, and Accounting"/>
    <s v="Yes"/>
    <n v="1"/>
    <n v="0"/>
    <x v="2"/>
    <n v="40"/>
    <n v="0"/>
    <x v="13"/>
    <x v="1"/>
    <x v="21"/>
    <x v="14"/>
    <x v="16"/>
    <x v="22"/>
    <x v="13"/>
  </r>
  <r>
    <x v="49"/>
    <x v="48"/>
    <x v="48"/>
    <x v="0"/>
    <x v="0"/>
    <s v="Authentication, Authorization, and Accounting"/>
    <s v="No"/>
    <n v="1"/>
    <n v="0"/>
    <x v="2"/>
    <n v="40"/>
    <n v="0"/>
    <x v="13"/>
    <x v="1"/>
    <x v="9"/>
    <x v="1"/>
    <x v="1"/>
    <x v="2"/>
    <x v="14"/>
  </r>
  <r>
    <x v="50"/>
    <x v="49"/>
    <x v="49"/>
    <x v="0"/>
    <x v="0"/>
    <s v="Authentication, Authorization, and Accounting"/>
    <s v="No"/>
    <n v="1"/>
    <n v="0"/>
    <x v="2"/>
    <n v="25"/>
    <n v="0"/>
    <x v="13"/>
    <x v="1"/>
    <x v="9"/>
    <x v="14"/>
    <x v="1"/>
    <x v="2"/>
    <x v="13"/>
  </r>
  <r>
    <x v="51"/>
    <x v="50"/>
    <x v="50"/>
    <x v="0"/>
    <x v="0"/>
    <s v="Authentication, Authorization, and Accounting"/>
    <s v="Yes"/>
    <n v="1"/>
    <n v="0"/>
    <x v="2"/>
    <n v="40"/>
    <n v="0"/>
    <x v="13"/>
    <x v="1"/>
    <x v="9"/>
    <x v="14"/>
    <x v="17"/>
    <x v="21"/>
    <x v="13"/>
  </r>
  <r>
    <x v="52"/>
    <x v="51"/>
    <x v="51"/>
    <x v="0"/>
    <x v="1"/>
    <s v="Authentication, Authorization, and Accounting"/>
    <s v="Yes"/>
    <n v="1"/>
    <n v="0"/>
    <x v="2"/>
    <n v="20"/>
    <n v="0"/>
    <x v="13"/>
    <x v="1"/>
    <x v="9"/>
    <x v="13"/>
    <x v="18"/>
    <x v="23"/>
    <x v="13"/>
  </r>
  <r>
    <x v="53"/>
    <x v="52"/>
    <x v="52"/>
    <x v="0"/>
    <x v="1"/>
    <s v="Authentication, Authorization, and Accounting"/>
    <s v="Yes"/>
    <n v="1"/>
    <n v="0"/>
    <x v="2"/>
    <n v="15"/>
    <n v="0"/>
    <x v="13"/>
    <x v="1"/>
    <x v="22"/>
    <x v="15"/>
    <x v="1"/>
    <x v="2"/>
    <x v="0"/>
  </r>
  <r>
    <x v="54"/>
    <x v="53"/>
    <x v="53"/>
    <x v="0"/>
    <x v="0"/>
    <s v="Authentication, Authorization, and Accounting"/>
    <s v="No"/>
    <n v="0"/>
    <n v="0"/>
    <x v="2"/>
    <s v=""/>
    <s v=""/>
    <x v="13"/>
    <x v="1"/>
    <x v="9"/>
    <x v="15"/>
    <x v="1"/>
    <x v="2"/>
    <x v="13"/>
  </r>
  <r>
    <x v="55"/>
    <x v="54"/>
    <x v="54"/>
    <x v="0"/>
    <x v="1"/>
    <s v="Authentication, Authorization, and Accounting"/>
    <s v="Yes"/>
    <n v="1"/>
    <n v="0"/>
    <x v="2"/>
    <n v="20"/>
    <n v="0"/>
    <x v="13"/>
    <x v="1"/>
    <x v="22"/>
    <x v="15"/>
    <x v="1"/>
    <x v="2"/>
    <x v="0"/>
  </r>
  <r>
    <x v="56"/>
    <x v="55"/>
    <x v="55"/>
    <x v="0"/>
    <x v="0"/>
    <s v="Authentication, Authorization, and Accounting"/>
    <s v="No"/>
    <n v="0"/>
    <n v="0"/>
    <x v="2"/>
    <s v=""/>
    <s v=""/>
    <x v="13"/>
    <x v="1"/>
    <x v="1"/>
    <x v="15"/>
    <x v="1"/>
    <x v="2"/>
    <x v="0"/>
  </r>
  <r>
    <x v="57"/>
    <x v="56"/>
    <x v="56"/>
    <x v="0"/>
    <x v="0"/>
    <s v="Authentication, Authorization, and Accounting"/>
    <s v="No"/>
    <n v="0"/>
    <n v="0"/>
    <x v="2"/>
    <s v=""/>
    <s v=""/>
    <x v="13"/>
    <x v="1"/>
    <x v="1"/>
    <x v="15"/>
    <x v="19"/>
    <x v="2"/>
    <x v="13"/>
  </r>
  <r>
    <x v="58"/>
    <x v="57"/>
    <x v="57"/>
    <x v="0"/>
    <x v="0"/>
    <s v="Authentication, Authorization, and Accounting"/>
    <s v="Yes"/>
    <n v="1"/>
    <n v="0"/>
    <x v="2"/>
    <n v="25"/>
    <n v="0"/>
    <x v="14"/>
    <x v="1"/>
    <x v="23"/>
    <x v="16"/>
    <x v="20"/>
    <x v="24"/>
    <x v="15"/>
  </r>
  <r>
    <x v="59"/>
    <x v="58"/>
    <x v="58"/>
    <x v="0"/>
    <x v="0"/>
    <s v="Authentication, Authorization, and Accounting"/>
    <s v="No"/>
    <n v="1"/>
    <n v="0"/>
    <x v="2"/>
    <n v="25"/>
    <n v="0"/>
    <x v="14"/>
    <x v="1"/>
    <x v="23"/>
    <x v="16"/>
    <x v="21"/>
    <x v="25"/>
    <x v="16"/>
  </r>
  <r>
    <x v="60"/>
    <x v="59"/>
    <x v="59"/>
    <x v="0"/>
    <x v="1"/>
    <s v="Authentication, Authorization, and Accounting"/>
    <s v="Yes"/>
    <n v="1"/>
    <n v="0"/>
    <x v="2"/>
    <n v="20"/>
    <n v="0"/>
    <x v="14"/>
    <x v="1"/>
    <x v="23"/>
    <x v="16"/>
    <x v="22"/>
    <x v="26"/>
    <x v="17"/>
  </r>
  <r>
    <x v="61"/>
    <x v="60"/>
    <x v="60"/>
    <x v="0"/>
    <x v="0"/>
    <s v="Business Continuity Plan"/>
    <s v="Yes"/>
    <n v="1"/>
    <n v="0"/>
    <x v="2"/>
    <n v="25"/>
    <n v="0"/>
    <x v="2"/>
    <x v="1"/>
    <x v="24"/>
    <x v="3"/>
    <x v="23"/>
    <x v="27"/>
    <x v="0"/>
  </r>
  <r>
    <x v="62"/>
    <x v="61"/>
    <x v="61"/>
    <x v="0"/>
    <x v="1"/>
    <s v="Business Continuity Plan"/>
    <s v="Yes"/>
    <n v="1"/>
    <n v="0"/>
    <x v="2"/>
    <n v="20"/>
    <n v="0"/>
    <x v="2"/>
    <x v="1"/>
    <x v="1"/>
    <x v="3"/>
    <x v="23"/>
    <x v="28"/>
    <x v="0"/>
  </r>
  <r>
    <x v="63"/>
    <x v="62"/>
    <x v="62"/>
    <x v="0"/>
    <x v="1"/>
    <s v="Business Continuity Plan"/>
    <s v="Yes"/>
    <n v="1"/>
    <n v="0"/>
    <x v="2"/>
    <n v="20"/>
    <n v="0"/>
    <x v="2"/>
    <x v="1"/>
    <x v="24"/>
    <x v="3"/>
    <x v="23"/>
    <x v="27"/>
    <x v="0"/>
  </r>
  <r>
    <x v="64"/>
    <x v="63"/>
    <x v="63"/>
    <x v="0"/>
    <x v="1"/>
    <s v="Business Continuity Plan"/>
    <s v="Yes"/>
    <n v="1"/>
    <n v="0"/>
    <x v="2"/>
    <n v="20"/>
    <n v="0"/>
    <x v="2"/>
    <x v="1"/>
    <x v="25"/>
    <x v="3"/>
    <x v="23"/>
    <x v="27"/>
    <x v="0"/>
  </r>
  <r>
    <x v="65"/>
    <x v="64"/>
    <x v="64"/>
    <x v="0"/>
    <x v="1"/>
    <s v="Business Continuity Plan"/>
    <s v="Yes"/>
    <n v="1"/>
    <n v="0"/>
    <x v="2"/>
    <n v="20"/>
    <n v="0"/>
    <x v="2"/>
    <x v="1"/>
    <x v="2"/>
    <x v="3"/>
    <x v="23"/>
    <x v="27"/>
    <x v="0"/>
  </r>
  <r>
    <x v="66"/>
    <x v="65"/>
    <x v="65"/>
    <x v="0"/>
    <x v="0"/>
    <s v="Business Continuity Plan"/>
    <s v="Yes"/>
    <n v="1"/>
    <n v="0"/>
    <x v="2"/>
    <n v="25"/>
    <n v="0"/>
    <x v="2"/>
    <x v="1"/>
    <x v="2"/>
    <x v="3"/>
    <x v="23"/>
    <x v="27"/>
    <x v="0"/>
  </r>
  <r>
    <x v="67"/>
    <x v="66"/>
    <x v="66"/>
    <x v="0"/>
    <x v="0"/>
    <s v="Business Continuity Plan"/>
    <s v="Yes"/>
    <n v="1"/>
    <n v="0"/>
    <x v="2"/>
    <n v="25"/>
    <n v="0"/>
    <x v="2"/>
    <x v="1"/>
    <x v="26"/>
    <x v="3"/>
    <x v="23"/>
    <x v="27"/>
    <x v="0"/>
  </r>
  <r>
    <x v="68"/>
    <x v="67"/>
    <x v="67"/>
    <x v="0"/>
    <x v="1"/>
    <s v="Business Continuity Plan"/>
    <s v="Yes"/>
    <n v="1"/>
    <n v="0"/>
    <x v="2"/>
    <n v="20"/>
    <n v="0"/>
    <x v="2"/>
    <x v="1"/>
    <x v="27"/>
    <x v="3"/>
    <x v="24"/>
    <x v="29"/>
    <x v="11"/>
  </r>
  <r>
    <x v="69"/>
    <x v="68"/>
    <x v="68"/>
    <x v="0"/>
    <x v="1"/>
    <s v="Business Continuity Plan"/>
    <s v="Yes"/>
    <n v="1"/>
    <n v="0"/>
    <x v="2"/>
    <n v="20"/>
    <n v="0"/>
    <x v="2"/>
    <x v="1"/>
    <x v="28"/>
    <x v="3"/>
    <x v="1"/>
    <x v="28"/>
    <x v="11"/>
  </r>
  <r>
    <x v="70"/>
    <x v="69"/>
    <x v="69"/>
    <x v="0"/>
    <x v="1"/>
    <s v="Business Continuity Plan"/>
    <s v="Yes"/>
    <n v="1"/>
    <n v="0"/>
    <x v="2"/>
    <n v="20"/>
    <n v="0"/>
    <x v="2"/>
    <x v="1"/>
    <x v="29"/>
    <x v="3"/>
    <x v="1"/>
    <x v="28"/>
    <x v="2"/>
  </r>
  <r>
    <x v="71"/>
    <x v="70"/>
    <x v="70"/>
    <x v="0"/>
    <x v="1"/>
    <s v="Business Continuity Plan"/>
    <s v="Yes"/>
    <n v="0"/>
    <n v="0"/>
    <x v="2"/>
    <n v="20"/>
    <s v=""/>
    <x v="2"/>
    <x v="1"/>
    <x v="26"/>
    <x v="3"/>
    <x v="1"/>
    <x v="28"/>
    <x v="2"/>
  </r>
  <r>
    <x v="72"/>
    <x v="71"/>
    <x v="71"/>
    <x v="0"/>
    <x v="1"/>
    <s v="Business Continuity Plan"/>
    <s v="Yes"/>
    <n v="1"/>
    <n v="0"/>
    <x v="2"/>
    <n v="15"/>
    <n v="0"/>
    <x v="2"/>
    <x v="1"/>
    <x v="1"/>
    <x v="3"/>
    <x v="1"/>
    <x v="28"/>
    <x v="2"/>
  </r>
  <r>
    <x v="73"/>
    <x v="72"/>
    <x v="72"/>
    <x v="0"/>
    <x v="0"/>
    <s v="Change Management"/>
    <s v="Yes"/>
    <n v="1"/>
    <n v="0"/>
    <x v="2"/>
    <n v="25"/>
    <n v="0"/>
    <x v="2"/>
    <x v="1"/>
    <x v="30"/>
    <x v="17"/>
    <x v="25"/>
    <x v="30"/>
    <x v="18"/>
  </r>
  <r>
    <x v="74"/>
    <x v="73"/>
    <x v="73"/>
    <x v="0"/>
    <x v="1"/>
    <s v="Change Management"/>
    <s v="Yes"/>
    <n v="1"/>
    <n v="0"/>
    <x v="2"/>
    <n v="20"/>
    <n v="0"/>
    <x v="2"/>
    <x v="1"/>
    <x v="30"/>
    <x v="18"/>
    <x v="26"/>
    <x v="30"/>
    <x v="18"/>
  </r>
  <r>
    <x v="75"/>
    <x v="74"/>
    <x v="74"/>
    <x v="0"/>
    <x v="1"/>
    <s v="Change Management"/>
    <s v="Yes"/>
    <n v="1"/>
    <n v="0"/>
    <x v="2"/>
    <n v="20"/>
    <n v="0"/>
    <x v="2"/>
    <x v="1"/>
    <x v="30"/>
    <x v="1"/>
    <x v="1"/>
    <x v="30"/>
    <x v="19"/>
  </r>
  <r>
    <x v="76"/>
    <x v="75"/>
    <x v="75"/>
    <x v="0"/>
    <x v="1"/>
    <s v="Change Management"/>
    <s v="Yes"/>
    <n v="1"/>
    <n v="0"/>
    <x v="2"/>
    <n v="20"/>
    <n v="0"/>
    <x v="2"/>
    <x v="1"/>
    <x v="1"/>
    <x v="1"/>
    <x v="1"/>
    <x v="30"/>
    <x v="2"/>
  </r>
  <r>
    <x v="77"/>
    <x v="76"/>
    <x v="76"/>
    <x v="0"/>
    <x v="0"/>
    <s v="Change Management"/>
    <s v="Yes"/>
    <n v="1"/>
    <n v="0"/>
    <x v="2"/>
    <n v="25"/>
    <n v="0"/>
    <x v="10"/>
    <x v="1"/>
    <x v="1"/>
    <x v="1"/>
    <x v="1"/>
    <x v="30"/>
    <x v="20"/>
  </r>
  <r>
    <x v="78"/>
    <x v="77"/>
    <x v="77"/>
    <x v="0"/>
    <x v="1"/>
    <s v="Change Management"/>
    <s v="Yes"/>
    <n v="1"/>
    <n v="0"/>
    <x v="2"/>
    <n v="10"/>
    <n v="0"/>
    <x v="10"/>
    <x v="1"/>
    <x v="1"/>
    <x v="1"/>
    <x v="1"/>
    <x v="30"/>
    <x v="0"/>
  </r>
  <r>
    <x v="79"/>
    <x v="78"/>
    <x v="78"/>
    <x v="0"/>
    <x v="1"/>
    <s v="Change Management"/>
    <s v="Yes"/>
    <n v="1"/>
    <n v="0"/>
    <x v="2"/>
    <n v="15"/>
    <n v="0"/>
    <x v="2"/>
    <x v="1"/>
    <x v="1"/>
    <x v="1"/>
    <x v="1"/>
    <x v="30"/>
    <x v="0"/>
  </r>
  <r>
    <x v="80"/>
    <x v="79"/>
    <x v="79"/>
    <x v="0"/>
    <x v="0"/>
    <s v="Change Management"/>
    <s v="Yes"/>
    <n v="1"/>
    <n v="0"/>
    <x v="2"/>
    <n v="25"/>
    <n v="0"/>
    <x v="10"/>
    <x v="1"/>
    <x v="16"/>
    <x v="19"/>
    <x v="27"/>
    <x v="30"/>
    <x v="2"/>
  </r>
  <r>
    <x v="81"/>
    <x v="80"/>
    <x v="80"/>
    <x v="0"/>
    <x v="1"/>
    <s v="Change Management"/>
    <s v="Yes"/>
    <n v="1"/>
    <n v="0"/>
    <x v="2"/>
    <n v="15"/>
    <n v="0"/>
    <x v="2"/>
    <x v="1"/>
    <x v="1"/>
    <x v="1"/>
    <x v="28"/>
    <x v="30"/>
    <x v="0"/>
  </r>
  <r>
    <x v="82"/>
    <x v="81"/>
    <x v="81"/>
    <x v="0"/>
    <x v="1"/>
    <s v="Change Management"/>
    <s v="Yes"/>
    <n v="1"/>
    <n v="0"/>
    <x v="2"/>
    <n v="15"/>
    <n v="0"/>
    <x v="10"/>
    <x v="1"/>
    <x v="1"/>
    <x v="1"/>
    <x v="1"/>
    <x v="30"/>
    <x v="0"/>
  </r>
  <r>
    <x v="83"/>
    <x v="82"/>
    <x v="82"/>
    <x v="0"/>
    <x v="1"/>
    <s v="Change Management"/>
    <s v="Yes"/>
    <n v="1"/>
    <n v="0"/>
    <x v="2"/>
    <n v="15"/>
    <n v="0"/>
    <x v="5"/>
    <x v="1"/>
    <x v="1"/>
    <x v="1"/>
    <x v="1"/>
    <x v="30"/>
    <x v="0"/>
  </r>
  <r>
    <x v="84"/>
    <x v="83"/>
    <x v="83"/>
    <x v="0"/>
    <x v="1"/>
    <s v="Change Management"/>
    <s v="Yes"/>
    <n v="1"/>
    <n v="0"/>
    <x v="2"/>
    <n v="20"/>
    <n v="0"/>
    <x v="10"/>
    <x v="1"/>
    <x v="31"/>
    <x v="1"/>
    <x v="1"/>
    <x v="30"/>
    <x v="21"/>
  </r>
  <r>
    <x v="85"/>
    <x v="84"/>
    <x v="84"/>
    <x v="0"/>
    <x v="1"/>
    <s v="Change Management"/>
    <s v="Yes"/>
    <n v="1"/>
    <n v="0"/>
    <x v="2"/>
    <n v="20"/>
    <n v="0"/>
    <x v="0"/>
    <x v="4"/>
    <x v="31"/>
    <x v="1"/>
    <x v="1"/>
    <x v="30"/>
    <x v="22"/>
  </r>
  <r>
    <x v="86"/>
    <x v="85"/>
    <x v="85"/>
    <x v="0"/>
    <x v="1"/>
    <s v="Change Management"/>
    <s v="Yes"/>
    <n v="1"/>
    <n v="0"/>
    <x v="2"/>
    <n v="15"/>
    <n v="0"/>
    <x v="2"/>
    <x v="1"/>
    <x v="1"/>
    <x v="1"/>
    <x v="1"/>
    <x v="30"/>
    <x v="23"/>
  </r>
  <r>
    <x v="87"/>
    <x v="86"/>
    <x v="86"/>
    <x v="0"/>
    <x v="1"/>
    <s v="Change Management"/>
    <s v="Yes"/>
    <n v="1"/>
    <n v="0"/>
    <x v="2"/>
    <n v="15"/>
    <n v="0"/>
    <x v="2"/>
    <x v="1"/>
    <x v="30"/>
    <x v="17"/>
    <x v="1"/>
    <x v="30"/>
    <x v="24"/>
  </r>
  <r>
    <x v="88"/>
    <x v="87"/>
    <x v="87"/>
    <x v="0"/>
    <x v="0"/>
    <s v="Data"/>
    <s v="Yes"/>
    <n v="1"/>
    <n v="0"/>
    <x v="2"/>
    <n v="25"/>
    <n v="0"/>
    <x v="9"/>
    <x v="1"/>
    <x v="1"/>
    <x v="20"/>
    <x v="29"/>
    <x v="31"/>
    <x v="1"/>
  </r>
  <r>
    <x v="89"/>
    <x v="88"/>
    <x v="88"/>
    <x v="0"/>
    <x v="1"/>
    <s v="Data"/>
    <s v="Yes"/>
    <n v="1"/>
    <n v="0"/>
    <x v="2"/>
    <n v="15"/>
    <n v="0"/>
    <x v="9"/>
    <x v="1"/>
    <x v="1"/>
    <x v="20"/>
    <x v="30"/>
    <x v="32"/>
    <x v="25"/>
  </r>
  <r>
    <x v="90"/>
    <x v="89"/>
    <x v="89"/>
    <x v="0"/>
    <x v="0"/>
    <s v="Data"/>
    <s v="Yes"/>
    <n v="1"/>
    <n v="0"/>
    <x v="2"/>
    <n v="25"/>
    <n v="0"/>
    <x v="0"/>
    <x v="1"/>
    <x v="32"/>
    <x v="21"/>
    <x v="1"/>
    <x v="2"/>
    <x v="26"/>
  </r>
  <r>
    <x v="91"/>
    <x v="90"/>
    <x v="90"/>
    <x v="0"/>
    <x v="0"/>
    <s v="Data"/>
    <s v="Yes"/>
    <n v="1"/>
    <n v="0"/>
    <x v="2"/>
    <n v="40"/>
    <n v="0"/>
    <x v="0"/>
    <x v="1"/>
    <x v="33"/>
    <x v="22"/>
    <x v="31"/>
    <x v="33"/>
    <x v="1"/>
  </r>
  <r>
    <x v="92"/>
    <x v="91"/>
    <x v="91"/>
    <x v="0"/>
    <x v="0"/>
    <s v="Data"/>
    <s v="Yes"/>
    <n v="1"/>
    <n v="0"/>
    <x v="2"/>
    <n v="25"/>
    <n v="0"/>
    <x v="0"/>
    <x v="1"/>
    <x v="33"/>
    <x v="1"/>
    <x v="32"/>
    <x v="2"/>
    <x v="2"/>
  </r>
  <r>
    <x v="93"/>
    <x v="92"/>
    <x v="92"/>
    <x v="0"/>
    <x v="0"/>
    <s v="Data"/>
    <s v="Yes"/>
    <n v="1"/>
    <n v="0"/>
    <x v="2"/>
    <n v="25"/>
    <n v="0"/>
    <x v="0"/>
    <x v="1"/>
    <x v="34"/>
    <x v="21"/>
    <x v="1"/>
    <x v="34"/>
    <x v="26"/>
  </r>
  <r>
    <x v="94"/>
    <x v="93"/>
    <x v="93"/>
    <x v="0"/>
    <x v="1"/>
    <s v="Data"/>
    <m/>
    <n v="1"/>
    <n v="0"/>
    <x v="2"/>
    <n v="20"/>
    <n v="0"/>
    <x v="15"/>
    <x v="1"/>
    <x v="1"/>
    <x v="1"/>
    <x v="33"/>
    <x v="12"/>
    <x v="25"/>
  </r>
  <r>
    <x v="95"/>
    <x v="94"/>
    <x v="94"/>
    <x v="0"/>
    <x v="0"/>
    <s v="Data"/>
    <s v="Yes"/>
    <n v="1"/>
    <n v="0"/>
    <x v="2"/>
    <n v="25"/>
    <n v="0"/>
    <x v="0"/>
    <x v="1"/>
    <x v="35"/>
    <x v="1"/>
    <x v="33"/>
    <x v="12"/>
    <x v="1"/>
  </r>
  <r>
    <x v="96"/>
    <x v="95"/>
    <x v="95"/>
    <x v="0"/>
    <x v="1"/>
    <s v="Data"/>
    <s v="Yes"/>
    <n v="1"/>
    <n v="0"/>
    <x v="2"/>
    <n v="20"/>
    <n v="0"/>
    <x v="0"/>
    <x v="1"/>
    <x v="35"/>
    <x v="1"/>
    <x v="1"/>
    <x v="2"/>
    <x v="1"/>
  </r>
  <r>
    <x v="97"/>
    <x v="96"/>
    <x v="96"/>
    <x v="0"/>
    <x v="1"/>
    <s v="Data"/>
    <s v="Yes"/>
    <n v="1"/>
    <n v="0"/>
    <x v="2"/>
    <n v="15"/>
    <n v="0"/>
    <x v="5"/>
    <x v="1"/>
    <x v="36"/>
    <x v="1"/>
    <x v="1"/>
    <x v="2"/>
    <x v="1"/>
  </r>
  <r>
    <x v="98"/>
    <x v="97"/>
    <x v="97"/>
    <x v="0"/>
    <x v="0"/>
    <s v="Data"/>
    <s v="Yes"/>
    <n v="1"/>
    <n v="0"/>
    <x v="2"/>
    <n v="25"/>
    <n v="0"/>
    <x v="0"/>
    <x v="1"/>
    <x v="37"/>
    <x v="1"/>
    <x v="33"/>
    <x v="2"/>
    <x v="1"/>
  </r>
  <r>
    <x v="99"/>
    <x v="98"/>
    <x v="98"/>
    <x v="0"/>
    <x v="1"/>
    <s v="Data"/>
    <s v="Yes"/>
    <n v="0"/>
    <n v="0"/>
    <x v="2"/>
    <n v="0"/>
    <s v=""/>
    <x v="0"/>
    <x v="1"/>
    <x v="37"/>
    <x v="1"/>
    <x v="5"/>
    <x v="2"/>
    <x v="1"/>
  </r>
  <r>
    <x v="100"/>
    <x v="99"/>
    <x v="99"/>
    <x v="0"/>
    <x v="1"/>
    <s v="Data"/>
    <s v="Yes"/>
    <n v="1"/>
    <n v="0"/>
    <x v="2"/>
    <n v="15"/>
    <n v="0"/>
    <x v="16"/>
    <x v="1"/>
    <x v="37"/>
    <x v="1"/>
    <x v="33"/>
    <x v="2"/>
    <x v="1"/>
  </r>
  <r>
    <x v="101"/>
    <x v="100"/>
    <x v="100"/>
    <x v="0"/>
    <x v="1"/>
    <s v="Data"/>
    <m/>
    <n v="1"/>
    <n v="0"/>
    <x v="2"/>
    <n v="20"/>
    <n v="0"/>
    <x v="2"/>
    <x v="1"/>
    <x v="36"/>
    <x v="23"/>
    <x v="34"/>
    <x v="35"/>
    <x v="27"/>
  </r>
  <r>
    <x v="102"/>
    <x v="101"/>
    <x v="101"/>
    <x v="0"/>
    <x v="1"/>
    <s v="Data"/>
    <s v="Yes"/>
    <n v="1"/>
    <n v="0"/>
    <x v="2"/>
    <n v="20"/>
    <n v="0"/>
    <x v="2"/>
    <x v="1"/>
    <x v="36"/>
    <x v="23"/>
    <x v="34"/>
    <x v="35"/>
    <x v="1"/>
  </r>
  <r>
    <x v="103"/>
    <x v="102"/>
    <x v="102"/>
    <x v="0"/>
    <x v="1"/>
    <s v="Data"/>
    <m/>
    <n v="1"/>
    <n v="0"/>
    <x v="2"/>
    <n v="20"/>
    <n v="0"/>
    <x v="2"/>
    <x v="1"/>
    <x v="36"/>
    <x v="23"/>
    <x v="34"/>
    <x v="35"/>
    <x v="0"/>
  </r>
  <r>
    <x v="104"/>
    <x v="103"/>
    <x v="103"/>
    <x v="0"/>
    <x v="0"/>
    <s v="Data"/>
    <s v="Yes"/>
    <n v="1"/>
    <n v="0"/>
    <x v="2"/>
    <n v="25"/>
    <n v="0"/>
    <x v="2"/>
    <x v="1"/>
    <x v="36"/>
    <x v="24"/>
    <x v="34"/>
    <x v="35"/>
    <x v="0"/>
  </r>
  <r>
    <x v="105"/>
    <x v="104"/>
    <x v="104"/>
    <x v="0"/>
    <x v="1"/>
    <s v="Data"/>
    <s v="Yes"/>
    <n v="1"/>
    <n v="0"/>
    <x v="2"/>
    <n v="15"/>
    <n v="0"/>
    <x v="2"/>
    <x v="1"/>
    <x v="38"/>
    <x v="1"/>
    <x v="35"/>
    <x v="36"/>
    <x v="0"/>
  </r>
  <r>
    <x v="106"/>
    <x v="105"/>
    <x v="105"/>
    <x v="0"/>
    <x v="1"/>
    <s v="Data"/>
    <s v="Yes"/>
    <n v="1"/>
    <n v="0"/>
    <x v="2"/>
    <n v="10"/>
    <n v="0"/>
    <x v="2"/>
    <x v="1"/>
    <x v="36"/>
    <x v="23"/>
    <x v="36"/>
    <x v="35"/>
    <x v="27"/>
  </r>
  <r>
    <x v="107"/>
    <x v="106"/>
    <x v="106"/>
    <x v="0"/>
    <x v="1"/>
    <s v="Data"/>
    <s v="Yes"/>
    <n v="1"/>
    <n v="0"/>
    <x v="2"/>
    <n v="20"/>
    <n v="0"/>
    <x v="2"/>
    <x v="1"/>
    <x v="36"/>
    <x v="23"/>
    <x v="37"/>
    <x v="37"/>
    <x v="27"/>
  </r>
  <r>
    <x v="108"/>
    <x v="107"/>
    <x v="107"/>
    <x v="0"/>
    <x v="1"/>
    <s v="Data"/>
    <s v="Yes"/>
    <n v="1"/>
    <n v="0"/>
    <x v="2"/>
    <n v="20"/>
    <n v="0"/>
    <x v="0"/>
    <x v="1"/>
    <x v="36"/>
    <x v="1"/>
    <x v="34"/>
    <x v="37"/>
    <x v="1"/>
  </r>
  <r>
    <x v="109"/>
    <x v="108"/>
    <x v="108"/>
    <x v="0"/>
    <x v="0"/>
    <s v="Data"/>
    <s v="No"/>
    <n v="1"/>
    <n v="0"/>
    <x v="2"/>
    <n v="25"/>
    <n v="0"/>
    <x v="0"/>
    <x v="1"/>
    <x v="39"/>
    <x v="25"/>
    <x v="38"/>
    <x v="38"/>
    <x v="27"/>
  </r>
  <r>
    <x v="110"/>
    <x v="109"/>
    <x v="109"/>
    <x v="0"/>
    <x v="1"/>
    <s v="Data"/>
    <s v="Yes"/>
    <n v="1"/>
    <n v="0"/>
    <x v="2"/>
    <n v="15"/>
    <n v="0"/>
    <x v="0"/>
    <x v="1"/>
    <x v="40"/>
    <x v="25"/>
    <x v="39"/>
    <x v="39"/>
    <x v="0"/>
  </r>
  <r>
    <x v="111"/>
    <x v="110"/>
    <x v="110"/>
    <x v="0"/>
    <x v="1"/>
    <s v="Data"/>
    <s v="Yes"/>
    <n v="1"/>
    <n v="0"/>
    <x v="2"/>
    <n v="20"/>
    <n v="0"/>
    <x v="0"/>
    <x v="1"/>
    <x v="40"/>
    <x v="26"/>
    <x v="39"/>
    <x v="40"/>
    <x v="0"/>
  </r>
  <r>
    <x v="112"/>
    <x v="111"/>
    <x v="111"/>
    <x v="0"/>
    <x v="1"/>
    <s v="Data"/>
    <s v="Yes"/>
    <n v="1"/>
    <n v="0"/>
    <x v="2"/>
    <n v="20"/>
    <n v="0"/>
    <x v="0"/>
    <x v="1"/>
    <x v="40"/>
    <x v="25"/>
    <x v="40"/>
    <x v="41"/>
    <x v="25"/>
  </r>
  <r>
    <x v="113"/>
    <x v="112"/>
    <x v="112"/>
    <x v="0"/>
    <x v="1"/>
    <s v="Data"/>
    <s v="Yes"/>
    <n v="1"/>
    <n v="0"/>
    <x v="2"/>
    <n v="20"/>
    <n v="0"/>
    <x v="0"/>
    <x v="1"/>
    <x v="0"/>
    <x v="0"/>
    <x v="1"/>
    <x v="2"/>
    <x v="0"/>
  </r>
  <r>
    <x v="114"/>
    <x v="113"/>
    <x v="113"/>
    <x v="0"/>
    <x v="0"/>
    <s v="Data"/>
    <s v="Yes"/>
    <n v="1"/>
    <n v="0"/>
    <x v="2"/>
    <n v="25"/>
    <n v="0"/>
    <x v="17"/>
    <x v="1"/>
    <x v="41"/>
    <x v="13"/>
    <x v="1"/>
    <x v="2"/>
    <x v="0"/>
  </r>
  <r>
    <x v="115"/>
    <x v="114"/>
    <x v="114"/>
    <x v="0"/>
    <x v="0"/>
    <s v="Database"/>
    <s v="Yes"/>
    <n v="1"/>
    <n v="0"/>
    <x v="2"/>
    <n v="25"/>
    <n v="0"/>
    <x v="0"/>
    <x v="1"/>
    <x v="32"/>
    <x v="22"/>
    <x v="1"/>
    <x v="2"/>
    <x v="0"/>
  </r>
  <r>
    <x v="116"/>
    <x v="115"/>
    <x v="115"/>
    <x v="0"/>
    <x v="0"/>
    <s v="Database"/>
    <s v="Yes"/>
    <n v="1"/>
    <n v="0"/>
    <x v="2"/>
    <n v="25"/>
    <n v="0"/>
    <x v="0"/>
    <x v="1"/>
    <x v="32"/>
    <x v="27"/>
    <x v="1"/>
    <x v="2"/>
    <x v="0"/>
  </r>
  <r>
    <x v="117"/>
    <x v="116"/>
    <x v="116"/>
    <x v="0"/>
    <x v="1"/>
    <s v="Datacenter"/>
    <s v="Yes"/>
    <n v="1"/>
    <n v="0"/>
    <x v="2"/>
    <n v="15"/>
    <n v="0"/>
    <x v="4"/>
    <x v="1"/>
    <x v="42"/>
    <x v="20"/>
    <x v="1"/>
    <x v="2"/>
    <x v="25"/>
  </r>
  <r>
    <x v="118"/>
    <x v="117"/>
    <x v="117"/>
    <x v="0"/>
    <x v="1"/>
    <s v="Datacenter"/>
    <s v="Yes"/>
    <n v="1"/>
    <n v="0"/>
    <x v="2"/>
    <n v="15"/>
    <n v="0"/>
    <x v="0"/>
    <x v="1"/>
    <x v="42"/>
    <x v="1"/>
    <x v="1"/>
    <x v="2"/>
    <x v="0"/>
  </r>
  <r>
    <x v="119"/>
    <x v="118"/>
    <x v="118"/>
    <x v="0"/>
    <x v="1"/>
    <s v="Datacenter"/>
    <s v="Yes"/>
    <n v="1"/>
    <n v="0"/>
    <x v="2"/>
    <n v="15"/>
    <n v="0"/>
    <x v="18"/>
    <x v="1"/>
    <x v="29"/>
    <x v="1"/>
    <x v="1"/>
    <x v="2"/>
    <x v="0"/>
  </r>
  <r>
    <x v="120"/>
    <x v="119"/>
    <x v="119"/>
    <x v="0"/>
    <x v="0"/>
    <s v="Datacenter"/>
    <s v="No"/>
    <n v="1"/>
    <n v="0"/>
    <x v="2"/>
    <n v="25"/>
    <n v="0"/>
    <x v="19"/>
    <x v="1"/>
    <x v="1"/>
    <x v="1"/>
    <x v="1"/>
    <x v="11"/>
    <x v="1"/>
  </r>
  <r>
    <x v="121"/>
    <x v="24"/>
    <x v="24"/>
    <x v="2"/>
    <x v="0"/>
    <s v="Datacenter"/>
    <s v="Yes"/>
    <n v="0"/>
    <e v="#N/A"/>
    <x v="3"/>
    <s v=""/>
    <s v=""/>
    <x v="6"/>
    <x v="3"/>
    <x v="10"/>
    <x v="6"/>
    <x v="8"/>
    <x v="13"/>
    <x v="7"/>
  </r>
  <r>
    <x v="122"/>
    <x v="24"/>
    <x v="24"/>
    <x v="2"/>
    <x v="0"/>
    <s v="Datacenter"/>
    <s v="Yes"/>
    <n v="0"/>
    <e v="#N/A"/>
    <x v="3"/>
    <s v=""/>
    <s v=""/>
    <x v="6"/>
    <x v="3"/>
    <x v="10"/>
    <x v="6"/>
    <x v="8"/>
    <x v="13"/>
    <x v="7"/>
  </r>
  <r>
    <x v="123"/>
    <x v="120"/>
    <x v="120"/>
    <x v="0"/>
    <x v="1"/>
    <s v="Datacenter"/>
    <s v="Yes"/>
    <n v="1"/>
    <n v="0"/>
    <x v="2"/>
    <n v="20"/>
    <n v="0"/>
    <x v="20"/>
    <x v="1"/>
    <x v="1"/>
    <x v="28"/>
    <x v="41"/>
    <x v="2"/>
    <x v="0"/>
  </r>
  <r>
    <x v="124"/>
    <x v="121"/>
    <x v="121"/>
    <x v="0"/>
    <x v="1"/>
    <s v="Datacenter"/>
    <s v="No"/>
    <n v="1"/>
    <n v="0"/>
    <x v="2"/>
    <n v="20"/>
    <n v="0"/>
    <x v="9"/>
    <x v="1"/>
    <x v="0"/>
    <x v="1"/>
    <x v="1"/>
    <x v="2"/>
    <x v="1"/>
  </r>
  <r>
    <x v="125"/>
    <x v="122"/>
    <x v="122"/>
    <x v="0"/>
    <x v="0"/>
    <s v="Datacenter"/>
    <s v="No"/>
    <n v="1"/>
    <n v="0"/>
    <x v="2"/>
    <n v="25"/>
    <n v="0"/>
    <x v="9"/>
    <x v="1"/>
    <x v="0"/>
    <x v="1"/>
    <x v="1"/>
    <x v="2"/>
    <x v="28"/>
  </r>
  <r>
    <x v="126"/>
    <x v="24"/>
    <x v="24"/>
    <x v="2"/>
    <x v="0"/>
    <s v="Datacenter"/>
    <s v="No"/>
    <n v="0"/>
    <e v="#N/A"/>
    <x v="3"/>
    <s v=""/>
    <s v=""/>
    <x v="6"/>
    <x v="3"/>
    <x v="10"/>
    <x v="6"/>
    <x v="8"/>
    <x v="13"/>
    <x v="7"/>
  </r>
  <r>
    <x v="127"/>
    <x v="123"/>
    <x v="123"/>
    <x v="0"/>
    <x v="1"/>
    <s v="Datacenter"/>
    <s v="Yes"/>
    <n v="1"/>
    <n v="0"/>
    <x v="2"/>
    <n v="20"/>
    <n v="0"/>
    <x v="2"/>
    <x v="1"/>
    <x v="43"/>
    <x v="1"/>
    <x v="1"/>
    <x v="2"/>
    <x v="1"/>
  </r>
  <r>
    <x v="128"/>
    <x v="124"/>
    <x v="124"/>
    <x v="0"/>
    <x v="1"/>
    <s v="Datacenter"/>
    <s v="Yes"/>
    <n v="1"/>
    <n v="0"/>
    <x v="2"/>
    <n v="20"/>
    <n v="0"/>
    <x v="9"/>
    <x v="1"/>
    <x v="0"/>
    <x v="1"/>
    <x v="1"/>
    <x v="2"/>
    <x v="1"/>
  </r>
  <r>
    <x v="129"/>
    <x v="125"/>
    <x v="125"/>
    <x v="0"/>
    <x v="1"/>
    <s v="Datacenter"/>
    <s v="Yes"/>
    <n v="1"/>
    <n v="0"/>
    <x v="2"/>
    <n v="15"/>
    <n v="0"/>
    <x v="5"/>
    <x v="1"/>
    <x v="24"/>
    <x v="1"/>
    <x v="1"/>
    <x v="2"/>
    <x v="0"/>
  </r>
  <r>
    <x v="130"/>
    <x v="126"/>
    <x v="126"/>
    <x v="0"/>
    <x v="1"/>
    <s v="Datacenter"/>
    <s v="Yes"/>
    <n v="1"/>
    <n v="0"/>
    <x v="2"/>
    <n v="20"/>
    <n v="0"/>
    <x v="2"/>
    <x v="1"/>
    <x v="24"/>
    <x v="29"/>
    <x v="1"/>
    <x v="2"/>
    <x v="0"/>
  </r>
  <r>
    <x v="131"/>
    <x v="127"/>
    <x v="127"/>
    <x v="0"/>
    <x v="1"/>
    <s v="Datacenter"/>
    <s v="Yes"/>
    <n v="1"/>
    <n v="0"/>
    <x v="2"/>
    <n v="20"/>
    <n v="0"/>
    <x v="5"/>
    <x v="1"/>
    <x v="29"/>
    <x v="29"/>
    <x v="1"/>
    <x v="2"/>
    <x v="0"/>
  </r>
  <r>
    <x v="132"/>
    <x v="24"/>
    <x v="24"/>
    <x v="2"/>
    <x v="0"/>
    <s v="Datacenter"/>
    <s v="Yes"/>
    <n v="0"/>
    <e v="#N/A"/>
    <x v="3"/>
    <s v=""/>
    <s v=""/>
    <x v="6"/>
    <x v="3"/>
    <x v="10"/>
    <x v="6"/>
    <x v="8"/>
    <x v="13"/>
    <x v="7"/>
  </r>
  <r>
    <x v="133"/>
    <x v="128"/>
    <x v="128"/>
    <x v="0"/>
    <x v="1"/>
    <s v="Datacenter"/>
    <s v="Yes"/>
    <n v="1"/>
    <n v="0"/>
    <x v="2"/>
    <n v="20"/>
    <n v="0"/>
    <x v="5"/>
    <x v="1"/>
    <x v="29"/>
    <x v="1"/>
    <x v="1"/>
    <x v="42"/>
    <x v="0"/>
  </r>
  <r>
    <x v="134"/>
    <x v="129"/>
    <x v="129"/>
    <x v="0"/>
    <x v="1"/>
    <s v="Datacenter"/>
    <s v="Yes"/>
    <n v="1"/>
    <n v="0"/>
    <x v="2"/>
    <n v="20"/>
    <n v="0"/>
    <x v="2"/>
    <x v="1"/>
    <x v="29"/>
    <x v="29"/>
    <x v="1"/>
    <x v="42"/>
    <x v="1"/>
  </r>
  <r>
    <x v="135"/>
    <x v="130"/>
    <x v="130"/>
    <x v="0"/>
    <x v="1"/>
    <s v="Datacenter"/>
    <s v="Yes"/>
    <n v="1"/>
    <n v="0"/>
    <x v="2"/>
    <n v="20"/>
    <n v="0"/>
    <x v="0"/>
    <x v="1"/>
    <x v="29"/>
    <x v="29"/>
    <x v="1"/>
    <x v="42"/>
    <x v="1"/>
  </r>
  <r>
    <x v="136"/>
    <x v="131"/>
    <x v="131"/>
    <x v="0"/>
    <x v="0"/>
    <s v="Disaster Recovery Plan"/>
    <s v="Yes"/>
    <n v="1"/>
    <n v="0"/>
    <x v="2"/>
    <n v="25"/>
    <n v="0"/>
    <x v="2"/>
    <x v="1"/>
    <x v="24"/>
    <x v="3"/>
    <x v="23"/>
    <x v="28"/>
    <x v="1"/>
  </r>
  <r>
    <x v="137"/>
    <x v="132"/>
    <x v="132"/>
    <x v="0"/>
    <x v="1"/>
    <s v="Disaster Recovery Plan"/>
    <s v="Yes"/>
    <n v="1"/>
    <n v="0"/>
    <x v="2"/>
    <n v="20"/>
    <n v="0"/>
    <x v="2"/>
    <x v="1"/>
    <x v="44"/>
    <x v="3"/>
    <x v="23"/>
    <x v="28"/>
    <x v="1"/>
  </r>
  <r>
    <x v="138"/>
    <x v="133"/>
    <x v="133"/>
    <x v="0"/>
    <x v="1"/>
    <s v="Disaster Recovery Plan"/>
    <s v="Yes"/>
    <n v="1"/>
    <n v="0"/>
    <x v="2"/>
    <n v="20"/>
    <n v="0"/>
    <x v="2"/>
    <x v="1"/>
    <x v="1"/>
    <x v="3"/>
    <x v="23"/>
    <x v="28"/>
    <x v="1"/>
  </r>
  <r>
    <x v="139"/>
    <x v="134"/>
    <x v="134"/>
    <x v="0"/>
    <x v="1"/>
    <s v="Disaster Recovery Plan"/>
    <s v="No"/>
    <n v="1"/>
    <n v="0"/>
    <x v="2"/>
    <n v="20"/>
    <n v="0"/>
    <x v="21"/>
    <x v="1"/>
    <x v="24"/>
    <x v="3"/>
    <x v="1"/>
    <x v="28"/>
    <x v="1"/>
  </r>
  <r>
    <x v="140"/>
    <x v="135"/>
    <x v="135"/>
    <x v="0"/>
    <x v="1"/>
    <s v="Disaster Recovery Plan"/>
    <s v="Yes"/>
    <n v="1"/>
    <n v="0"/>
    <x v="2"/>
    <n v="20"/>
    <n v="0"/>
    <x v="2"/>
    <x v="1"/>
    <x v="29"/>
    <x v="3"/>
    <x v="1"/>
    <x v="28"/>
    <x v="0"/>
  </r>
  <r>
    <x v="141"/>
    <x v="24"/>
    <x v="24"/>
    <x v="2"/>
    <x v="0"/>
    <s v="Disaster Recovery Plan"/>
    <s v="Yes"/>
    <n v="0"/>
    <e v="#N/A"/>
    <x v="3"/>
    <s v=""/>
    <s v=""/>
    <x v="6"/>
    <x v="3"/>
    <x v="10"/>
    <x v="6"/>
    <x v="8"/>
    <x v="13"/>
    <x v="7"/>
  </r>
  <r>
    <x v="142"/>
    <x v="136"/>
    <x v="136"/>
    <x v="0"/>
    <x v="0"/>
    <s v="Disaster Recovery Plan"/>
    <s v="Yes"/>
    <n v="1"/>
    <n v="0"/>
    <x v="2"/>
    <n v="25"/>
    <n v="0"/>
    <x v="2"/>
    <x v="1"/>
    <x v="1"/>
    <x v="3"/>
    <x v="23"/>
    <x v="28"/>
    <x v="1"/>
  </r>
  <r>
    <x v="143"/>
    <x v="137"/>
    <x v="137"/>
    <x v="0"/>
    <x v="1"/>
    <s v="Disaster Recovery Plan"/>
    <s v="Yes"/>
    <n v="1"/>
    <n v="0"/>
    <x v="2"/>
    <n v="20"/>
    <n v="0"/>
    <x v="2"/>
    <x v="1"/>
    <x v="2"/>
    <x v="3"/>
    <x v="23"/>
    <x v="28"/>
    <x v="1"/>
  </r>
  <r>
    <x v="144"/>
    <x v="138"/>
    <x v="138"/>
    <x v="0"/>
    <x v="1"/>
    <s v="Disaster Recovery Plan"/>
    <s v="Yes"/>
    <n v="1"/>
    <n v="0"/>
    <x v="2"/>
    <n v="20"/>
    <n v="0"/>
    <x v="2"/>
    <x v="1"/>
    <x v="26"/>
    <x v="3"/>
    <x v="23"/>
    <x v="28"/>
    <x v="0"/>
  </r>
  <r>
    <x v="145"/>
    <x v="139"/>
    <x v="139"/>
    <x v="0"/>
    <x v="1"/>
    <s v="Disaster Recovery Plan"/>
    <s v="Yes"/>
    <n v="1"/>
    <n v="0"/>
    <x v="2"/>
    <n v="20"/>
    <n v="0"/>
    <x v="2"/>
    <x v="1"/>
    <x v="26"/>
    <x v="3"/>
    <x v="23"/>
    <x v="28"/>
    <x v="0"/>
  </r>
  <r>
    <x v="146"/>
    <x v="24"/>
    <x v="24"/>
    <x v="2"/>
    <x v="0"/>
    <s v="Disaster Recovery Plan"/>
    <s v="Yes"/>
    <n v="0"/>
    <e v="#N/A"/>
    <x v="3"/>
    <s v=""/>
    <s v=""/>
    <x v="6"/>
    <x v="3"/>
    <x v="10"/>
    <x v="6"/>
    <x v="8"/>
    <x v="13"/>
    <x v="7"/>
  </r>
  <r>
    <x v="147"/>
    <x v="140"/>
    <x v="140"/>
    <x v="0"/>
    <x v="1"/>
    <s v="Disaster Recovery Plan"/>
    <s v="Yes"/>
    <n v="1"/>
    <n v="0"/>
    <x v="2"/>
    <n v="20"/>
    <n v="0"/>
    <x v="2"/>
    <x v="1"/>
    <x v="24"/>
    <x v="3"/>
    <x v="23"/>
    <x v="28"/>
    <x v="0"/>
  </r>
  <r>
    <x v="148"/>
    <x v="141"/>
    <x v="141"/>
    <x v="0"/>
    <x v="1"/>
    <s v="Disaster Recovery Plan"/>
    <s v="Yes"/>
    <n v="1"/>
    <n v="0"/>
    <x v="2"/>
    <n v="20"/>
    <n v="0"/>
    <x v="5"/>
    <x v="1"/>
    <x v="1"/>
    <x v="1"/>
    <x v="42"/>
    <x v="28"/>
    <x v="1"/>
  </r>
  <r>
    <x v="149"/>
    <x v="142"/>
    <x v="142"/>
    <x v="0"/>
    <x v="0"/>
    <s v="Firewalls, IDS, IPS, and Networking"/>
    <s v="Yes"/>
    <n v="1"/>
    <n v="0"/>
    <x v="2"/>
    <n v="25"/>
    <n v="0"/>
    <x v="20"/>
    <x v="1"/>
    <x v="45"/>
    <x v="30"/>
    <x v="1"/>
    <x v="2"/>
    <x v="29"/>
  </r>
  <r>
    <x v="150"/>
    <x v="143"/>
    <x v="143"/>
    <x v="0"/>
    <x v="0"/>
    <s v="Firewalls, IDS, IPS, and Networking"/>
    <s v="Yes"/>
    <n v="1"/>
    <n v="0"/>
    <x v="2"/>
    <n v="25"/>
    <n v="0"/>
    <x v="20"/>
    <x v="1"/>
    <x v="45"/>
    <x v="30"/>
    <x v="1"/>
    <x v="2"/>
    <x v="29"/>
  </r>
  <r>
    <x v="151"/>
    <x v="144"/>
    <x v="144"/>
    <x v="0"/>
    <x v="1"/>
    <s v="Firewalls, IDS, IPS, and Networking"/>
    <s v="Yes"/>
    <n v="1"/>
    <n v="0"/>
    <x v="2"/>
    <n v="20"/>
    <n v="0"/>
    <x v="20"/>
    <x v="1"/>
    <x v="46"/>
    <x v="28"/>
    <x v="1"/>
    <x v="2"/>
    <x v="29"/>
  </r>
  <r>
    <x v="152"/>
    <x v="145"/>
    <x v="145"/>
    <x v="0"/>
    <x v="0"/>
    <s v="Firewalls, IDS, IPS, and Networking"/>
    <s v="Yes"/>
    <n v="1"/>
    <n v="0"/>
    <x v="2"/>
    <n v="25"/>
    <n v="0"/>
    <x v="20"/>
    <x v="1"/>
    <x v="30"/>
    <x v="28"/>
    <x v="1"/>
    <x v="2"/>
    <x v="29"/>
  </r>
  <r>
    <x v="153"/>
    <x v="146"/>
    <x v="146"/>
    <x v="0"/>
    <x v="0"/>
    <s v="Firewalls, IDS, IPS, and Networking"/>
    <s v="Yes"/>
    <n v="1"/>
    <n v="0"/>
    <x v="2"/>
    <n v="25"/>
    <n v="0"/>
    <x v="22"/>
    <x v="1"/>
    <x v="47"/>
    <x v="31"/>
    <x v="43"/>
    <x v="43"/>
    <x v="30"/>
  </r>
  <r>
    <x v="154"/>
    <x v="147"/>
    <x v="147"/>
    <x v="0"/>
    <x v="1"/>
    <s v="Firewalls, IDS, IPS, and Networking"/>
    <s v="Yes"/>
    <n v="1"/>
    <n v="0"/>
    <x v="2"/>
    <n v="20"/>
    <n v="0"/>
    <x v="22"/>
    <x v="1"/>
    <x v="47"/>
    <x v="31"/>
    <x v="43"/>
    <x v="43"/>
    <x v="30"/>
  </r>
  <r>
    <x v="155"/>
    <x v="148"/>
    <x v="148"/>
    <x v="0"/>
    <x v="0"/>
    <s v="Firewalls, IDS, IPS, and Networking"/>
    <s v="Yes"/>
    <n v="1"/>
    <n v="0"/>
    <x v="2"/>
    <n v="25"/>
    <n v="0"/>
    <x v="22"/>
    <x v="1"/>
    <x v="47"/>
    <x v="31"/>
    <x v="43"/>
    <x v="43"/>
    <x v="30"/>
  </r>
  <r>
    <x v="156"/>
    <x v="149"/>
    <x v="149"/>
    <x v="0"/>
    <x v="1"/>
    <s v="Firewalls, IDS, IPS, and Networking"/>
    <s v="Yes"/>
    <n v="1"/>
    <n v="0"/>
    <x v="2"/>
    <n v="20"/>
    <n v="0"/>
    <x v="22"/>
    <x v="1"/>
    <x v="47"/>
    <x v="31"/>
    <x v="43"/>
    <x v="43"/>
    <x v="30"/>
  </r>
  <r>
    <x v="157"/>
    <x v="150"/>
    <x v="150"/>
    <x v="0"/>
    <x v="1"/>
    <s v="Firewalls, IDS, IPS, and Networking"/>
    <s v="Yes"/>
    <n v="1"/>
    <n v="0"/>
    <x v="2"/>
    <n v="20"/>
    <n v="0"/>
    <x v="22"/>
    <x v="1"/>
    <x v="48"/>
    <x v="1"/>
    <x v="43"/>
    <x v="43"/>
    <x v="31"/>
  </r>
  <r>
    <x v="158"/>
    <x v="151"/>
    <x v="151"/>
    <x v="0"/>
    <x v="1"/>
    <s v="Firewalls, IDS, IPS, and Networking"/>
    <s v="Yes"/>
    <n v="1"/>
    <n v="0"/>
    <x v="2"/>
    <n v="15"/>
    <n v="0"/>
    <x v="22"/>
    <x v="1"/>
    <x v="48"/>
    <x v="32"/>
    <x v="43"/>
    <x v="43"/>
    <x v="30"/>
  </r>
  <r>
    <x v="159"/>
    <x v="24"/>
    <x v="24"/>
    <x v="2"/>
    <x v="0"/>
    <s v="Firewalls, IDS, IPS, and Networking"/>
    <s v="Yes"/>
    <n v="0"/>
    <e v="#N/A"/>
    <x v="3"/>
    <s v=""/>
    <s v=""/>
    <x v="6"/>
    <x v="3"/>
    <x v="10"/>
    <x v="6"/>
    <x v="8"/>
    <x v="13"/>
    <x v="7"/>
  </r>
  <r>
    <x v="160"/>
    <x v="152"/>
    <x v="152"/>
    <x v="0"/>
    <x v="0"/>
    <s v="Firewalls, IDS, IPS, and Networking"/>
    <s v="Yes"/>
    <n v="1"/>
    <n v="0"/>
    <x v="2"/>
    <n v="25"/>
    <n v="0"/>
    <x v="14"/>
    <x v="1"/>
    <x v="48"/>
    <x v="33"/>
    <x v="44"/>
    <x v="44"/>
    <x v="32"/>
  </r>
  <r>
    <x v="161"/>
    <x v="153"/>
    <x v="153"/>
    <x v="0"/>
    <x v="1"/>
    <s v="Mobile Applications"/>
    <s v="Yes"/>
    <n v="1"/>
    <n v="0"/>
    <x v="2"/>
    <n v="15"/>
    <n v="0"/>
    <x v="1"/>
    <x v="1"/>
    <x v="1"/>
    <x v="1"/>
    <x v="1"/>
    <x v="2"/>
    <x v="0"/>
  </r>
  <r>
    <x v="162"/>
    <x v="154"/>
    <x v="154"/>
    <x v="0"/>
    <x v="1"/>
    <s v="Mobile Applications"/>
    <s v="Yes"/>
    <n v="1"/>
    <n v="0"/>
    <x v="2"/>
    <n v="20"/>
    <n v="0"/>
    <x v="18"/>
    <x v="1"/>
    <x v="1"/>
    <x v="34"/>
    <x v="1"/>
    <x v="2"/>
    <x v="0"/>
  </r>
  <r>
    <x v="163"/>
    <x v="155"/>
    <x v="155"/>
    <x v="0"/>
    <x v="0"/>
    <s v="Mobile Applications"/>
    <s v="Yes"/>
    <n v="1"/>
    <n v="0"/>
    <x v="2"/>
    <n v="25"/>
    <n v="0"/>
    <x v="1"/>
    <x v="1"/>
    <x v="1"/>
    <x v="34"/>
    <x v="1"/>
    <x v="2"/>
    <x v="0"/>
  </r>
  <r>
    <x v="164"/>
    <x v="156"/>
    <x v="156"/>
    <x v="0"/>
    <x v="1"/>
    <s v="Mobile Applications"/>
    <s v="No"/>
    <n v="1"/>
    <n v="0"/>
    <x v="2"/>
    <n v="20"/>
    <n v="0"/>
    <x v="23"/>
    <x v="1"/>
    <x v="49"/>
    <x v="35"/>
    <x v="1"/>
    <x v="2"/>
    <x v="0"/>
  </r>
  <r>
    <x v="165"/>
    <x v="157"/>
    <x v="157"/>
    <x v="0"/>
    <x v="0"/>
    <s v="Mobile Applications"/>
    <s v="Yes"/>
    <n v="1"/>
    <n v="0"/>
    <x v="2"/>
    <n v="25"/>
    <n v="0"/>
    <x v="0"/>
    <x v="1"/>
    <x v="50"/>
    <x v="35"/>
    <x v="45"/>
    <x v="45"/>
    <x v="33"/>
  </r>
  <r>
    <x v="166"/>
    <x v="158"/>
    <x v="158"/>
    <x v="0"/>
    <x v="0"/>
    <s v="Mobile Applications"/>
    <s v="Yes"/>
    <n v="1"/>
    <n v="0"/>
    <x v="2"/>
    <n v="40"/>
    <n v="0"/>
    <x v="4"/>
    <x v="1"/>
    <x v="50"/>
    <x v="36"/>
    <x v="1"/>
    <x v="2"/>
    <x v="0"/>
  </r>
  <r>
    <x v="167"/>
    <x v="159"/>
    <x v="159"/>
    <x v="0"/>
    <x v="0"/>
    <s v="Mobile Applications"/>
    <s v="Yes"/>
    <n v="1"/>
    <n v="0"/>
    <x v="2"/>
    <n v="25"/>
    <n v="0"/>
    <x v="13"/>
    <x v="1"/>
    <x v="51"/>
    <x v="1"/>
    <x v="1"/>
    <x v="2"/>
    <x v="0"/>
  </r>
  <r>
    <x v="168"/>
    <x v="160"/>
    <x v="160"/>
    <x v="0"/>
    <x v="1"/>
    <s v="Mobile Applications"/>
    <s v="Yes"/>
    <n v="1"/>
    <n v="0"/>
    <x v="2"/>
    <n v="20"/>
    <n v="0"/>
    <x v="13"/>
    <x v="1"/>
    <x v="1"/>
    <x v="1"/>
    <x v="1"/>
    <x v="2"/>
    <x v="0"/>
  </r>
  <r>
    <x v="169"/>
    <x v="161"/>
    <x v="161"/>
    <x v="0"/>
    <x v="0"/>
    <s v="Mobile Applications"/>
    <s v="Yes"/>
    <n v="1"/>
    <n v="0"/>
    <x v="2"/>
    <n v="25"/>
    <n v="0"/>
    <x v="1"/>
    <x v="1"/>
    <x v="52"/>
    <x v="34"/>
    <x v="1"/>
    <x v="2"/>
    <x v="0"/>
  </r>
  <r>
    <x v="170"/>
    <x v="162"/>
    <x v="162"/>
    <x v="0"/>
    <x v="0"/>
    <s v="Mobile Applications"/>
    <s v="Yes"/>
    <n v="1"/>
    <n v="0"/>
    <x v="2"/>
    <n v="25"/>
    <n v="0"/>
    <x v="1"/>
    <x v="1"/>
    <x v="53"/>
    <x v="37"/>
    <x v="1"/>
    <x v="2"/>
    <x v="0"/>
  </r>
  <r>
    <x v="171"/>
    <x v="163"/>
    <x v="163"/>
    <x v="0"/>
    <x v="0"/>
    <s v="Mobile Applications"/>
    <s v="Yes"/>
    <n v="1"/>
    <n v="0"/>
    <x v="2"/>
    <n v="25"/>
    <n v="0"/>
    <x v="1"/>
    <x v="1"/>
    <x v="53"/>
    <x v="37"/>
    <x v="1"/>
    <x v="2"/>
    <x v="0"/>
  </r>
  <r>
    <x v="172"/>
    <x v="164"/>
    <x v="164"/>
    <x v="0"/>
    <x v="1"/>
    <s v="Physical Security"/>
    <s v="Yes"/>
    <n v="1"/>
    <s v="No"/>
    <x v="2"/>
    <n v="20"/>
    <n v="0"/>
    <x v="18"/>
    <x v="1"/>
    <x v="42"/>
    <x v="38"/>
    <x v="46"/>
    <x v="46"/>
    <x v="27"/>
  </r>
  <r>
    <x v="173"/>
    <x v="165"/>
    <x v="165"/>
    <x v="0"/>
    <x v="0"/>
    <s v="Physical Security"/>
    <s v="No"/>
    <n v="1"/>
    <n v="0"/>
    <x v="2"/>
    <n v="25"/>
    <n v="0"/>
    <x v="0"/>
    <x v="1"/>
    <x v="50"/>
    <x v="39"/>
    <x v="47"/>
    <x v="47"/>
    <x v="34"/>
  </r>
  <r>
    <x v="174"/>
    <x v="166"/>
    <x v="166"/>
    <x v="0"/>
    <x v="1"/>
    <s v="Physical Security"/>
    <s v="Yes"/>
    <n v="1"/>
    <n v="0"/>
    <x v="2"/>
    <n v="20"/>
    <n v="0"/>
    <x v="18"/>
    <x v="1"/>
    <x v="54"/>
    <x v="40"/>
    <x v="48"/>
    <x v="48"/>
    <x v="27"/>
  </r>
  <r>
    <x v="175"/>
    <x v="167"/>
    <x v="167"/>
    <x v="0"/>
    <x v="1"/>
    <s v="Physical Security"/>
    <s v="Yes"/>
    <n v="1"/>
    <n v="0"/>
    <x v="2"/>
    <n v="20"/>
    <n v="0"/>
    <x v="18"/>
    <x v="1"/>
    <x v="55"/>
    <x v="40"/>
    <x v="48"/>
    <x v="48"/>
    <x v="27"/>
  </r>
  <r>
    <x v="176"/>
    <x v="168"/>
    <x v="168"/>
    <x v="0"/>
    <x v="1"/>
    <s v="Physical Security"/>
    <s v="Yes"/>
    <n v="1"/>
    <n v="0"/>
    <x v="2"/>
    <n v="15"/>
    <n v="0"/>
    <x v="4"/>
    <x v="1"/>
    <x v="56"/>
    <x v="25"/>
    <x v="49"/>
    <x v="47"/>
    <x v="27"/>
  </r>
  <r>
    <x v="177"/>
    <x v="169"/>
    <x v="169"/>
    <x v="0"/>
    <x v="1"/>
    <s v="Policies, Procedures, and Processes"/>
    <s v="Yes"/>
    <n v="1"/>
    <n v="0"/>
    <x v="2"/>
    <n v="20"/>
    <n v="0"/>
    <x v="5"/>
    <x v="1"/>
    <x v="57"/>
    <x v="41"/>
    <x v="50"/>
    <x v="49"/>
    <x v="35"/>
  </r>
  <r>
    <x v="178"/>
    <x v="170"/>
    <x v="170"/>
    <x v="0"/>
    <x v="0"/>
    <s v="Policies, Procedures, and Processes"/>
    <s v="Yes"/>
    <n v="1"/>
    <n v="0"/>
    <x v="2"/>
    <n v="25"/>
    <n v="0"/>
    <x v="24"/>
    <x v="1"/>
    <x v="31"/>
    <x v="42"/>
    <x v="1"/>
    <x v="50"/>
    <x v="36"/>
  </r>
  <r>
    <x v="179"/>
    <x v="171"/>
    <x v="171"/>
    <x v="0"/>
    <x v="1"/>
    <s v="Policies, Procedures, and Processes"/>
    <s v="Yes"/>
    <n v="1"/>
    <n v="0"/>
    <x v="2"/>
    <n v="20"/>
    <n v="0"/>
    <x v="0"/>
    <x v="1"/>
    <x v="58"/>
    <x v="1"/>
    <x v="1"/>
    <x v="50"/>
    <x v="0"/>
  </r>
  <r>
    <x v="180"/>
    <x v="172"/>
    <x v="172"/>
    <x v="0"/>
    <x v="0"/>
    <s v="Policies, Procedures, and Processes"/>
    <s v="Yes"/>
    <n v="1"/>
    <n v="0"/>
    <x v="2"/>
    <n v="25"/>
    <n v="0"/>
    <x v="25"/>
    <x v="1"/>
    <x v="52"/>
    <x v="1"/>
    <x v="1"/>
    <x v="50"/>
    <x v="37"/>
  </r>
  <r>
    <x v="181"/>
    <x v="173"/>
    <x v="173"/>
    <x v="0"/>
    <x v="1"/>
    <s v="Policies, Procedures, and Processes"/>
    <s v="Yes"/>
    <n v="1"/>
    <n v="0"/>
    <x v="2"/>
    <n v="20"/>
    <n v="0"/>
    <x v="24"/>
    <x v="1"/>
    <x v="52"/>
    <x v="1"/>
    <x v="1"/>
    <x v="50"/>
    <x v="38"/>
  </r>
  <r>
    <x v="182"/>
    <x v="174"/>
    <x v="174"/>
    <x v="0"/>
    <x v="0"/>
    <s v="Policies, Procedures, and Processes"/>
    <s v="Yes"/>
    <n v="1"/>
    <n v="0"/>
    <x v="2"/>
    <n v="25"/>
    <n v="0"/>
    <x v="24"/>
    <x v="1"/>
    <x v="59"/>
    <x v="43"/>
    <x v="1"/>
    <x v="50"/>
    <x v="39"/>
  </r>
  <r>
    <x v="183"/>
    <x v="175"/>
    <x v="175"/>
    <x v="0"/>
    <x v="1"/>
    <s v="Policies, Procedures, and Processes"/>
    <s v="Yes"/>
    <n v="1"/>
    <n v="0"/>
    <x v="2"/>
    <n v="20"/>
    <n v="0"/>
    <x v="3"/>
    <x v="5"/>
    <x v="3"/>
    <x v="4"/>
    <x v="4"/>
    <x v="4"/>
    <x v="40"/>
  </r>
  <r>
    <x v="184"/>
    <x v="176"/>
    <x v="176"/>
    <x v="0"/>
    <x v="1"/>
    <s v="Policies, Procedures, and Processes"/>
    <s v="Yes"/>
    <n v="1"/>
    <n v="0"/>
    <x v="2"/>
    <n v="20"/>
    <n v="0"/>
    <x v="24"/>
    <x v="1"/>
    <x v="52"/>
    <x v="1"/>
    <x v="51"/>
    <x v="50"/>
    <x v="41"/>
  </r>
  <r>
    <x v="185"/>
    <x v="177"/>
    <x v="177"/>
    <x v="0"/>
    <x v="1"/>
    <s v="Policies, Procedures, and Processes"/>
    <s v="Yes"/>
    <n v="1"/>
    <n v="0"/>
    <x v="2"/>
    <n v="20"/>
    <n v="0"/>
    <x v="24"/>
    <x v="1"/>
    <x v="52"/>
    <x v="44"/>
    <x v="1"/>
    <x v="51"/>
    <x v="39"/>
  </r>
  <r>
    <x v="186"/>
    <x v="178"/>
    <x v="178"/>
    <x v="0"/>
    <x v="0"/>
    <s v="Policies, Procedures, and Processes"/>
    <s v="Yes"/>
    <n v="1"/>
    <n v="0"/>
    <x v="2"/>
    <n v="25"/>
    <n v="0"/>
    <x v="22"/>
    <x v="1"/>
    <x v="60"/>
    <x v="3"/>
    <x v="52"/>
    <x v="52"/>
    <x v="42"/>
  </r>
  <r>
    <x v="187"/>
    <x v="179"/>
    <x v="179"/>
    <x v="0"/>
    <x v="0"/>
    <s v="Policies, Procedures, and Processes"/>
    <s v="Yes"/>
    <n v="1"/>
    <n v="0"/>
    <x v="2"/>
    <n v="25"/>
    <n v="0"/>
    <x v="22"/>
    <x v="1"/>
    <x v="0"/>
    <x v="0"/>
    <x v="53"/>
    <x v="53"/>
    <x v="1"/>
  </r>
  <r>
    <x v="188"/>
    <x v="180"/>
    <x v="180"/>
    <x v="0"/>
    <x v="1"/>
    <s v="Policies, Procedures, and Processes"/>
    <s v="Yes"/>
    <n v="1"/>
    <n v="0"/>
    <x v="2"/>
    <n v="15"/>
    <n v="0"/>
    <x v="0"/>
    <x v="1"/>
    <x v="0"/>
    <x v="1"/>
    <x v="42"/>
    <x v="54"/>
    <x v="1"/>
  </r>
  <r>
    <x v="189"/>
    <x v="181"/>
    <x v="181"/>
    <x v="0"/>
    <x v="1"/>
    <s v="Policies, Procedures, and Processes"/>
    <s v="Yes"/>
    <n v="1"/>
    <n v="0"/>
    <x v="2"/>
    <n v="20"/>
    <n v="0"/>
    <x v="22"/>
    <x v="1"/>
    <x v="0"/>
    <x v="0"/>
    <x v="1"/>
    <x v="50"/>
    <x v="0"/>
  </r>
  <r>
    <x v="190"/>
    <x v="182"/>
    <x v="182"/>
    <x v="0"/>
    <x v="1"/>
    <s v="Policies, Procedures, and Processes"/>
    <s v="Yes"/>
    <n v="1"/>
    <n v="0"/>
    <x v="2"/>
    <n v="15"/>
    <n v="0"/>
    <x v="12"/>
    <x v="1"/>
    <x v="61"/>
    <x v="45"/>
    <x v="54"/>
    <x v="55"/>
    <x v="43"/>
  </r>
  <r>
    <x v="191"/>
    <x v="183"/>
    <x v="183"/>
    <x v="0"/>
    <x v="1"/>
    <s v="Policies, Procedures, and Processes"/>
    <s v="Yes"/>
    <n v="1"/>
    <n v="0"/>
    <x v="2"/>
    <n v="15"/>
    <n v="0"/>
    <x v="26"/>
    <x v="1"/>
    <x v="62"/>
    <x v="45"/>
    <x v="1"/>
    <x v="50"/>
    <x v="44"/>
  </r>
  <r>
    <x v="192"/>
    <x v="184"/>
    <x v="184"/>
    <x v="0"/>
    <x v="0"/>
    <s v="Policies, Procedures, and Processes"/>
    <s v="Yes"/>
    <n v="1"/>
    <n v="0"/>
    <x v="2"/>
    <n v="25"/>
    <n v="0"/>
    <x v="26"/>
    <x v="2"/>
    <x v="57"/>
    <x v="0"/>
    <x v="1"/>
    <x v="50"/>
    <x v="45"/>
  </r>
  <r>
    <x v="193"/>
    <x v="185"/>
    <x v="185"/>
    <x v="0"/>
    <x v="0"/>
    <s v="Policies, Procedures, and Processes"/>
    <s v="Yes"/>
    <n v="1"/>
    <n v="0"/>
    <x v="2"/>
    <n v="25"/>
    <n v="0"/>
    <x v="26"/>
    <x v="6"/>
    <x v="63"/>
    <x v="46"/>
    <x v="55"/>
    <x v="56"/>
    <x v="46"/>
  </r>
  <r>
    <x v="194"/>
    <x v="186"/>
    <x v="186"/>
    <x v="0"/>
    <x v="1"/>
    <s v="Policies, Procedures, and Processes"/>
    <s v="Yes"/>
    <n v="1"/>
    <n v="0"/>
    <x v="2"/>
    <n v="20"/>
    <n v="0"/>
    <x v="26"/>
    <x v="6"/>
    <x v="63"/>
    <x v="46"/>
    <x v="56"/>
    <x v="57"/>
    <x v="46"/>
  </r>
  <r>
    <x v="195"/>
    <x v="187"/>
    <x v="187"/>
    <x v="0"/>
    <x v="1"/>
    <s v="Policies, Procedures, and Processes"/>
    <s v="Yes"/>
    <n v="1"/>
    <n v="0"/>
    <x v="2"/>
    <n v="20"/>
    <n v="0"/>
    <x v="26"/>
    <x v="1"/>
    <x v="64"/>
    <x v="9"/>
    <x v="57"/>
    <x v="50"/>
    <x v="47"/>
  </r>
  <r>
    <x v="196"/>
    <x v="188"/>
    <x v="188"/>
    <x v="0"/>
    <x v="1"/>
    <s v="Policies, Procedures, and Processes"/>
    <s v="Yes"/>
    <n v="1"/>
    <n v="0"/>
    <x v="2"/>
    <n v="20"/>
    <n v="0"/>
    <x v="5"/>
    <x v="1"/>
    <x v="65"/>
    <x v="1"/>
    <x v="1"/>
    <x v="58"/>
    <x v="0"/>
  </r>
  <r>
    <x v="197"/>
    <x v="189"/>
    <x v="189"/>
    <x v="0"/>
    <x v="1"/>
    <s v="Product Evaluation"/>
    <s v="Yes"/>
    <n v="1"/>
    <n v="0"/>
    <x v="2"/>
    <n v="15"/>
    <n v="0"/>
    <x v="5"/>
    <x v="1"/>
    <x v="1"/>
    <x v="1"/>
    <x v="1"/>
    <x v="2"/>
    <x v="0"/>
  </r>
  <r>
    <x v="198"/>
    <x v="190"/>
    <x v="190"/>
    <x v="0"/>
    <x v="1"/>
    <s v="Product Evaluation"/>
    <s v="Yes"/>
    <n v="1"/>
    <n v="0"/>
    <x v="2"/>
    <n v="15"/>
    <n v="0"/>
    <x v="5"/>
    <x v="1"/>
    <x v="1"/>
    <x v="47"/>
    <x v="1"/>
    <x v="2"/>
    <x v="0"/>
  </r>
  <r>
    <x v="199"/>
    <x v="191"/>
    <x v="191"/>
    <x v="0"/>
    <x v="1"/>
    <s v="Quality Assurance"/>
    <s v="Yes"/>
    <n v="1"/>
    <n v="0"/>
    <x v="2"/>
    <n v="15"/>
    <n v="0"/>
    <x v="0"/>
    <x v="1"/>
    <x v="1"/>
    <x v="1"/>
    <x v="1"/>
    <x v="2"/>
    <x v="0"/>
  </r>
  <r>
    <x v="200"/>
    <x v="192"/>
    <x v="192"/>
    <x v="0"/>
    <x v="1"/>
    <s v="Quality Assurance"/>
    <s v="Yes"/>
    <n v="1"/>
    <n v="0"/>
    <x v="2"/>
    <n v="15"/>
    <n v="0"/>
    <x v="0"/>
    <x v="1"/>
    <x v="0"/>
    <x v="1"/>
    <x v="1"/>
    <x v="2"/>
    <x v="0"/>
  </r>
  <r>
    <x v="201"/>
    <x v="193"/>
    <x v="193"/>
    <x v="0"/>
    <x v="1"/>
    <s v="Quality Assurance"/>
    <s v="Yes"/>
    <n v="1"/>
    <n v="0"/>
    <x v="2"/>
    <n v="15"/>
    <n v="0"/>
    <x v="0"/>
    <x v="1"/>
    <x v="1"/>
    <x v="1"/>
    <x v="1"/>
    <x v="2"/>
    <x v="0"/>
  </r>
  <r>
    <x v="202"/>
    <x v="194"/>
    <x v="194"/>
    <x v="0"/>
    <x v="1"/>
    <s v="Quality Assurance"/>
    <s v="Yes"/>
    <n v="1"/>
    <n v="0"/>
    <x v="2"/>
    <n v="15"/>
    <n v="0"/>
    <x v="5"/>
    <x v="1"/>
    <x v="1"/>
    <x v="1"/>
    <x v="1"/>
    <x v="2"/>
    <x v="0"/>
  </r>
  <r>
    <x v="203"/>
    <x v="195"/>
    <x v="195"/>
    <x v="0"/>
    <x v="1"/>
    <s v="Quality Assurance"/>
    <s v="Yes"/>
    <n v="1"/>
    <n v="0"/>
    <x v="2"/>
    <n v="15"/>
    <n v="0"/>
    <x v="26"/>
    <x v="1"/>
    <x v="1"/>
    <x v="1"/>
    <x v="1"/>
    <x v="2"/>
    <x v="0"/>
  </r>
  <r>
    <x v="204"/>
    <x v="196"/>
    <x v="196"/>
    <x v="0"/>
    <x v="0"/>
    <s v="Systems Management &amp; Configuration"/>
    <s v="Yes"/>
    <n v="1"/>
    <n v="0"/>
    <x v="2"/>
    <n v="25"/>
    <n v="0"/>
    <x v="9"/>
    <x v="1"/>
    <x v="45"/>
    <x v="48"/>
    <x v="41"/>
    <x v="11"/>
    <x v="0"/>
  </r>
  <r>
    <x v="205"/>
    <x v="197"/>
    <x v="197"/>
    <x v="0"/>
    <x v="1"/>
    <s v="Systems Management &amp; Configuration"/>
    <s v="Yes"/>
    <n v="1"/>
    <n v="0"/>
    <x v="2"/>
    <n v="10"/>
    <n v="0"/>
    <x v="18"/>
    <x v="1"/>
    <x v="1"/>
    <x v="49"/>
    <x v="58"/>
    <x v="59"/>
    <x v="0"/>
  </r>
  <r>
    <x v="206"/>
    <x v="198"/>
    <x v="198"/>
    <x v="0"/>
    <x v="1"/>
    <s v="Systems Management &amp; Configuration"/>
    <s v="Yes"/>
    <n v="1"/>
    <n v="0"/>
    <x v="2"/>
    <n v="15"/>
    <n v="0"/>
    <x v="18"/>
    <x v="1"/>
    <x v="66"/>
    <x v="1"/>
    <x v="59"/>
    <x v="2"/>
    <x v="0"/>
  </r>
  <r>
    <x v="207"/>
    <x v="199"/>
    <x v="199"/>
    <x v="0"/>
    <x v="1"/>
    <s v="Systems Management &amp; Configuration"/>
    <s v="Yes"/>
    <n v="1"/>
    <n v="0"/>
    <x v="2"/>
    <n v="20"/>
    <n v="0"/>
    <x v="18"/>
    <x v="1"/>
    <x v="16"/>
    <x v="50"/>
    <x v="60"/>
    <x v="60"/>
    <x v="0"/>
  </r>
  <r>
    <x v="208"/>
    <x v="200"/>
    <x v="200"/>
    <x v="0"/>
    <x v="0"/>
    <s v="Vulnerability Scanning"/>
    <s v="Yes"/>
    <n v="1"/>
    <n v="0"/>
    <x v="2"/>
    <n v="25"/>
    <n v="0"/>
    <x v="24"/>
    <x v="1"/>
    <x v="31"/>
    <x v="51"/>
    <x v="61"/>
    <x v="61"/>
    <x v="48"/>
  </r>
  <r>
    <x v="209"/>
    <x v="24"/>
    <x v="24"/>
    <x v="2"/>
    <x v="0"/>
    <s v="Vulnerability Scanning"/>
    <s v="Yes"/>
    <n v="0"/>
    <e v="#N/A"/>
    <x v="3"/>
    <s v=""/>
    <s v=""/>
    <x v="6"/>
    <x v="3"/>
    <x v="10"/>
    <x v="6"/>
    <x v="8"/>
    <x v="13"/>
    <x v="7"/>
  </r>
  <r>
    <x v="210"/>
    <x v="201"/>
    <x v="201"/>
    <x v="0"/>
    <x v="1"/>
    <s v="Vulnerability Scanning"/>
    <s v="Yes"/>
    <n v="1"/>
    <n v="0"/>
    <x v="2"/>
    <n v="20"/>
    <n v="0"/>
    <x v="24"/>
    <x v="1"/>
    <x v="1"/>
    <x v="51"/>
    <x v="61"/>
    <x v="61"/>
    <x v="48"/>
  </r>
  <r>
    <x v="211"/>
    <x v="202"/>
    <x v="202"/>
    <x v="0"/>
    <x v="0"/>
    <s v="Vulnerability Scanning"/>
    <s v="Yes"/>
    <n v="1"/>
    <n v="0"/>
    <x v="2"/>
    <n v="25"/>
    <n v="0"/>
    <x v="24"/>
    <x v="1"/>
    <x v="1"/>
    <x v="51"/>
    <x v="61"/>
    <x v="61"/>
    <x v="48"/>
  </r>
  <r>
    <x v="212"/>
    <x v="203"/>
    <x v="203"/>
    <x v="0"/>
    <x v="0"/>
    <s v="Vulnerability Scanning"/>
    <s v="Yes"/>
    <n v="1"/>
    <n v="0"/>
    <x v="2"/>
    <n v="25"/>
    <n v="0"/>
    <x v="24"/>
    <x v="1"/>
    <x v="1"/>
    <x v="51"/>
    <x v="1"/>
    <x v="61"/>
    <x v="48"/>
  </r>
  <r>
    <x v="213"/>
    <x v="204"/>
    <x v="204"/>
    <x v="0"/>
    <x v="1"/>
    <s v="Vulnerability Scanning"/>
    <s v="Yes"/>
    <n v="1"/>
    <n v="0"/>
    <x v="2"/>
    <n v="15"/>
    <n v="0"/>
    <x v="24"/>
    <x v="1"/>
    <x v="1"/>
    <x v="51"/>
    <x v="61"/>
    <x v="61"/>
    <x v="48"/>
  </r>
  <r>
    <x v="214"/>
    <x v="205"/>
    <x v="205"/>
    <x v="0"/>
    <x v="1"/>
    <s v="Vulnerability Scanning"/>
    <s v="Yes"/>
    <n v="1"/>
    <n v="0"/>
    <x v="2"/>
    <n v="15"/>
    <n v="0"/>
    <x v="24"/>
    <x v="1"/>
    <x v="1"/>
    <x v="51"/>
    <x v="1"/>
    <x v="61"/>
    <x v="48"/>
  </r>
  <r>
    <x v="215"/>
    <x v="206"/>
    <x v="206"/>
    <x v="0"/>
    <x v="1"/>
    <s v="Vulnerability Scanning"/>
    <s v="Yes"/>
    <n v="1"/>
    <n v="0"/>
    <x v="2"/>
    <n v="20"/>
    <n v="0"/>
    <x v="27"/>
    <x v="1"/>
    <x v="31"/>
    <x v="52"/>
    <x v="62"/>
    <x v="61"/>
    <x v="49"/>
  </r>
  <r>
    <x v="216"/>
    <x v="207"/>
    <x v="207"/>
    <x v="0"/>
    <x v="0"/>
    <s v="Vulnerability Scanning"/>
    <s v="Yes"/>
    <n v="1"/>
    <n v="0"/>
    <x v="2"/>
    <n v="25"/>
    <n v="0"/>
    <x v="28"/>
    <x v="1"/>
    <x v="67"/>
    <x v="51"/>
    <x v="61"/>
    <x v="61"/>
    <x v="50"/>
  </r>
  <r>
    <x v="217"/>
    <x v="208"/>
    <x v="208"/>
    <x v="0"/>
    <x v="1"/>
    <s v="HIPAA"/>
    <s v="Yes"/>
    <n v="1"/>
    <n v="0"/>
    <x v="2"/>
    <n v="20"/>
    <n v="0"/>
    <x v="26"/>
    <x v="6"/>
    <x v="68"/>
    <x v="0"/>
    <x v="63"/>
    <x v="62"/>
    <x v="0"/>
  </r>
  <r>
    <x v="218"/>
    <x v="209"/>
    <x v="209"/>
    <x v="0"/>
    <x v="1"/>
    <s v="HIPAA"/>
    <s v="Yes"/>
    <n v="1"/>
    <n v="0"/>
    <x v="2"/>
    <n v="20"/>
    <n v="0"/>
    <x v="0"/>
    <x v="7"/>
    <x v="0"/>
    <x v="0"/>
    <x v="1"/>
    <x v="2"/>
    <x v="0"/>
  </r>
  <r>
    <x v="219"/>
    <x v="210"/>
    <x v="210"/>
    <x v="0"/>
    <x v="0"/>
    <s v="HIPAA"/>
    <s v="Yes"/>
    <n v="1"/>
    <n v="0"/>
    <x v="2"/>
    <n v="25"/>
    <n v="0"/>
    <x v="26"/>
    <x v="8"/>
    <x v="0"/>
    <x v="0"/>
    <x v="1"/>
    <x v="2"/>
    <x v="0"/>
  </r>
  <r>
    <x v="220"/>
    <x v="211"/>
    <x v="211"/>
    <x v="0"/>
    <x v="0"/>
    <s v="HIPAA"/>
    <s v="Yes"/>
    <n v="1"/>
    <n v="0"/>
    <x v="2"/>
    <n v="25"/>
    <n v="0"/>
    <x v="0"/>
    <x v="1"/>
    <x v="0"/>
    <x v="0"/>
    <x v="1"/>
    <x v="2"/>
    <x v="0"/>
  </r>
  <r>
    <x v="221"/>
    <x v="212"/>
    <x v="212"/>
    <x v="0"/>
    <x v="1"/>
    <s v="HIPAA"/>
    <s v="Yes"/>
    <n v="1"/>
    <n v="0"/>
    <x v="2"/>
    <n v="20"/>
    <n v="0"/>
    <x v="22"/>
    <x v="9"/>
    <x v="69"/>
    <x v="0"/>
    <x v="64"/>
    <x v="63"/>
    <x v="51"/>
  </r>
  <r>
    <x v="222"/>
    <x v="213"/>
    <x v="213"/>
    <x v="0"/>
    <x v="0"/>
    <s v="HIPAA"/>
    <s v="Yes"/>
    <n v="1"/>
    <n v="0"/>
    <x v="2"/>
    <n v="25"/>
    <n v="0"/>
    <x v="22"/>
    <x v="10"/>
    <x v="70"/>
    <x v="0"/>
    <x v="65"/>
    <x v="64"/>
    <x v="1"/>
  </r>
  <r>
    <x v="223"/>
    <x v="214"/>
    <x v="214"/>
    <x v="0"/>
    <x v="0"/>
    <s v="HIPAA"/>
    <s v="Yes"/>
    <n v="1"/>
    <n v="0"/>
    <x v="2"/>
    <n v="25"/>
    <n v="0"/>
    <x v="0"/>
    <x v="2"/>
    <x v="1"/>
    <x v="0"/>
    <x v="1"/>
    <x v="2"/>
    <x v="52"/>
  </r>
  <r>
    <x v="224"/>
    <x v="215"/>
    <x v="215"/>
    <x v="0"/>
    <x v="1"/>
    <s v="HIPAA"/>
    <s v="Yes"/>
    <n v="1"/>
    <n v="0"/>
    <x v="2"/>
    <n v="20"/>
    <n v="0"/>
    <x v="24"/>
    <x v="11"/>
    <x v="1"/>
    <x v="0"/>
    <x v="1"/>
    <x v="2"/>
    <x v="52"/>
  </r>
  <r>
    <x v="225"/>
    <x v="216"/>
    <x v="216"/>
    <x v="0"/>
    <x v="1"/>
    <s v="HIPAA"/>
    <s v="Yes"/>
    <n v="1"/>
    <n v="0"/>
    <x v="2"/>
    <n v="20"/>
    <n v="0"/>
    <x v="24"/>
    <x v="4"/>
    <x v="1"/>
    <x v="0"/>
    <x v="1"/>
    <x v="2"/>
    <x v="52"/>
  </r>
  <r>
    <x v="226"/>
    <x v="217"/>
    <x v="217"/>
    <x v="0"/>
    <x v="1"/>
    <s v="HIPAA"/>
    <s v="Yes"/>
    <n v="1"/>
    <n v="0"/>
    <x v="2"/>
    <n v="20"/>
    <n v="0"/>
    <x v="13"/>
    <x v="12"/>
    <x v="22"/>
    <x v="0"/>
    <x v="13"/>
    <x v="20"/>
    <x v="0"/>
  </r>
  <r>
    <x v="227"/>
    <x v="218"/>
    <x v="218"/>
    <x v="0"/>
    <x v="1"/>
    <s v="HIPAA"/>
    <s v="Yes"/>
    <n v="1"/>
    <n v="0"/>
    <x v="2"/>
    <n v="20"/>
    <n v="0"/>
    <x v="13"/>
    <x v="12"/>
    <x v="22"/>
    <x v="0"/>
    <x v="66"/>
    <x v="21"/>
    <x v="0"/>
  </r>
  <r>
    <x v="228"/>
    <x v="219"/>
    <x v="219"/>
    <x v="0"/>
    <x v="1"/>
    <s v="HIPAA"/>
    <s v="Yes"/>
    <n v="1"/>
    <n v="0"/>
    <x v="2"/>
    <n v="20"/>
    <n v="0"/>
    <x v="13"/>
    <x v="13"/>
    <x v="22"/>
    <x v="0"/>
    <x v="67"/>
    <x v="65"/>
    <x v="0"/>
  </r>
  <r>
    <x v="229"/>
    <x v="220"/>
    <x v="220"/>
    <x v="0"/>
    <x v="1"/>
    <s v="HIPAA"/>
    <s v="Yes"/>
    <n v="1"/>
    <n v="0"/>
    <x v="2"/>
    <n v="20"/>
    <n v="0"/>
    <x v="13"/>
    <x v="14"/>
    <x v="22"/>
    <x v="0"/>
    <x v="68"/>
    <x v="66"/>
    <x v="13"/>
  </r>
  <r>
    <x v="230"/>
    <x v="221"/>
    <x v="221"/>
    <x v="0"/>
    <x v="0"/>
    <s v="HIPAA"/>
    <s v="No"/>
    <n v="1"/>
    <n v="0"/>
    <x v="2"/>
    <n v="25"/>
    <n v="0"/>
    <x v="13"/>
    <x v="15"/>
    <x v="22"/>
    <x v="0"/>
    <x v="17"/>
    <x v="21"/>
    <x v="13"/>
  </r>
  <r>
    <x v="231"/>
    <x v="222"/>
    <x v="222"/>
    <x v="0"/>
    <x v="1"/>
    <s v="HIPAA"/>
    <s v="Yes"/>
    <n v="1"/>
    <n v="0"/>
    <x v="2"/>
    <n v="20"/>
    <n v="0"/>
    <x v="13"/>
    <x v="15"/>
    <x v="1"/>
    <x v="0"/>
    <x v="1"/>
    <x v="2"/>
    <x v="13"/>
  </r>
  <r>
    <x v="232"/>
    <x v="223"/>
    <x v="223"/>
    <x v="0"/>
    <x v="1"/>
    <s v="HIPAA"/>
    <s v="Yes"/>
    <n v="1"/>
    <n v="0"/>
    <x v="2"/>
    <n v="20"/>
    <n v="0"/>
    <x v="13"/>
    <x v="16"/>
    <x v="1"/>
    <x v="0"/>
    <x v="7"/>
    <x v="2"/>
    <x v="13"/>
  </r>
  <r>
    <x v="233"/>
    <x v="224"/>
    <x v="224"/>
    <x v="0"/>
    <x v="1"/>
    <s v="HIPAA"/>
    <s v="Yes"/>
    <n v="1"/>
    <n v="0"/>
    <x v="2"/>
    <n v="20"/>
    <n v="0"/>
    <x v="29"/>
    <x v="17"/>
    <x v="13"/>
    <x v="0"/>
    <x v="69"/>
    <x v="2"/>
    <x v="13"/>
  </r>
  <r>
    <x v="234"/>
    <x v="225"/>
    <x v="225"/>
    <x v="0"/>
    <x v="1"/>
    <s v="HIPAA"/>
    <s v="Yes"/>
    <n v="1"/>
    <n v="0"/>
    <x v="2"/>
    <n v="20"/>
    <n v="0"/>
    <x v="13"/>
    <x v="18"/>
    <x v="71"/>
    <x v="0"/>
    <x v="7"/>
    <x v="2"/>
    <x v="13"/>
  </r>
  <r>
    <x v="235"/>
    <x v="226"/>
    <x v="226"/>
    <x v="0"/>
    <x v="1"/>
    <s v="HIPAA"/>
    <s v="No"/>
    <n v="1"/>
    <n v="0"/>
    <x v="2"/>
    <n v="20"/>
    <n v="0"/>
    <x v="13"/>
    <x v="19"/>
    <x v="71"/>
    <x v="0"/>
    <x v="1"/>
    <x v="2"/>
    <x v="0"/>
  </r>
  <r>
    <x v="236"/>
    <x v="227"/>
    <x v="227"/>
    <x v="0"/>
    <x v="1"/>
    <s v="HIPAA"/>
    <s v="Yes"/>
    <n v="1"/>
    <n v="0"/>
    <x v="2"/>
    <n v="20"/>
    <n v="0"/>
    <x v="30"/>
    <x v="19"/>
    <x v="1"/>
    <x v="0"/>
    <x v="44"/>
    <x v="67"/>
    <x v="13"/>
  </r>
  <r>
    <x v="237"/>
    <x v="228"/>
    <x v="228"/>
    <x v="0"/>
    <x v="1"/>
    <s v="HIPAA"/>
    <s v="Yes"/>
    <n v="1"/>
    <n v="0"/>
    <x v="2"/>
    <n v="20"/>
    <n v="0"/>
    <x v="14"/>
    <x v="20"/>
    <x v="48"/>
    <x v="0"/>
    <x v="70"/>
    <x v="68"/>
    <x v="17"/>
  </r>
  <r>
    <x v="238"/>
    <x v="229"/>
    <x v="229"/>
    <x v="0"/>
    <x v="1"/>
    <s v="HIPAA"/>
    <s v="Yes"/>
    <n v="1"/>
    <n v="0"/>
    <x v="2"/>
    <n v="20"/>
    <n v="0"/>
    <x v="14"/>
    <x v="21"/>
    <x v="48"/>
    <x v="0"/>
    <x v="1"/>
    <x v="2"/>
    <x v="17"/>
  </r>
  <r>
    <x v="239"/>
    <x v="230"/>
    <x v="230"/>
    <x v="0"/>
    <x v="1"/>
    <s v="HIPAA"/>
    <s v="Yes"/>
    <n v="1"/>
    <n v="0"/>
    <x v="2"/>
    <n v="20"/>
    <n v="0"/>
    <x v="14"/>
    <x v="21"/>
    <x v="48"/>
    <x v="0"/>
    <x v="1"/>
    <x v="2"/>
    <x v="17"/>
  </r>
  <r>
    <x v="240"/>
    <x v="231"/>
    <x v="231"/>
    <x v="0"/>
    <x v="1"/>
    <s v="HIPAA"/>
    <s v="Yes"/>
    <n v="1"/>
    <n v="0"/>
    <x v="2"/>
    <n v="20"/>
    <n v="0"/>
    <x v="14"/>
    <x v="21"/>
    <x v="48"/>
    <x v="0"/>
    <x v="1"/>
    <x v="2"/>
    <x v="17"/>
  </r>
  <r>
    <x v="241"/>
    <x v="232"/>
    <x v="232"/>
    <x v="0"/>
    <x v="1"/>
    <s v="HIPAA"/>
    <s v="Yes"/>
    <n v="1"/>
    <n v="0"/>
    <x v="2"/>
    <n v="20"/>
    <n v="0"/>
    <x v="14"/>
    <x v="21"/>
    <x v="48"/>
    <x v="0"/>
    <x v="1"/>
    <x v="2"/>
    <x v="17"/>
  </r>
  <r>
    <x v="242"/>
    <x v="233"/>
    <x v="233"/>
    <x v="0"/>
    <x v="1"/>
    <s v="HIPAA"/>
    <s v="Yes"/>
    <n v="1"/>
    <n v="0"/>
    <x v="2"/>
    <n v="20"/>
    <n v="0"/>
    <x v="2"/>
    <x v="22"/>
    <x v="0"/>
    <x v="0"/>
    <x v="1"/>
    <x v="2"/>
    <x v="17"/>
  </r>
  <r>
    <x v="243"/>
    <x v="234"/>
    <x v="234"/>
    <x v="0"/>
    <x v="1"/>
    <s v="HIPAA"/>
    <s v="Yes"/>
    <n v="1"/>
    <n v="0"/>
    <x v="2"/>
    <n v="20"/>
    <n v="0"/>
    <x v="2"/>
    <x v="23"/>
    <x v="24"/>
    <x v="0"/>
    <x v="23"/>
    <x v="2"/>
    <x v="2"/>
  </r>
  <r>
    <x v="244"/>
    <x v="235"/>
    <x v="235"/>
    <x v="0"/>
    <x v="1"/>
    <s v="HIPAA"/>
    <s v="Yes"/>
    <n v="1"/>
    <n v="0"/>
    <x v="2"/>
    <n v="20"/>
    <n v="0"/>
    <x v="2"/>
    <x v="23"/>
    <x v="26"/>
    <x v="0"/>
    <x v="71"/>
    <x v="2"/>
    <x v="2"/>
  </r>
  <r>
    <x v="245"/>
    <x v="236"/>
    <x v="236"/>
    <x v="0"/>
    <x v="1"/>
    <s v="HIPAA"/>
    <s v="Yes"/>
    <n v="1"/>
    <n v="0"/>
    <x v="2"/>
    <n v="20"/>
    <n v="0"/>
    <x v="2"/>
    <x v="24"/>
    <x v="0"/>
    <x v="0"/>
    <x v="1"/>
    <x v="2"/>
    <x v="17"/>
  </r>
  <r>
    <x v="246"/>
    <x v="237"/>
    <x v="237"/>
    <x v="0"/>
    <x v="1"/>
    <s v="HIPAA"/>
    <s v="Yes"/>
    <n v="1"/>
    <n v="0"/>
    <x v="2"/>
    <n v="20"/>
    <n v="0"/>
    <x v="2"/>
    <x v="25"/>
    <x v="0"/>
    <x v="0"/>
    <x v="1"/>
    <x v="2"/>
    <x v="0"/>
  </r>
  <r>
    <x v="247"/>
    <x v="238"/>
    <x v="238"/>
    <x v="0"/>
    <x v="1"/>
    <s v="HIPAA"/>
    <s v="Yes"/>
    <n v="1"/>
    <n v="0"/>
    <x v="2"/>
    <n v="20"/>
    <n v="0"/>
    <x v="2"/>
    <x v="26"/>
    <x v="0"/>
    <x v="0"/>
    <x v="1"/>
    <x v="2"/>
    <x v="1"/>
  </r>
  <r>
    <x v="248"/>
    <x v="239"/>
    <x v="239"/>
    <x v="0"/>
    <x v="1"/>
    <s v="PCI DSS"/>
    <s v="No"/>
    <n v="1"/>
    <n v="0"/>
    <x v="2"/>
    <n v="15"/>
    <n v="0"/>
    <x v="2"/>
    <x v="1"/>
    <x v="0"/>
    <x v="0"/>
    <x v="1"/>
    <x v="2"/>
    <x v="1"/>
  </r>
  <r>
    <x v="249"/>
    <x v="240"/>
    <x v="240"/>
    <x v="0"/>
    <x v="1"/>
    <s v="PCI DSS"/>
    <s v="Yes"/>
    <n v="1"/>
    <n v="0"/>
    <x v="2"/>
    <n v="20"/>
    <n v="0"/>
    <x v="2"/>
    <x v="1"/>
    <x v="0"/>
    <x v="0"/>
    <x v="1"/>
    <x v="2"/>
    <x v="1"/>
  </r>
  <r>
    <x v="250"/>
    <x v="241"/>
    <x v="241"/>
    <x v="0"/>
    <x v="0"/>
    <s v="PCI DSS"/>
    <s v="Yes"/>
    <n v="1"/>
    <n v="0"/>
    <x v="2"/>
    <n v="25"/>
    <n v="0"/>
    <x v="2"/>
    <x v="1"/>
    <x v="0"/>
    <x v="0"/>
    <x v="1"/>
    <x v="2"/>
    <x v="1"/>
  </r>
  <r>
    <x v="251"/>
    <x v="242"/>
    <x v="242"/>
    <x v="0"/>
    <x v="1"/>
    <s v="PCI DSS"/>
    <s v="Yes"/>
    <n v="1"/>
    <n v="0"/>
    <x v="2"/>
    <n v="20"/>
    <n v="0"/>
    <x v="5"/>
    <x v="1"/>
    <x v="1"/>
    <x v="0"/>
    <x v="1"/>
    <x v="2"/>
    <x v="1"/>
  </r>
  <r>
    <x v="252"/>
    <x v="243"/>
    <x v="243"/>
    <x v="0"/>
    <x v="1"/>
    <s v="PCI DSS"/>
    <s v="Yes"/>
    <n v="1"/>
    <n v="0"/>
    <x v="2"/>
    <n v="20"/>
    <n v="0"/>
    <x v="5"/>
    <x v="1"/>
    <x v="1"/>
    <x v="0"/>
    <x v="1"/>
    <x v="2"/>
    <x v="1"/>
  </r>
  <r>
    <x v="253"/>
    <x v="244"/>
    <x v="244"/>
    <x v="0"/>
    <x v="0"/>
    <s v="PCI DSS"/>
    <s v="Yes"/>
    <n v="1"/>
    <n v="0"/>
    <x v="2"/>
    <n v="25"/>
    <n v="0"/>
    <x v="5"/>
    <x v="1"/>
    <x v="1"/>
    <x v="0"/>
    <x v="1"/>
    <x v="2"/>
    <x v="1"/>
  </r>
  <r>
    <x v="254"/>
    <x v="245"/>
    <x v="245"/>
    <x v="0"/>
    <x v="1"/>
    <s v="PCI DSS"/>
    <s v="Yes"/>
    <n v="1"/>
    <n v="0"/>
    <x v="2"/>
    <n v="20"/>
    <n v="0"/>
    <x v="31"/>
    <x v="1"/>
    <x v="1"/>
    <x v="0"/>
    <x v="1"/>
    <x v="2"/>
    <x v="5"/>
  </r>
  <r>
    <x v="255"/>
    <x v="246"/>
    <x v="246"/>
    <x v="0"/>
    <x v="1"/>
    <s v="PCI DSS"/>
    <s v="Yes"/>
    <n v="1"/>
    <n v="0"/>
    <x v="2"/>
    <n v="20"/>
    <n v="0"/>
    <x v="1"/>
    <x v="1"/>
    <x v="1"/>
    <x v="0"/>
    <x v="1"/>
    <x v="2"/>
    <x v="1"/>
  </r>
  <r>
    <x v="256"/>
    <x v="247"/>
    <x v="247"/>
    <x v="0"/>
    <x v="0"/>
    <s v="PCI DSS"/>
    <s v="Yes"/>
    <n v="1"/>
    <n v="0"/>
    <x v="2"/>
    <n v="25"/>
    <n v="0"/>
    <x v="2"/>
    <x v="1"/>
    <x v="1"/>
    <x v="0"/>
    <x v="1"/>
    <x v="2"/>
    <x v="1"/>
  </r>
  <r>
    <x v="257"/>
    <x v="248"/>
    <x v="248"/>
    <x v="0"/>
    <x v="1"/>
    <s v="PCI DSS"/>
    <s v="Yes"/>
    <n v="1"/>
    <n v="0"/>
    <x v="2"/>
    <n v="20"/>
    <n v="0"/>
    <x v="5"/>
    <x v="1"/>
    <x v="1"/>
    <x v="0"/>
    <x v="1"/>
    <x v="2"/>
    <x v="1"/>
  </r>
  <r>
    <x v="258"/>
    <x v="249"/>
    <x v="249"/>
    <x v="0"/>
    <x v="1"/>
    <s v="PCI DSS"/>
    <s v="No"/>
    <n v="1"/>
    <n v="0"/>
    <x v="2"/>
    <n v="20"/>
    <n v="0"/>
    <x v="32"/>
    <x v="1"/>
    <x v="1"/>
    <x v="0"/>
    <x v="1"/>
    <x v="2"/>
    <x v="1"/>
  </r>
  <r>
    <x v="259"/>
    <x v="250"/>
    <x v="250"/>
    <x v="0"/>
    <x v="1"/>
    <s v="PCI DSS"/>
    <s v="No"/>
    <n v="1"/>
    <n v="0"/>
    <x v="2"/>
    <n v="20"/>
    <n v="0"/>
    <x v="2"/>
    <x v="1"/>
    <x v="1"/>
    <x v="0"/>
    <x v="1"/>
    <x v="2"/>
    <x v="1"/>
  </r>
  <r>
    <x v="260"/>
    <x v="251"/>
    <x v="251"/>
    <x v="0"/>
    <x v="1"/>
    <s v="Company"/>
    <m/>
    <n v="1"/>
    <n v="0"/>
    <x v="2"/>
    <n v="10"/>
    <n v="0"/>
    <x v="5"/>
    <x v="1"/>
    <x v="1"/>
    <x v="1"/>
    <x v="1"/>
    <x v="2"/>
    <x v="1"/>
  </r>
  <r>
    <x v="261"/>
    <x v="252"/>
    <x v="252"/>
    <x v="0"/>
    <x v="1"/>
    <s v="Company"/>
    <m/>
    <n v="1"/>
    <n v="0"/>
    <x v="2"/>
    <n v="10"/>
    <n v="0"/>
    <x v="5"/>
    <x v="1"/>
    <x v="1"/>
    <x v="1"/>
    <x v="1"/>
    <x v="2"/>
    <x v="1"/>
  </r>
  <r>
    <x v="262"/>
    <x v="253"/>
    <x v="253"/>
    <x v="0"/>
    <x v="1"/>
    <s v="Company"/>
    <s v="Yes"/>
    <n v="1"/>
    <n v="0"/>
    <x v="2"/>
    <n v="10"/>
    <n v="0"/>
    <x v="5"/>
    <x v="1"/>
    <x v="4"/>
    <x v="1"/>
    <x v="1"/>
    <x v="2"/>
    <x v="1"/>
  </r>
  <r>
    <x v="263"/>
    <x v="254"/>
    <x v="254"/>
    <x v="0"/>
    <x v="0"/>
    <s v="Company"/>
    <s v="No"/>
    <n v="1"/>
    <n v="0"/>
    <x v="2"/>
    <n v="25"/>
    <n v="0"/>
    <x v="5"/>
    <x v="1"/>
    <x v="1"/>
    <x v="1"/>
    <x v="1"/>
    <x v="2"/>
    <x v="0"/>
  </r>
  <r>
    <x v="264"/>
    <x v="255"/>
    <x v="255"/>
    <x v="0"/>
    <x v="0"/>
    <s v="Company"/>
    <s v="Yes"/>
    <n v="1"/>
    <n v="0"/>
    <x v="2"/>
    <n v="25"/>
    <n v="0"/>
    <x v="5"/>
    <x v="1"/>
    <x v="4"/>
    <x v="1"/>
    <x v="1"/>
    <x v="2"/>
    <x v="53"/>
  </r>
  <r>
    <x v="265"/>
    <x v="256"/>
    <x v="256"/>
    <x v="0"/>
    <x v="1"/>
    <s v="Company"/>
    <s v="Yes"/>
    <n v="1"/>
    <n v="0"/>
    <x v="2"/>
    <n v="15"/>
    <n v="0"/>
    <x v="5"/>
    <x v="1"/>
    <x v="52"/>
    <x v="1"/>
    <x v="1"/>
    <x v="69"/>
    <x v="1"/>
  </r>
  <r>
    <x v="266"/>
    <x v="257"/>
    <x v="257"/>
    <x v="0"/>
    <x v="0"/>
    <s v="Company"/>
    <m/>
    <n v="1"/>
    <n v="0"/>
    <x v="2"/>
    <n v="25"/>
    <n v="0"/>
    <x v="5"/>
    <x v="1"/>
    <x v="4"/>
    <x v="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K93" firstHeaderRow="1" firstDataRow="1" firstDataCol="11" rowPageCount="2" colPageCount="1"/>
  <pivotFields count="19">
    <pivotField axis="axisRow" outline="0" showAll="0" defaultSubtotal="0">
      <items count="275">
        <item x="0"/>
        <item x="1"/>
        <item x="2"/>
        <item x="3"/>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m="1" x="274"/>
        <item x="4"/>
        <item m="1" x="273"/>
        <item m="1" x="272"/>
        <item m="1" x="271"/>
        <item m="1" x="270"/>
        <item m="1" x="269"/>
        <item m="1" x="268"/>
        <item m="1" x="267"/>
      </items>
    </pivotField>
    <pivotField axis="axisRow" outline="0" showAll="0" defaultSubtotal="0">
      <items count="277">
        <item x="43"/>
        <item x="44"/>
        <item x="45"/>
        <item x="46"/>
        <item x="47"/>
        <item x="48"/>
        <item x="49"/>
        <item x="50"/>
        <item x="51"/>
        <item x="52"/>
        <item x="53"/>
        <item x="54"/>
        <item x="55"/>
        <item x="56"/>
        <item x="57"/>
        <item x="58"/>
        <item x="59"/>
        <item x="26"/>
        <item x="27"/>
        <item x="28"/>
        <item x="29"/>
        <item x="30"/>
        <item x="31"/>
        <item x="32"/>
        <item x="33"/>
        <item x="34"/>
        <item x="35"/>
        <item x="36"/>
        <item x="37"/>
        <item x="38"/>
        <item x="39"/>
        <item x="40"/>
        <item x="41"/>
        <item x="42"/>
        <item m="1" x="276"/>
        <item x="60"/>
        <item x="61"/>
        <item x="62"/>
        <item x="63"/>
        <item x="64"/>
        <item x="65"/>
        <item x="67"/>
        <item x="68"/>
        <item x="69"/>
        <item x="70"/>
        <item x="71"/>
        <item x="72"/>
        <item x="73"/>
        <item x="74"/>
        <item x="75"/>
        <item x="76"/>
        <item x="77"/>
        <item x="78"/>
        <item x="79"/>
        <item x="80"/>
        <item x="81"/>
        <item x="82"/>
        <item x="83"/>
        <item x="84"/>
        <item x="85"/>
        <item x="86"/>
        <item x="19"/>
        <item x="20"/>
        <item x="21"/>
        <item x="22"/>
        <item x="23"/>
        <item x="25"/>
        <item m="1" x="259"/>
        <item x="87"/>
        <item x="88"/>
        <item x="89"/>
        <item x="90"/>
        <item x="91"/>
        <item x="92"/>
        <item x="93"/>
        <item x="94"/>
        <item x="95"/>
        <item x="96"/>
        <item x="97"/>
        <item x="98"/>
        <item x="99"/>
        <item x="100"/>
        <item x="101"/>
        <item x="102"/>
        <item x="103"/>
        <item x="104"/>
        <item m="1" x="268"/>
        <item x="105"/>
        <item x="106"/>
        <item x="107"/>
        <item x="108"/>
        <item x="109"/>
        <item x="110"/>
        <item x="111"/>
        <item x="112"/>
        <item x="113"/>
        <item m="1" x="264"/>
        <item x="114"/>
        <item x="115"/>
        <item x="116"/>
        <item x="117"/>
        <item x="118"/>
        <item x="119"/>
        <item m="1" x="266"/>
        <item m="1" x="267"/>
        <item x="120"/>
        <item x="121"/>
        <item x="122"/>
        <item m="1" x="260"/>
        <item x="123"/>
        <item x="124"/>
        <item x="125"/>
        <item x="126"/>
        <item x="127"/>
        <item m="1" x="262"/>
        <item x="128"/>
        <item x="129"/>
        <item x="130"/>
        <item x="8"/>
        <item x="9"/>
        <item x="10"/>
        <item x="11"/>
        <item x="12"/>
        <item x="13"/>
        <item x="131"/>
        <item x="132"/>
        <item x="133"/>
        <item x="134"/>
        <item x="135"/>
        <item m="1" x="261"/>
        <item x="136"/>
        <item x="137"/>
        <item x="138"/>
        <item x="139"/>
        <item m="1" x="273"/>
        <item x="140"/>
        <item x="141"/>
        <item m="1" x="274"/>
        <item x="142"/>
        <item x="143"/>
        <item x="144"/>
        <item x="145"/>
        <item x="146"/>
        <item x="147"/>
        <item x="148"/>
        <item x="149"/>
        <item x="150"/>
        <item x="151"/>
        <item x="152"/>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m="1" x="269"/>
        <item x="153"/>
        <item x="154"/>
        <item x="155"/>
        <item x="156"/>
        <item x="157"/>
        <item x="158"/>
        <item x="159"/>
        <item x="160"/>
        <item x="161"/>
        <item x="162"/>
        <item x="163"/>
        <item x="239"/>
        <item x="240"/>
        <item x="241"/>
        <item x="242"/>
        <item x="243"/>
        <item x="247"/>
        <item x="248"/>
        <item x="249"/>
        <item x="164"/>
        <item x="165"/>
        <item x="166"/>
        <item x="167"/>
        <item x="168"/>
        <item m="1" x="275"/>
        <item x="170"/>
        <item x="171"/>
        <item x="172"/>
        <item x="173"/>
        <item x="174"/>
        <item x="176"/>
        <item x="177"/>
        <item x="179"/>
        <item x="180"/>
        <item x="181"/>
        <item x="182"/>
        <item x="183"/>
        <item x="184"/>
        <item x="186"/>
        <item x="187"/>
        <item x="188"/>
        <item m="1" x="271"/>
        <item x="189"/>
        <item x="190"/>
        <item x="192"/>
        <item x="193"/>
        <item x="194"/>
        <item x="195"/>
        <item x="0"/>
        <item x="1"/>
        <item x="2"/>
        <item x="3"/>
        <item x="5"/>
        <item x="6"/>
        <item x="7"/>
        <item x="196"/>
        <item x="197"/>
        <item x="198"/>
        <item x="200"/>
        <item x="201"/>
        <item x="202"/>
        <item x="205"/>
        <item x="207"/>
        <item x="169"/>
        <item x="175"/>
        <item x="178"/>
        <item m="1" x="270"/>
        <item m="1" x="272"/>
        <item x="191"/>
        <item x="199"/>
        <item x="203"/>
        <item x="204"/>
        <item x="206"/>
        <item x="250"/>
        <item x="14"/>
        <item x="15"/>
        <item x="16"/>
        <item x="17"/>
        <item x="18"/>
        <item m="1" x="258"/>
        <item x="66"/>
        <item m="1" x="263"/>
        <item m="1" x="265"/>
        <item x="230"/>
        <item x="244"/>
        <item x="245"/>
        <item x="246"/>
        <item x="4"/>
        <item x="251"/>
        <item x="252"/>
        <item x="253"/>
        <item x="254"/>
        <item x="255"/>
        <item x="256"/>
        <item x="257"/>
        <item x="24"/>
        <item x="185"/>
      </items>
    </pivotField>
    <pivotField axis="axisRow" outline="0" showAll="0" defaultSubtotal="0">
      <items count="316">
        <item x="65"/>
        <item x="140"/>
        <item m="1" x="266"/>
        <item m="1" x="311"/>
        <item x="57"/>
        <item x="101"/>
        <item x="103"/>
        <item x="36"/>
        <item x="198"/>
        <item x="165"/>
        <item x="168"/>
        <item x="176"/>
        <item x="97"/>
        <item x="221"/>
        <item x="106"/>
        <item x="68"/>
        <item x="196"/>
        <item x="118"/>
        <item x="38"/>
        <item m="1" x="315"/>
        <item x="98"/>
        <item x="85"/>
        <item x="50"/>
        <item x="49"/>
        <item x="166"/>
        <item x="242"/>
        <item x="12"/>
        <item x="240"/>
        <item x="243"/>
        <item m="1" x="273"/>
        <item x="143"/>
        <item x="142"/>
        <item x="237"/>
        <item x="200"/>
        <item x="201"/>
        <item x="123"/>
        <item m="1" x="264"/>
        <item x="202"/>
        <item x="94"/>
        <item x="28"/>
        <item x="247"/>
        <item x="231"/>
        <item x="232"/>
        <item x="96"/>
        <item x="171"/>
        <item x="43"/>
        <item x="44"/>
        <item x="236"/>
        <item x="190"/>
        <item x="29"/>
        <item x="39"/>
        <item x="41"/>
        <item x="34"/>
        <item x="37"/>
        <item m="1" x="262"/>
        <item x="138"/>
        <item m="1" x="281"/>
        <item x="58"/>
        <item x="154"/>
        <item x="128"/>
        <item x="100"/>
        <item x="40"/>
        <item x="35"/>
        <item x="59"/>
        <item m="1" x="303"/>
        <item x="60"/>
        <item m="1" x="267"/>
        <item x="131"/>
        <item m="1" x="260"/>
        <item x="76"/>
        <item x="42"/>
        <item x="227"/>
        <item x="119"/>
        <item m="1" x="285"/>
        <item x="75"/>
        <item m="1" x="271"/>
        <item x="110"/>
        <item x="86"/>
        <item m="1" x="293"/>
        <item x="141"/>
        <item x="192"/>
        <item x="211"/>
        <item m="1" x="294"/>
        <item x="115"/>
        <item x="31"/>
        <item x="148"/>
        <item x="149"/>
        <item x="91"/>
        <item x="3"/>
        <item x="241"/>
        <item x="5"/>
        <item x="234"/>
        <item x="72"/>
        <item m="1" x="286"/>
        <item x="170"/>
        <item x="145"/>
        <item x="177"/>
        <item x="178"/>
        <item x="213"/>
        <item x="195"/>
        <item x="80"/>
        <item x="81"/>
        <item x="197"/>
        <item x="212"/>
        <item x="185"/>
        <item x="46"/>
        <item x="84"/>
        <item x="83"/>
        <item x="189"/>
        <item x="151"/>
        <item x="209"/>
        <item x="182"/>
        <item x="87"/>
        <item x="183"/>
        <item m="1" x="314"/>
        <item x="26"/>
        <item x="27"/>
        <item x="208"/>
        <item x="130"/>
        <item m="1" x="300"/>
        <item x="229"/>
        <item x="228"/>
        <item x="156"/>
        <item x="114"/>
        <item x="117"/>
        <item x="159"/>
        <item m="1" x="296"/>
        <item x="54"/>
        <item x="45"/>
        <item x="55"/>
        <item x="30"/>
        <item x="78"/>
        <item m="1" x="310"/>
        <item x="1"/>
        <item m="1" x="309"/>
        <item x="51"/>
        <item x="220"/>
        <item x="219"/>
        <item x="223"/>
        <item x="218"/>
        <item x="217"/>
        <item x="52"/>
        <item x="224"/>
        <item x="225"/>
        <item x="116"/>
        <item x="233"/>
        <item m="1" x="284"/>
        <item m="1" x="270"/>
        <item x="67"/>
        <item x="79"/>
        <item x="13"/>
        <item x="135"/>
        <item x="69"/>
        <item x="0"/>
        <item m="1" x="275"/>
        <item m="1" x="263"/>
        <item x="162"/>
        <item x="22"/>
        <item x="139"/>
        <item x="210"/>
        <item x="235"/>
        <item m="1" x="306"/>
        <item x="214"/>
        <item x="238"/>
        <item x="215"/>
        <item x="146"/>
        <item x="147"/>
        <item x="33"/>
        <item x="10"/>
        <item x="194"/>
        <item x="216"/>
        <item m="1" x="272"/>
        <item x="172"/>
        <item x="102"/>
        <item m="1" x="299"/>
        <item x="77"/>
        <item m="1" x="292"/>
        <item m="1" x="282"/>
        <item m="1" x="283"/>
        <item x="222"/>
        <item x="99"/>
        <item x="73"/>
        <item m="1" x="308"/>
        <item x="62"/>
        <item x="132"/>
        <item x="113"/>
        <item m="1" x="298"/>
        <item m="1" x="305"/>
        <item x="82"/>
        <item m="1" x="289"/>
        <item x="111"/>
        <item x="127"/>
        <item x="90"/>
        <item m="1" x="295"/>
        <item x="155"/>
        <item x="248"/>
        <item m="1" x="280"/>
        <item x="126"/>
        <item m="1" x="301"/>
        <item x="63"/>
        <item x="136"/>
        <item x="64"/>
        <item x="137"/>
        <item x="226"/>
        <item x="71"/>
        <item x="7"/>
        <item m="1" x="265"/>
        <item m="1" x="269"/>
        <item x="93"/>
        <item x="153"/>
        <item x="120"/>
        <item x="144"/>
        <item x="129"/>
        <item m="1" x="261"/>
        <item m="1" x="268"/>
        <item x="173"/>
        <item m="1" x="276"/>
        <item x="32"/>
        <item x="125"/>
        <item m="1" x="274"/>
        <item x="23"/>
        <item x="56"/>
        <item x="53"/>
        <item x="160"/>
        <item x="6"/>
        <item x="2"/>
        <item x="88"/>
        <item x="25"/>
        <item x="20"/>
        <item x="19"/>
        <item x="21"/>
        <item x="74"/>
        <item x="95"/>
        <item x="207"/>
        <item x="179"/>
        <item x="180"/>
        <item x="112"/>
        <item m="1" x="258"/>
        <item x="193"/>
        <item m="1" x="307"/>
        <item m="1" x="302"/>
        <item m="1" x="287"/>
        <item m="1" x="291"/>
        <item m="1" x="277"/>
        <item x="191"/>
        <item m="1" x="288"/>
        <item m="1" x="290"/>
        <item x="204"/>
        <item x="206"/>
        <item x="250"/>
        <item x="14"/>
        <item x="15"/>
        <item x="16"/>
        <item x="17"/>
        <item x="18"/>
        <item m="1" x="304"/>
        <item x="66"/>
        <item m="1" x="278"/>
        <item m="1" x="259"/>
        <item x="230"/>
        <item x="244"/>
        <item x="245"/>
        <item x="246"/>
        <item x="121"/>
        <item m="1" x="279"/>
        <item x="4"/>
        <item x="251"/>
        <item x="252"/>
        <item x="253"/>
        <item x="254"/>
        <item x="255"/>
        <item x="256"/>
        <item x="257"/>
        <item x="24"/>
        <item x="48"/>
        <item x="61"/>
        <item x="89"/>
        <item x="92"/>
        <item x="105"/>
        <item x="107"/>
        <item m="1" x="297"/>
        <item x="122"/>
        <item x="124"/>
        <item x="133"/>
        <item x="134"/>
        <item m="1" x="312"/>
        <item x="152"/>
        <item x="157"/>
        <item x="158"/>
        <item x="161"/>
        <item x="167"/>
        <item x="174"/>
        <item x="175"/>
        <item x="184"/>
        <item x="186"/>
        <item x="187"/>
        <item x="188"/>
        <item m="1" x="313"/>
        <item x="205"/>
        <item x="239"/>
        <item x="249"/>
        <item x="8"/>
        <item x="9"/>
        <item x="11"/>
        <item x="163"/>
        <item x="181"/>
        <item x="203"/>
        <item x="47"/>
        <item x="70"/>
        <item x="104"/>
        <item x="108"/>
        <item x="109"/>
        <item x="150"/>
        <item x="164"/>
        <item x="169"/>
        <item x="199"/>
      </items>
    </pivotField>
    <pivotField axis="axisRow" outline="0" showAll="0" defaultSubtotal="0">
      <items count="3">
        <item x="0"/>
        <item x="1"/>
        <item x="2"/>
      </items>
    </pivotField>
    <pivotField axis="axisPage" showAll="0" defaultSubtotal="0">
      <items count="3">
        <item x="1"/>
        <item x="0"/>
        <item x="2"/>
      </items>
    </pivotField>
    <pivotField showAll="0"/>
    <pivotField showAll="0"/>
    <pivotField showAll="0"/>
    <pivotField showAll="0"/>
    <pivotField axis="axisPage" showAll="0" defaultSubtotal="0">
      <items count="4">
        <item x="2"/>
        <item x="0"/>
        <item x="1"/>
        <item x="3"/>
      </items>
    </pivotField>
    <pivotField showAll="0"/>
    <pivotField showAll="0"/>
    <pivotField axis="axisRow" outline="0" showAll="0" defaultSubtotal="0">
      <items count="33">
        <item x="5"/>
        <item x="16"/>
        <item x="15"/>
        <item x="2"/>
        <item x="21"/>
        <item x="9"/>
        <item x="32"/>
        <item x="0"/>
        <item x="23"/>
        <item x="4"/>
        <item x="13"/>
        <item x="29"/>
        <item x="26"/>
        <item x="1"/>
        <item x="22"/>
        <item x="10"/>
        <item x="7"/>
        <item x="28"/>
        <item x="18"/>
        <item x="19"/>
        <item x="24"/>
        <item x="25"/>
        <item x="12"/>
        <item x="14"/>
        <item x="30"/>
        <item x="11"/>
        <item x="20"/>
        <item x="8"/>
        <item x="6"/>
        <item x="3"/>
        <item x="27"/>
        <item x="31"/>
        <item x="17"/>
      </items>
    </pivotField>
    <pivotField axis="axisRow" outline="0" showAll="0" defaultSubtotal="0">
      <items count="27">
        <item x="1"/>
        <item x="20"/>
        <item x="2"/>
        <item x="11"/>
        <item x="4"/>
        <item x="8"/>
        <item x="26"/>
        <item x="19"/>
        <item x="16"/>
        <item x="18"/>
        <item x="15"/>
        <item x="13"/>
        <item x="17"/>
        <item x="14"/>
        <item x="6"/>
        <item x="12"/>
        <item x="9"/>
        <item x="10"/>
        <item x="23"/>
        <item x="25"/>
        <item x="24"/>
        <item x="22"/>
        <item x="21"/>
        <item x="7"/>
        <item x="0"/>
        <item x="3"/>
        <item x="5"/>
      </items>
    </pivotField>
    <pivotField axis="axisRow" outline="0" showAll="0" defaultSubtotal="0">
      <items count="72">
        <item x="1"/>
        <item x="12"/>
        <item x="19"/>
        <item x="15"/>
        <item x="32"/>
        <item x="58"/>
        <item x="38"/>
        <item x="42"/>
        <item x="56"/>
        <item x="55"/>
        <item x="54"/>
        <item x="43"/>
        <item x="11"/>
        <item x="16"/>
        <item x="30"/>
        <item x="17"/>
        <item x="36"/>
        <item x="23"/>
        <item x="48"/>
        <item x="14"/>
        <item x="31"/>
        <item x="53"/>
        <item x="46"/>
        <item x="45"/>
        <item x="47"/>
        <item x="34"/>
        <item x="52"/>
        <item x="59"/>
        <item x="4"/>
        <item x="69"/>
        <item x="44"/>
        <item x="70"/>
        <item x="60"/>
        <item x="25"/>
        <item x="24"/>
        <item x="2"/>
        <item x="26"/>
        <item x="29"/>
        <item x="0"/>
        <item x="68"/>
        <item x="5"/>
        <item x="67"/>
        <item x="57"/>
        <item x="66"/>
        <item x="61"/>
        <item x="62"/>
        <item x="63"/>
        <item x="28"/>
        <item x="27"/>
        <item x="37"/>
        <item x="35"/>
        <item x="49"/>
        <item x="50"/>
        <item x="33"/>
        <item x="39"/>
        <item x="40"/>
        <item x="9"/>
        <item x="13"/>
        <item x="21"/>
        <item x="7"/>
        <item x="71"/>
        <item x="18"/>
        <item x="20"/>
        <item x="64"/>
        <item x="8"/>
        <item x="51"/>
        <item x="22"/>
        <item x="10"/>
        <item x="3"/>
        <item x="65"/>
        <item x="6"/>
        <item x="41"/>
      </items>
    </pivotField>
    <pivotField axis="axisRow" outline="0" showAll="0" defaultSubtotal="0">
      <items count="53">
        <item x="1"/>
        <item x="33"/>
        <item x="31"/>
        <item x="32"/>
        <item x="40"/>
        <item x="34"/>
        <item x="37"/>
        <item x="36"/>
        <item x="35"/>
        <item x="51"/>
        <item x="43"/>
        <item x="12"/>
        <item x="11"/>
        <item x="7"/>
        <item x="2"/>
        <item x="0"/>
        <item x="14"/>
        <item x="15"/>
        <item x="39"/>
        <item x="38"/>
        <item x="20"/>
        <item x="8"/>
        <item x="13"/>
        <item x="9"/>
        <item x="28"/>
        <item x="46"/>
        <item x="22"/>
        <item x="27"/>
        <item x="24"/>
        <item x="21"/>
        <item x="25"/>
        <item x="26"/>
        <item x="29"/>
        <item x="30"/>
        <item x="19"/>
        <item x="47"/>
        <item x="49"/>
        <item x="45"/>
        <item x="42"/>
        <item x="44"/>
        <item x="17"/>
        <item x="18"/>
        <item x="23"/>
        <item x="3"/>
        <item x="16"/>
        <item x="10"/>
        <item x="48"/>
        <item x="6"/>
        <item x="41"/>
        <item x="4"/>
        <item x="50"/>
        <item x="52"/>
        <item x="5"/>
      </items>
    </pivotField>
    <pivotField axis="axisRow" outline="0" showAll="0" defaultSubtotal="0">
      <items count="72">
        <item x="1"/>
        <item x="19"/>
        <item x="12"/>
        <item x="68"/>
        <item x="10"/>
        <item x="45"/>
        <item x="31"/>
        <item x="7"/>
        <item x="6"/>
        <item x="69"/>
        <item x="30"/>
        <item x="41"/>
        <item x="29"/>
        <item x="11"/>
        <item x="57"/>
        <item x="20"/>
        <item x="67"/>
        <item x="48"/>
        <item x="61"/>
        <item x="23"/>
        <item x="35"/>
        <item x="59"/>
        <item x="51"/>
        <item x="28"/>
        <item x="55"/>
        <item x="24"/>
        <item x="56"/>
        <item x="63"/>
        <item x="44"/>
        <item x="70"/>
        <item x="58"/>
        <item x="25"/>
        <item x="26"/>
        <item x="27"/>
        <item x="9"/>
        <item x="16"/>
        <item x="17"/>
        <item x="18"/>
        <item x="15"/>
        <item x="13"/>
        <item x="14"/>
        <item x="66"/>
        <item x="52"/>
        <item x="64"/>
        <item x="43"/>
        <item x="42"/>
        <item x="53"/>
        <item x="65"/>
        <item x="71"/>
        <item x="38"/>
        <item x="49"/>
        <item x="39"/>
        <item x="33"/>
        <item x="40"/>
        <item x="47"/>
        <item x="37"/>
        <item x="36"/>
        <item x="5"/>
        <item x="46"/>
        <item x="32"/>
        <item x="34"/>
        <item x="54"/>
        <item x="2"/>
        <item x="0"/>
        <item x="3"/>
        <item x="8"/>
        <item x="50"/>
        <item x="4"/>
        <item x="60"/>
        <item x="62"/>
        <item x="21"/>
        <item x="22"/>
      </items>
    </pivotField>
    <pivotField axis="axisRow" outline="0" showAll="0" defaultSubtotal="0">
      <items count="70">
        <item x="2"/>
        <item x="66"/>
        <item x="14"/>
        <item x="45"/>
        <item x="19"/>
        <item x="41"/>
        <item x="39"/>
        <item x="32"/>
        <item x="16"/>
        <item x="11"/>
        <item x="31"/>
        <item x="18"/>
        <item x="28"/>
        <item x="24"/>
        <item x="65"/>
        <item x="57"/>
        <item x="56"/>
        <item x="62"/>
        <item x="29"/>
        <item x="44"/>
        <item x="67"/>
        <item x="68"/>
        <item x="3"/>
        <item x="27"/>
        <item x="54"/>
        <item x="5"/>
        <item x="50"/>
        <item x="53"/>
        <item x="52"/>
        <item x="55"/>
        <item x="17"/>
        <item x="15"/>
        <item x="59"/>
        <item x="30"/>
        <item x="51"/>
        <item x="35"/>
        <item x="38"/>
        <item x="37"/>
        <item x="1"/>
        <item x="22"/>
        <item x="20"/>
        <item x="23"/>
        <item x="21"/>
        <item x="43"/>
        <item x="63"/>
        <item x="64"/>
        <item x="12"/>
        <item x="33"/>
        <item x="47"/>
        <item x="46"/>
        <item x="34"/>
        <item x="42"/>
        <item x="7"/>
        <item x="48"/>
        <item x="0"/>
        <item x="6"/>
        <item x="36"/>
        <item x="40"/>
        <item x="61"/>
        <item x="13"/>
        <item x="49"/>
        <item x="4"/>
        <item x="58"/>
        <item x="60"/>
        <item x="8"/>
        <item x="9"/>
        <item x="10"/>
        <item x="69"/>
        <item x="25"/>
        <item x="26"/>
      </items>
    </pivotField>
    <pivotField axis="axisRow" showAll="0" defaultSubtotal="0">
      <items count="54">
        <item x="0"/>
        <item x="29"/>
        <item x="10"/>
        <item x="33"/>
        <item x="38"/>
        <item x="17"/>
        <item x="48"/>
        <item x="30"/>
        <item x="31"/>
        <item x="2"/>
        <item x="52"/>
        <item x="46"/>
        <item x="43"/>
        <item x="1"/>
        <item x="28"/>
        <item x="32"/>
        <item x="15"/>
        <item x="49"/>
        <item x="50"/>
        <item x="23"/>
        <item x="47"/>
        <item x="20"/>
        <item x="21"/>
        <item x="45"/>
        <item x="34"/>
        <item x="6"/>
        <item x="51"/>
        <item x="42"/>
        <item x="24"/>
        <item x="22"/>
        <item x="35"/>
        <item x="37"/>
        <item x="44"/>
        <item x="26"/>
        <item x="9"/>
        <item x="25"/>
        <item x="11"/>
        <item x="14"/>
        <item x="41"/>
        <item x="39"/>
        <item x="40"/>
        <item x="19"/>
        <item x="18"/>
        <item x="36"/>
        <item x="8"/>
        <item x="12"/>
        <item x="13"/>
        <item x="27"/>
        <item x="5"/>
        <item x="4"/>
        <item x="7"/>
        <item x="3"/>
        <item x="53"/>
        <item x="16"/>
      </items>
    </pivotField>
  </pivotFields>
  <rowFields count="11">
    <field x="0"/>
    <field x="1"/>
    <field x="2"/>
    <field x="3"/>
    <field x="12"/>
    <field x="13"/>
    <field x="14"/>
    <field x="15"/>
    <field x="16"/>
    <field x="17"/>
    <field x="18"/>
  </rowFields>
  <rowItems count="89">
    <i>
      <x v="10"/>
      <x v="121"/>
      <x v="303"/>
      <x/>
      <x/>
      <x/>
      <x v="38"/>
      <x/>
      <x/>
      <x v="55"/>
      <x v="25"/>
    </i>
    <i>
      <x v="12"/>
      <x v="123"/>
      <x v="150"/>
      <x/>
      <x/>
      <x v="2"/>
      <x v="40"/>
      <x v="15"/>
      <x v="63"/>
      <x v="55"/>
      <x/>
    </i>
    <i>
      <x v="13"/>
      <x v="254"/>
      <x v="250"/>
      <x/>
      <x v="7"/>
      <x/>
      <x v="70"/>
      <x v="52"/>
      <x v="57"/>
      <x v="64"/>
      <x v="13"/>
    </i>
    <i>
      <x v="14"/>
      <x v="255"/>
      <x v="251"/>
      <x/>
      <x v="7"/>
      <x/>
      <x v="70"/>
      <x v="52"/>
      <x v="57"/>
      <x/>
      <x v="13"/>
    </i>
    <i>
      <x v="15"/>
      <x v="256"/>
      <x v="252"/>
      <x/>
      <x v="7"/>
      <x/>
      <x v="70"/>
      <x v="15"/>
      <x/>
      <x v="65"/>
      <x v="13"/>
    </i>
    <i>
      <x v="16"/>
      <x v="257"/>
      <x v="253"/>
      <x/>
      <x/>
      <x/>
      <x v="70"/>
      <x v="14"/>
      <x/>
      <x v="66"/>
      <x v="13"/>
    </i>
    <i>
      <x v="19"/>
      <x v="62"/>
      <x v="228"/>
      <x/>
      <x v="9"/>
      <x/>
      <x v="64"/>
      <x v="14"/>
      <x v="7"/>
      <x/>
      <x/>
    </i>
    <i>
      <x v="22"/>
      <x v="65"/>
      <x v="220"/>
      <x/>
      <x v="7"/>
      <x/>
      <x v="56"/>
      <x v="14"/>
      <x v="57"/>
      <x v="46"/>
      <x/>
    </i>
    <i>
      <x v="24"/>
      <x v="66"/>
      <x v="227"/>
      <x/>
      <x v="9"/>
      <x/>
      <x v="56"/>
      <x v="14"/>
      <x/>
      <x/>
      <x/>
    </i>
    <i>
      <x v="26"/>
      <x v="17"/>
      <x v="115"/>
      <x/>
      <x v="13"/>
      <x/>
      <x/>
      <x v="13"/>
      <x/>
      <x/>
      <x/>
    </i>
    <i>
      <x v="27"/>
      <x v="18"/>
      <x v="116"/>
      <x/>
      <x v="16"/>
      <x/>
      <x v="12"/>
      <x v="13"/>
      <x/>
      <x/>
      <x/>
    </i>
    <i>
      <x v="31"/>
      <x v="22"/>
      <x v="84"/>
      <x/>
      <x v="5"/>
      <x/>
      <x v="1"/>
      <x v="45"/>
      <x v="4"/>
      <x v="8"/>
      <x/>
    </i>
    <i>
      <x v="33"/>
      <x v="24"/>
      <x v="167"/>
      <x/>
      <x/>
      <x/>
      <x v="3"/>
      <x/>
      <x/>
      <x/>
      <x v="34"/>
    </i>
    <i>
      <x v="35"/>
      <x v="26"/>
      <x v="62"/>
      <x/>
      <x v="15"/>
      <x/>
      <x v="13"/>
      <x v="11"/>
      <x/>
      <x v="30"/>
      <x v="2"/>
    </i>
    <i>
      <x v="36"/>
      <x v="27"/>
      <x v="7"/>
      <x/>
      <x v="7"/>
      <x/>
      <x v="15"/>
      <x/>
      <x/>
      <x/>
      <x/>
    </i>
    <i>
      <x v="39"/>
      <x v="30"/>
      <x v="50"/>
      <x/>
      <x v="15"/>
      <x/>
      <x/>
      <x/>
      <x/>
      <x/>
      <x/>
    </i>
    <i>
      <x v="40"/>
      <x v="31"/>
      <x v="61"/>
      <x/>
      <x v="9"/>
      <x/>
      <x v="61"/>
      <x v="23"/>
      <x v="13"/>
      <x v="11"/>
      <x v="36"/>
    </i>
    <i>
      <x v="41"/>
      <x v="32"/>
      <x v="51"/>
      <x/>
      <x v="22"/>
      <x/>
      <x v="2"/>
      <x v="23"/>
      <x v="2"/>
      <x v="4"/>
      <x v="45"/>
    </i>
    <i>
      <x v="43"/>
      <x/>
      <x v="45"/>
      <x/>
      <x v="10"/>
      <x/>
      <x v="62"/>
      <x v="16"/>
      <x v="39"/>
      <x v="40"/>
      <x v="46"/>
    </i>
    <i>
      <x v="44"/>
      <x v="1"/>
      <x v="46"/>
      <x/>
      <x v="10"/>
      <x/>
      <x v="62"/>
      <x v="16"/>
      <x v="40"/>
      <x v="42"/>
      <x v="46"/>
    </i>
    <i>
      <x v="45"/>
      <x v="2"/>
      <x v="128"/>
      <x/>
      <x v="10"/>
      <x/>
      <x v="62"/>
      <x v="16"/>
      <x/>
      <x/>
      <x v="46"/>
    </i>
    <i>
      <x v="47"/>
      <x v="4"/>
      <x v="307"/>
      <x/>
      <x v="10"/>
      <x/>
      <x v="58"/>
      <x v="16"/>
      <x v="35"/>
      <x v="39"/>
      <x v="46"/>
    </i>
    <i>
      <x v="48"/>
      <x v="5"/>
      <x v="274"/>
      <x/>
      <x v="10"/>
      <x/>
      <x v="56"/>
      <x/>
      <x/>
      <x/>
      <x v="37"/>
    </i>
    <i>
      <x v="49"/>
      <x v="6"/>
      <x v="23"/>
      <x/>
      <x v="10"/>
      <x/>
      <x v="56"/>
      <x v="16"/>
      <x/>
      <x/>
      <x v="46"/>
    </i>
    <i>
      <x v="50"/>
      <x v="7"/>
      <x v="22"/>
      <x/>
      <x v="10"/>
      <x/>
      <x v="56"/>
      <x v="16"/>
      <x v="36"/>
      <x v="42"/>
      <x v="46"/>
    </i>
    <i>
      <x v="53"/>
      <x v="10"/>
      <x v="222"/>
      <x/>
      <x v="10"/>
      <x/>
      <x v="56"/>
      <x v="17"/>
      <x/>
      <x/>
      <x v="46"/>
    </i>
    <i>
      <x v="55"/>
      <x v="12"/>
      <x v="129"/>
      <x/>
      <x v="10"/>
      <x/>
      <x/>
      <x v="17"/>
      <x/>
      <x/>
      <x/>
    </i>
    <i>
      <x v="56"/>
      <x v="13"/>
      <x v="221"/>
      <x/>
      <x v="10"/>
      <x/>
      <x/>
      <x v="17"/>
      <x v="1"/>
      <x/>
      <x v="46"/>
    </i>
    <i>
      <x v="57"/>
      <x v="14"/>
      <x v="4"/>
      <x/>
      <x v="23"/>
      <x/>
      <x v="17"/>
      <x v="44"/>
      <x v="15"/>
      <x v="13"/>
      <x v="16"/>
    </i>
    <i>
      <x v="58"/>
      <x v="15"/>
      <x v="57"/>
      <x/>
      <x v="23"/>
      <x/>
      <x v="17"/>
      <x v="44"/>
      <x v="70"/>
      <x v="68"/>
      <x v="53"/>
    </i>
    <i>
      <x v="60"/>
      <x v="35"/>
      <x v="65"/>
      <x/>
      <x v="3"/>
      <x/>
      <x v="34"/>
      <x v="43"/>
      <x v="19"/>
      <x v="23"/>
      <x/>
    </i>
    <i>
      <x v="65"/>
      <x v="40"/>
      <x/>
      <x/>
      <x v="3"/>
      <x/>
      <x v="35"/>
      <x v="43"/>
      <x v="19"/>
      <x v="23"/>
      <x/>
    </i>
    <i>
      <x v="66"/>
      <x v="260"/>
      <x v="256"/>
      <x/>
      <x v="3"/>
      <x/>
      <x v="36"/>
      <x v="43"/>
      <x v="19"/>
      <x v="23"/>
      <x/>
    </i>
    <i>
      <x v="72"/>
      <x v="46"/>
      <x v="92"/>
      <x/>
      <x v="3"/>
      <x/>
      <x v="14"/>
      <x v="40"/>
      <x v="31"/>
      <x v="33"/>
      <x v="42"/>
    </i>
    <i>
      <x v="76"/>
      <x v="50"/>
      <x v="69"/>
      <x/>
      <x v="15"/>
      <x/>
      <x/>
      <x/>
      <x/>
      <x v="33"/>
      <x v="21"/>
    </i>
    <i>
      <x v="79"/>
      <x v="53"/>
      <x v="149"/>
      <x/>
      <x v="15"/>
      <x/>
      <x v="13"/>
      <x v="34"/>
      <x v="33"/>
      <x v="33"/>
      <x v="9"/>
    </i>
    <i>
      <x v="87"/>
      <x v="68"/>
      <x v="112"/>
      <x/>
      <x v="5"/>
      <x/>
      <x/>
      <x v="20"/>
      <x v="12"/>
      <x v="10"/>
      <x v="13"/>
    </i>
    <i>
      <x v="89"/>
      <x v="70"/>
      <x v="276"/>
      <x/>
      <x v="7"/>
      <x/>
      <x v="4"/>
      <x v="29"/>
      <x/>
      <x/>
      <x v="33"/>
    </i>
    <i>
      <x v="90"/>
      <x v="71"/>
      <x v="192"/>
      <x/>
      <x v="7"/>
      <x/>
      <x v="53"/>
      <x v="26"/>
      <x v="6"/>
      <x v="47"/>
      <x v="13"/>
    </i>
    <i>
      <x v="91"/>
      <x v="72"/>
      <x v="87"/>
      <x/>
      <x v="7"/>
      <x/>
      <x v="53"/>
      <x/>
      <x v="59"/>
      <x/>
      <x v="9"/>
    </i>
    <i>
      <x v="92"/>
      <x v="73"/>
      <x v="277"/>
      <x/>
      <x v="7"/>
      <x/>
      <x v="25"/>
      <x v="29"/>
      <x/>
      <x v="50"/>
      <x v="33"/>
    </i>
    <i>
      <x v="94"/>
      <x v="75"/>
      <x v="38"/>
      <x/>
      <x v="7"/>
      <x/>
      <x v="50"/>
      <x/>
      <x v="52"/>
      <x v="46"/>
      <x v="13"/>
    </i>
    <i>
      <x v="97"/>
      <x v="78"/>
      <x v="12"/>
      <x/>
      <x v="7"/>
      <x/>
      <x v="49"/>
      <x/>
      <x v="52"/>
      <x/>
      <x v="13"/>
    </i>
    <i>
      <x v="103"/>
      <x v="84"/>
      <x v="6"/>
      <x/>
      <x v="3"/>
      <x/>
      <x v="16"/>
      <x v="28"/>
      <x v="60"/>
      <x v="35"/>
      <x/>
    </i>
    <i>
      <x v="108"/>
      <x v="90"/>
      <x v="310"/>
      <x/>
      <x v="7"/>
      <x/>
      <x v="54"/>
      <x v="30"/>
      <x v="49"/>
      <x v="36"/>
      <x v="47"/>
    </i>
    <i>
      <x v="113"/>
      <x v="95"/>
      <x v="185"/>
      <x/>
      <x v="32"/>
      <x/>
      <x v="71"/>
      <x v="22"/>
      <x/>
      <x/>
      <x/>
    </i>
    <i>
      <x v="114"/>
      <x v="97"/>
      <x v="123"/>
      <x/>
      <x v="7"/>
      <x/>
      <x v="4"/>
      <x v="26"/>
      <x/>
      <x/>
      <x/>
    </i>
    <i>
      <x v="115"/>
      <x v="98"/>
      <x v="83"/>
      <x/>
      <x v="7"/>
      <x/>
      <x v="4"/>
      <x v="27"/>
      <x/>
      <x/>
      <x/>
    </i>
    <i>
      <x v="119"/>
      <x v="102"/>
      <x v="72"/>
      <x/>
      <x v="19"/>
      <x/>
      <x/>
      <x/>
      <x/>
      <x v="9"/>
      <x v="13"/>
    </i>
    <i>
      <x v="124"/>
      <x v="107"/>
      <x v="281"/>
      <x/>
      <x v="5"/>
      <x/>
      <x v="38"/>
      <x/>
      <x/>
      <x/>
      <x v="14"/>
    </i>
    <i>
      <x v="135"/>
      <x v="124"/>
      <x v="67"/>
      <x/>
      <x v="3"/>
      <x/>
      <x v="34"/>
      <x v="43"/>
      <x v="19"/>
      <x v="12"/>
      <x v="13"/>
    </i>
    <i>
      <x v="141"/>
      <x v="130"/>
      <x v="200"/>
      <x/>
      <x v="3"/>
      <x/>
      <x/>
      <x v="43"/>
      <x v="19"/>
      <x v="12"/>
      <x v="13"/>
    </i>
    <i>
      <x v="148"/>
      <x v="138"/>
      <x v="31"/>
      <x/>
      <x v="26"/>
      <x/>
      <x v="23"/>
      <x v="33"/>
      <x/>
      <x/>
      <x v="1"/>
    </i>
    <i>
      <x v="149"/>
      <x v="139"/>
      <x v="30"/>
      <x/>
      <x v="26"/>
      <x/>
      <x v="23"/>
      <x v="33"/>
      <x/>
      <x/>
      <x v="1"/>
    </i>
    <i>
      <x v="151"/>
      <x v="141"/>
      <x v="95"/>
      <x/>
      <x v="26"/>
      <x/>
      <x v="14"/>
      <x v="24"/>
      <x/>
      <x/>
      <x v="1"/>
    </i>
    <i>
      <x v="152"/>
      <x v="142"/>
      <x v="165"/>
      <x/>
      <x v="14"/>
      <x/>
      <x v="24"/>
      <x v="2"/>
      <x v="44"/>
      <x v="43"/>
      <x v="7"/>
    </i>
    <i>
      <x v="154"/>
      <x v="144"/>
      <x v="85"/>
      <x/>
      <x v="14"/>
      <x/>
      <x v="24"/>
      <x v="2"/>
      <x v="44"/>
      <x v="43"/>
      <x v="7"/>
    </i>
    <i>
      <x v="159"/>
      <x v="148"/>
      <x v="286"/>
      <x/>
      <x v="23"/>
      <x/>
      <x v="18"/>
      <x v="1"/>
      <x v="28"/>
      <x v="19"/>
      <x v="15"/>
    </i>
    <i>
      <x v="162"/>
      <x v="182"/>
      <x v="194"/>
      <x/>
      <x v="13"/>
      <x/>
      <x/>
      <x v="5"/>
      <x/>
      <x/>
      <x/>
    </i>
    <i>
      <x v="164"/>
      <x v="184"/>
      <x v="287"/>
      <x/>
      <x v="7"/>
      <x/>
      <x v="52"/>
      <x v="8"/>
      <x v="5"/>
      <x v="3"/>
      <x v="3"/>
    </i>
    <i>
      <x v="165"/>
      <x v="185"/>
      <x v="288"/>
      <x/>
      <x v="9"/>
      <x/>
      <x v="52"/>
      <x v="7"/>
      <x/>
      <x/>
      <x/>
    </i>
    <i>
      <x v="166"/>
      <x v="186"/>
      <x v="125"/>
      <x/>
      <x v="10"/>
      <x/>
      <x v="65"/>
      <x/>
      <x/>
      <x/>
      <x/>
    </i>
    <i>
      <x v="168"/>
      <x v="188"/>
      <x v="289"/>
      <x/>
      <x v="13"/>
      <x/>
      <x v="26"/>
      <x v="5"/>
      <x/>
      <x/>
      <x/>
    </i>
    <i>
      <x v="169"/>
      <x v="189"/>
      <x v="156"/>
      <x/>
      <x v="13"/>
      <x/>
      <x v="21"/>
      <x v="6"/>
      <x/>
      <x/>
      <x/>
    </i>
    <i>
      <x v="170"/>
      <x v="190"/>
      <x v="304"/>
      <x/>
      <x v="13"/>
      <x/>
      <x v="21"/>
      <x v="6"/>
      <x/>
      <x/>
      <x/>
    </i>
    <i>
      <x v="172"/>
      <x v="200"/>
      <x v="9"/>
      <x/>
      <x v="7"/>
      <x/>
      <x v="52"/>
      <x v="18"/>
      <x v="54"/>
      <x v="48"/>
      <x v="24"/>
    </i>
    <i>
      <x v="177"/>
      <x v="205"/>
      <x v="94"/>
      <x/>
      <x v="20"/>
      <x/>
      <x v="20"/>
      <x v="38"/>
      <x/>
      <x v="26"/>
      <x v="43"/>
    </i>
    <i>
      <x v="179"/>
      <x v="207"/>
      <x v="172"/>
      <x/>
      <x v="21"/>
      <x/>
      <x v="26"/>
      <x/>
      <x/>
      <x v="26"/>
      <x v="31"/>
    </i>
    <i>
      <x v="181"/>
      <x v="209"/>
      <x v="291"/>
      <x/>
      <x v="20"/>
      <x/>
      <x v="27"/>
      <x v="10"/>
      <x/>
      <x v="26"/>
      <x v="39"/>
    </i>
    <i>
      <x v="185"/>
      <x v="245"/>
      <x v="97"/>
      <x/>
      <x v="14"/>
      <x/>
      <x v="32"/>
      <x v="43"/>
      <x v="42"/>
      <x v="28"/>
      <x v="27"/>
    </i>
    <i>
      <x v="186"/>
      <x v="212"/>
      <x v="234"/>
      <x/>
      <x v="14"/>
      <x/>
      <x v="38"/>
      <x v="15"/>
      <x v="46"/>
      <x v="27"/>
      <x v="13"/>
    </i>
    <i>
      <x v="191"/>
      <x v="217"/>
      <x v="293"/>
      <x/>
      <x v="12"/>
      <x v="2"/>
      <x v="42"/>
      <x v="15"/>
      <x/>
      <x v="26"/>
      <x v="23"/>
    </i>
    <i>
      <x v="192"/>
      <x v="276"/>
      <x v="104"/>
      <x/>
      <x v="12"/>
      <x v="14"/>
      <x v="46"/>
      <x v="25"/>
      <x v="24"/>
      <x v="16"/>
      <x v="11"/>
    </i>
    <i>
      <x v="203"/>
      <x v="235"/>
      <x v="16"/>
      <x/>
      <x v="5"/>
      <x/>
      <x v="23"/>
      <x v="46"/>
      <x v="11"/>
      <x v="9"/>
      <x/>
    </i>
    <i>
      <x v="207"/>
      <x v="238"/>
      <x v="33"/>
      <x/>
      <x v="20"/>
      <x/>
      <x v="20"/>
      <x v="9"/>
      <x v="18"/>
      <x v="58"/>
      <x v="6"/>
    </i>
    <i>
      <x v="210"/>
      <x v="240"/>
      <x v="37"/>
      <x/>
      <x v="20"/>
      <x/>
      <x/>
      <x v="9"/>
      <x v="18"/>
      <x v="58"/>
      <x v="6"/>
    </i>
    <i>
      <x v="211"/>
      <x v="250"/>
      <x v="306"/>
      <x/>
      <x v="20"/>
      <x/>
      <x/>
      <x v="9"/>
      <x/>
      <x v="58"/>
      <x v="6"/>
    </i>
    <i>
      <x v="215"/>
      <x v="242"/>
      <x v="233"/>
      <x/>
      <x v="17"/>
      <x/>
      <x v="41"/>
      <x v="9"/>
      <x v="18"/>
      <x v="58"/>
      <x v="18"/>
    </i>
    <i>
      <x v="218"/>
      <x v="151"/>
      <x v="159"/>
      <x/>
      <x v="12"/>
      <x v="5"/>
      <x v="38"/>
      <x v="15"/>
      <x/>
      <x/>
      <x/>
    </i>
    <i>
      <x v="219"/>
      <x v="152"/>
      <x v="81"/>
      <x/>
      <x v="7"/>
      <x/>
      <x v="38"/>
      <x v="15"/>
      <x/>
      <x/>
      <x/>
    </i>
    <i>
      <x v="221"/>
      <x v="154"/>
      <x v="98"/>
      <x/>
      <x v="14"/>
      <x v="17"/>
      <x v="31"/>
      <x v="15"/>
      <x v="47"/>
      <x v="45"/>
      <x v="13"/>
    </i>
    <i>
      <x v="222"/>
      <x v="155"/>
      <x v="162"/>
      <x/>
      <x v="7"/>
      <x v="2"/>
      <x/>
      <x v="15"/>
      <x/>
      <x/>
      <x v="10"/>
    </i>
    <i>
      <x v="229"/>
      <x v="162"/>
      <x v="13"/>
      <x/>
      <x v="10"/>
      <x v="10"/>
      <x v="66"/>
      <x v="15"/>
      <x v="36"/>
      <x v="42"/>
      <x v="46"/>
    </i>
    <i>
      <x v="249"/>
      <x v="193"/>
      <x v="89"/>
      <x/>
      <x v="3"/>
      <x/>
      <x v="38"/>
      <x v="15"/>
      <x/>
      <x/>
      <x v="13"/>
    </i>
    <i>
      <x v="252"/>
      <x v="264"/>
      <x v="260"/>
      <x/>
      <x/>
      <x/>
      <x/>
      <x v="15"/>
      <x/>
      <x/>
      <x v="13"/>
    </i>
    <i>
      <x v="255"/>
      <x v="196"/>
      <x v="40"/>
      <x/>
      <x v="3"/>
      <x/>
      <x/>
      <x v="15"/>
      <x/>
      <x/>
      <x v="13"/>
    </i>
    <i>
      <x v="262"/>
      <x v="271"/>
      <x v="269"/>
      <x/>
      <x/>
      <x/>
      <x/>
      <x/>
      <x/>
      <x/>
      <x/>
    </i>
    <i>
      <x v="263"/>
      <x v="272"/>
      <x v="270"/>
      <x/>
      <x/>
      <x/>
      <x v="28"/>
      <x/>
      <x/>
      <x/>
      <x v="52"/>
    </i>
    <i>
      <x v="265"/>
      <x v="274"/>
      <x v="272"/>
      <x/>
      <x/>
      <x/>
      <x v="28"/>
      <x/>
      <x/>
      <x/>
      <x v="13"/>
    </i>
  </rowItems>
  <colItems count="1">
    <i/>
  </colItems>
  <pageFields count="2">
    <pageField fld="4" item="1" hier="-1"/>
    <pageField fld="9" item="0" hier="-1"/>
  </pageFields>
  <formats count="2390">
    <format dxfId="2579">
      <pivotArea type="all" dataOnly="0" outline="0" fieldPosition="0"/>
    </format>
    <format dxfId="2578">
      <pivotArea field="0" type="button" dataOnly="0" labelOnly="1" outline="0" axis="axisRow" fieldPosition="0"/>
    </format>
    <format dxfId="2577">
      <pivotArea dataOnly="0" labelOnly="1" outline="0" fieldPosition="0">
        <references count="1">
          <reference field="0" count="50">
            <x v="0"/>
            <x v="2"/>
            <x v="3"/>
            <x v="4"/>
            <x v="5"/>
            <x v="7"/>
            <x v="9"/>
            <x v="10"/>
            <x v="11"/>
            <x v="12"/>
            <x v="16"/>
            <x v="18"/>
            <x v="22"/>
            <x v="25"/>
            <x v="26"/>
            <x v="28"/>
            <x v="29"/>
            <x v="30"/>
            <x v="31"/>
            <x v="35"/>
            <x v="36"/>
            <x v="37"/>
            <x v="38"/>
            <x v="39"/>
            <x v="40"/>
            <x v="41"/>
            <x v="42"/>
            <x v="43"/>
            <x v="44"/>
            <x v="45"/>
            <x v="46"/>
            <x v="47"/>
            <x v="49"/>
            <x v="55"/>
            <x v="56"/>
            <x v="62"/>
            <x v="63"/>
            <x v="64"/>
            <x v="65"/>
            <x v="66"/>
            <x v="67"/>
            <x v="68"/>
            <x v="79"/>
            <x v="81"/>
            <x v="82"/>
            <x v="83"/>
            <x v="84"/>
            <x v="85"/>
            <x v="86"/>
            <x v="87"/>
          </reference>
        </references>
      </pivotArea>
    </format>
    <format dxfId="2576">
      <pivotArea dataOnly="0" labelOnly="1" outline="0" fieldPosition="0">
        <references count="1">
          <reference field="0" count="50">
            <x v="88"/>
            <x v="89"/>
            <x v="90"/>
            <x v="91"/>
            <x v="93"/>
            <x v="94"/>
            <x v="95"/>
            <x v="96"/>
            <x v="97"/>
            <x v="98"/>
            <x v="99"/>
            <x v="100"/>
            <x v="101"/>
            <x v="102"/>
            <x v="103"/>
            <x v="104"/>
            <x v="105"/>
            <x v="106"/>
            <x v="107"/>
            <x v="108"/>
            <x v="110"/>
            <x v="111"/>
            <x v="113"/>
            <x v="119"/>
            <x v="120"/>
            <x v="121"/>
            <x v="122"/>
            <x v="123"/>
            <x v="124"/>
            <x v="125"/>
            <x v="126"/>
            <x v="127"/>
            <x v="128"/>
            <x v="129"/>
            <x v="130"/>
            <x v="134"/>
            <x v="135"/>
            <x v="136"/>
            <x v="144"/>
            <x v="146"/>
            <x v="147"/>
            <x v="148"/>
            <x v="149"/>
            <x v="150"/>
            <x v="151"/>
            <x v="152"/>
            <x v="153"/>
            <x v="154"/>
            <x v="155"/>
            <x v="159"/>
          </reference>
        </references>
      </pivotArea>
    </format>
    <format dxfId="2575">
      <pivotArea dataOnly="0" labelOnly="1" outline="0" fieldPosition="0">
        <references count="1">
          <reference field="0" count="50">
            <x v="160"/>
            <x v="161"/>
            <x v="162"/>
            <x v="164"/>
            <x v="165"/>
            <x v="166"/>
            <x v="167"/>
            <x v="168"/>
            <x v="171"/>
            <x v="172"/>
            <x v="173"/>
            <x v="175"/>
            <x v="176"/>
            <x v="177"/>
            <x v="178"/>
            <x v="179"/>
            <x v="180"/>
            <x v="181"/>
            <x v="182"/>
            <x v="183"/>
            <x v="184"/>
            <x v="185"/>
            <x v="186"/>
            <x v="187"/>
            <x v="188"/>
            <x v="189"/>
            <x v="192"/>
            <x v="193"/>
            <x v="197"/>
            <x v="199"/>
            <x v="200"/>
            <x v="201"/>
            <x v="204"/>
            <x v="206"/>
            <x v="207"/>
            <x v="208"/>
            <x v="209"/>
            <x v="210"/>
            <x v="211"/>
            <x v="212"/>
            <x v="214"/>
            <x v="215"/>
            <x v="216"/>
            <x v="217"/>
            <x v="218"/>
            <x v="219"/>
            <x v="220"/>
            <x v="221"/>
            <x v="223"/>
            <x v="224"/>
          </reference>
        </references>
      </pivotArea>
    </format>
    <format dxfId="2574">
      <pivotArea dataOnly="0" labelOnly="1" outline="0" fieldPosition="0">
        <references count="1">
          <reference field="0" count="18">
            <x v="225"/>
            <x v="226"/>
            <x v="227"/>
            <x v="228"/>
            <x v="229"/>
            <x v="230"/>
            <x v="231"/>
            <x v="232"/>
            <x v="233"/>
            <x v="234"/>
            <x v="235"/>
            <x v="236"/>
            <x v="237"/>
            <x v="238"/>
            <x v="239"/>
            <x v="240"/>
            <x v="241"/>
            <x v="242"/>
          </reference>
        </references>
      </pivotArea>
    </format>
    <format dxfId="2573">
      <pivotArea dataOnly="0" labelOnly="1" grandRow="1" outline="0" fieldPosition="0"/>
    </format>
    <format dxfId="2572">
      <pivotArea dataOnly="0" labelOnly="1" outline="0" fieldPosition="0">
        <references count="2">
          <reference field="0" count="1" selected="0">
            <x v="0"/>
          </reference>
          <reference field="1" count="1">
            <x v="228"/>
          </reference>
        </references>
      </pivotArea>
    </format>
    <format dxfId="2571">
      <pivotArea dataOnly="0" labelOnly="1" outline="0" fieldPosition="0">
        <references count="2">
          <reference field="0" count="1" selected="0">
            <x v="2"/>
          </reference>
          <reference field="1" count="1">
            <x v="230"/>
          </reference>
        </references>
      </pivotArea>
    </format>
    <format dxfId="2570">
      <pivotArea dataOnly="0" labelOnly="1" outline="0" fieldPosition="0">
        <references count="2">
          <reference field="0" count="1" selected="0">
            <x v="3"/>
          </reference>
          <reference field="1" count="1">
            <x v="231"/>
          </reference>
        </references>
      </pivotArea>
    </format>
    <format dxfId="2569">
      <pivotArea dataOnly="0" labelOnly="1" outline="0" fieldPosition="0">
        <references count="2">
          <reference field="0" count="1" selected="0">
            <x v="4"/>
          </reference>
          <reference field="1" count="1">
            <x v="232"/>
          </reference>
        </references>
      </pivotArea>
    </format>
    <format dxfId="2568">
      <pivotArea dataOnly="0" labelOnly="1" outline="0" fieldPosition="0">
        <references count="2">
          <reference field="0" count="1" selected="0">
            <x v="5"/>
          </reference>
          <reference field="1" count="1">
            <x v="233"/>
          </reference>
        </references>
      </pivotArea>
    </format>
    <format dxfId="2567">
      <pivotArea dataOnly="0" labelOnly="1" outline="0" fieldPosition="0">
        <references count="2">
          <reference field="0" count="1" selected="0">
            <x v="7"/>
          </reference>
          <reference field="1" count="1">
            <x v="118"/>
          </reference>
        </references>
      </pivotArea>
    </format>
    <format dxfId="2566">
      <pivotArea dataOnly="0" labelOnly="1" outline="0" fieldPosition="0">
        <references count="2">
          <reference field="0" count="1" selected="0">
            <x v="9"/>
          </reference>
          <reference field="1" count="1">
            <x v="120"/>
          </reference>
        </references>
      </pivotArea>
    </format>
    <format dxfId="2565">
      <pivotArea dataOnly="0" labelOnly="1" outline="0" fieldPosition="0">
        <references count="2">
          <reference field="0" count="1" selected="0">
            <x v="10"/>
          </reference>
          <reference field="1" count="1">
            <x v="121"/>
          </reference>
        </references>
      </pivotArea>
    </format>
    <format dxfId="2564">
      <pivotArea dataOnly="0" labelOnly="1" outline="0" fieldPosition="0">
        <references count="2">
          <reference field="0" count="1" selected="0">
            <x v="11"/>
          </reference>
          <reference field="1" count="1">
            <x v="122"/>
          </reference>
        </references>
      </pivotArea>
    </format>
    <format dxfId="2563">
      <pivotArea dataOnly="0" labelOnly="1" outline="0" fieldPosition="0">
        <references count="2">
          <reference field="0" count="1" selected="0">
            <x v="12"/>
          </reference>
          <reference field="1" count="1">
            <x v="123"/>
          </reference>
        </references>
      </pivotArea>
    </format>
    <format dxfId="2562">
      <pivotArea dataOnly="0" labelOnly="1" outline="0" fieldPosition="0">
        <references count="2">
          <reference field="0" count="1" selected="0">
            <x v="16"/>
          </reference>
          <reference field="1" count="1">
            <x v="64"/>
          </reference>
        </references>
      </pivotArea>
    </format>
    <format dxfId="2561">
      <pivotArea dataOnly="0" labelOnly="1" outline="0" fieldPosition="0">
        <references count="2">
          <reference field="0" count="1" selected="0">
            <x v="18"/>
          </reference>
          <reference field="1" count="1">
            <x v="66"/>
          </reference>
        </references>
      </pivotArea>
    </format>
    <format dxfId="2560">
      <pivotArea dataOnly="0" labelOnly="1" outline="0" fieldPosition="0">
        <references count="2">
          <reference field="0" count="1" selected="0">
            <x v="22"/>
          </reference>
          <reference field="1" count="1">
            <x v="19"/>
          </reference>
        </references>
      </pivotArea>
    </format>
    <format dxfId="2559">
      <pivotArea dataOnly="0" labelOnly="1" outline="0" fieldPosition="0">
        <references count="2">
          <reference field="0" count="1" selected="0">
            <x v="25"/>
          </reference>
          <reference field="1" count="1">
            <x v="22"/>
          </reference>
        </references>
      </pivotArea>
    </format>
    <format dxfId="2558">
      <pivotArea dataOnly="0" labelOnly="1" outline="0" fieldPosition="0">
        <references count="2">
          <reference field="0" count="1" selected="0">
            <x v="26"/>
          </reference>
          <reference field="1" count="1">
            <x v="23"/>
          </reference>
        </references>
      </pivotArea>
    </format>
    <format dxfId="2557">
      <pivotArea dataOnly="0" labelOnly="1" outline="0" fieldPosition="0">
        <references count="2">
          <reference field="0" count="1" selected="0">
            <x v="28"/>
          </reference>
          <reference field="1" count="1">
            <x v="25"/>
          </reference>
        </references>
      </pivotArea>
    </format>
    <format dxfId="2556">
      <pivotArea dataOnly="0" labelOnly="1" outline="0" fieldPosition="0">
        <references count="2">
          <reference field="0" count="1" selected="0">
            <x v="29"/>
          </reference>
          <reference field="1" count="1">
            <x v="26"/>
          </reference>
        </references>
      </pivotArea>
    </format>
    <format dxfId="2555">
      <pivotArea dataOnly="0" labelOnly="1" outline="0" fieldPosition="0">
        <references count="2">
          <reference field="0" count="1" selected="0">
            <x v="30"/>
          </reference>
          <reference field="1" count="1">
            <x v="27"/>
          </reference>
        </references>
      </pivotArea>
    </format>
    <format dxfId="2554">
      <pivotArea dataOnly="0" labelOnly="1" outline="0" fieldPosition="0">
        <references count="2">
          <reference field="0" count="1" selected="0">
            <x v="31"/>
          </reference>
          <reference field="1" count="1">
            <x v="28"/>
          </reference>
        </references>
      </pivotArea>
    </format>
    <format dxfId="2553">
      <pivotArea dataOnly="0" labelOnly="1" outline="0" fieldPosition="0">
        <references count="2">
          <reference field="0" count="1" selected="0">
            <x v="35"/>
          </reference>
          <reference field="1" count="1">
            <x v="32"/>
          </reference>
        </references>
      </pivotArea>
    </format>
    <format dxfId="2552">
      <pivotArea dataOnly="0" labelOnly="1" outline="0" fieldPosition="0">
        <references count="2">
          <reference field="0" count="1" selected="0">
            <x v="36"/>
          </reference>
          <reference field="1" count="1">
            <x v="33"/>
          </reference>
        </references>
      </pivotArea>
    </format>
    <format dxfId="2551">
      <pivotArea dataOnly="0" labelOnly="1" outline="0" fieldPosition="0">
        <references count="2">
          <reference field="0" count="1" selected="0">
            <x v="37"/>
          </reference>
          <reference field="1" count="1">
            <x v="34"/>
          </reference>
        </references>
      </pivotArea>
    </format>
    <format dxfId="2550">
      <pivotArea dataOnly="0" labelOnly="1" outline="0" fieldPosition="0">
        <references count="2">
          <reference field="0" count="1" selected="0">
            <x v="38"/>
          </reference>
          <reference field="1" count="1">
            <x v="0"/>
          </reference>
        </references>
      </pivotArea>
    </format>
    <format dxfId="2549">
      <pivotArea dataOnly="0" labelOnly="1" outline="0" fieldPosition="0">
        <references count="2">
          <reference field="0" count="1" selected="0">
            <x v="39"/>
          </reference>
          <reference field="1" count="1">
            <x v="1"/>
          </reference>
        </references>
      </pivotArea>
    </format>
    <format dxfId="2548">
      <pivotArea dataOnly="0" labelOnly="1" outline="0" fieldPosition="0">
        <references count="2">
          <reference field="0" count="1" selected="0">
            <x v="40"/>
          </reference>
          <reference field="1" count="1">
            <x v="2"/>
          </reference>
        </references>
      </pivotArea>
    </format>
    <format dxfId="2547">
      <pivotArea dataOnly="0" labelOnly="1" outline="0" fieldPosition="0">
        <references count="2">
          <reference field="0" count="1" selected="0">
            <x v="41"/>
          </reference>
          <reference field="1" count="1">
            <x v="3"/>
          </reference>
        </references>
      </pivotArea>
    </format>
    <format dxfId="2546">
      <pivotArea dataOnly="0" labelOnly="1" outline="0" fieldPosition="0">
        <references count="2">
          <reference field="0" count="1" selected="0">
            <x v="42"/>
          </reference>
          <reference field="1" count="1">
            <x v="4"/>
          </reference>
        </references>
      </pivotArea>
    </format>
    <format dxfId="2545">
      <pivotArea dataOnly="0" labelOnly="1" outline="0" fieldPosition="0">
        <references count="2">
          <reference field="0" count="1" selected="0">
            <x v="43"/>
          </reference>
          <reference field="1" count="1">
            <x v="5"/>
          </reference>
        </references>
      </pivotArea>
    </format>
    <format dxfId="2544">
      <pivotArea dataOnly="0" labelOnly="1" outline="0" fieldPosition="0">
        <references count="2">
          <reference field="0" count="1" selected="0">
            <x v="44"/>
          </reference>
          <reference field="1" count="1">
            <x v="6"/>
          </reference>
        </references>
      </pivotArea>
    </format>
    <format dxfId="2543">
      <pivotArea dataOnly="0" labelOnly="1" outline="0" fieldPosition="0">
        <references count="2">
          <reference field="0" count="1" selected="0">
            <x v="45"/>
          </reference>
          <reference field="1" count="1">
            <x v="7"/>
          </reference>
        </references>
      </pivotArea>
    </format>
    <format dxfId="2542">
      <pivotArea dataOnly="0" labelOnly="1" outline="0" fieldPosition="0">
        <references count="2">
          <reference field="0" count="1" selected="0">
            <x v="46"/>
          </reference>
          <reference field="1" count="1">
            <x v="8"/>
          </reference>
        </references>
      </pivotArea>
    </format>
    <format dxfId="2541">
      <pivotArea dataOnly="0" labelOnly="1" outline="0" fieldPosition="0">
        <references count="2">
          <reference field="0" count="1" selected="0">
            <x v="47"/>
          </reference>
          <reference field="1" count="1">
            <x v="9"/>
          </reference>
        </references>
      </pivotArea>
    </format>
    <format dxfId="2540">
      <pivotArea dataOnly="0" labelOnly="1" outline="0" fieldPosition="0">
        <references count="2">
          <reference field="0" count="1" selected="0">
            <x v="49"/>
          </reference>
          <reference field="1" count="1">
            <x v="11"/>
          </reference>
        </references>
      </pivotArea>
    </format>
    <format dxfId="2539">
      <pivotArea dataOnly="0" labelOnly="1" outline="0" fieldPosition="0">
        <references count="2">
          <reference field="0" count="1" selected="0">
            <x v="55"/>
          </reference>
          <reference field="1" count="1">
            <x v="35"/>
          </reference>
        </references>
      </pivotArea>
    </format>
    <format dxfId="2538">
      <pivotArea dataOnly="0" labelOnly="1" outline="0" fieldPosition="0">
        <references count="2">
          <reference field="0" count="1" selected="0">
            <x v="56"/>
          </reference>
          <reference field="1" count="1">
            <x v="36"/>
          </reference>
        </references>
      </pivotArea>
    </format>
    <format dxfId="2537">
      <pivotArea dataOnly="0" labelOnly="1" outline="0" fieldPosition="0">
        <references count="2">
          <reference field="0" count="1" selected="0">
            <x v="62"/>
          </reference>
          <reference field="1" count="1">
            <x v="42"/>
          </reference>
        </references>
      </pivotArea>
    </format>
    <format dxfId="2536">
      <pivotArea dataOnly="0" labelOnly="1" outline="0" fieldPosition="0">
        <references count="2">
          <reference field="0" count="1" selected="0">
            <x v="63"/>
          </reference>
          <reference field="1" count="1">
            <x v="43"/>
          </reference>
        </references>
      </pivotArea>
    </format>
    <format dxfId="2535">
      <pivotArea dataOnly="0" labelOnly="1" outline="0" fieldPosition="0">
        <references count="2">
          <reference field="0" count="1" selected="0">
            <x v="64"/>
          </reference>
          <reference field="1" count="1">
            <x v="44"/>
          </reference>
        </references>
      </pivotArea>
    </format>
    <format dxfId="2534">
      <pivotArea dataOnly="0" labelOnly="1" outline="0" fieldPosition="0">
        <references count="2">
          <reference field="0" count="1" selected="0">
            <x v="65"/>
          </reference>
          <reference field="1" count="1">
            <x v="45"/>
          </reference>
        </references>
      </pivotArea>
    </format>
    <format dxfId="2533">
      <pivotArea dataOnly="0" labelOnly="1" outline="0" fieldPosition="0">
        <references count="2">
          <reference field="0" count="1" selected="0">
            <x v="66"/>
          </reference>
          <reference field="1" count="1">
            <x v="46"/>
          </reference>
        </references>
      </pivotArea>
    </format>
    <format dxfId="2532">
      <pivotArea dataOnly="0" labelOnly="1" outline="0" fieldPosition="0">
        <references count="2">
          <reference field="0" count="1" selected="0">
            <x v="67"/>
          </reference>
          <reference field="1" count="1">
            <x v="47"/>
          </reference>
        </references>
      </pivotArea>
    </format>
    <format dxfId="2531">
      <pivotArea dataOnly="0" labelOnly="1" outline="0" fieldPosition="0">
        <references count="2">
          <reference field="0" count="1" selected="0">
            <x v="68"/>
          </reference>
          <reference field="1" count="1">
            <x v="48"/>
          </reference>
        </references>
      </pivotArea>
    </format>
    <format dxfId="2530">
      <pivotArea dataOnly="0" labelOnly="1" outline="0" fieldPosition="0">
        <references count="2">
          <reference field="0" count="1" selected="0">
            <x v="79"/>
          </reference>
          <reference field="1" count="1">
            <x v="59"/>
          </reference>
        </references>
      </pivotArea>
    </format>
    <format dxfId="2529">
      <pivotArea dataOnly="0" labelOnly="1" outline="0" fieldPosition="0">
        <references count="2">
          <reference field="0" count="1" selected="0">
            <x v="81"/>
          </reference>
          <reference field="1" count="1">
            <x v="68"/>
          </reference>
        </references>
      </pivotArea>
    </format>
    <format dxfId="2528">
      <pivotArea dataOnly="0" labelOnly="1" outline="0" fieldPosition="0">
        <references count="2">
          <reference field="0" count="1" selected="0">
            <x v="82"/>
          </reference>
          <reference field="1" count="1">
            <x v="69"/>
          </reference>
        </references>
      </pivotArea>
    </format>
    <format dxfId="2527">
      <pivotArea dataOnly="0" labelOnly="1" outline="0" fieldPosition="0">
        <references count="2">
          <reference field="0" count="1" selected="0">
            <x v="83"/>
          </reference>
          <reference field="1" count="1">
            <x v="70"/>
          </reference>
        </references>
      </pivotArea>
    </format>
    <format dxfId="2526">
      <pivotArea dataOnly="0" labelOnly="1" outline="0" fieldPosition="0">
        <references count="2">
          <reference field="0" count="1" selected="0">
            <x v="84"/>
          </reference>
          <reference field="1" count="1">
            <x v="71"/>
          </reference>
        </references>
      </pivotArea>
    </format>
    <format dxfId="2525">
      <pivotArea dataOnly="0" labelOnly="1" outline="0" fieldPosition="0">
        <references count="2">
          <reference field="0" count="1" selected="0">
            <x v="85"/>
          </reference>
          <reference field="1" count="1">
            <x v="72"/>
          </reference>
        </references>
      </pivotArea>
    </format>
    <format dxfId="2524">
      <pivotArea dataOnly="0" labelOnly="1" outline="0" fieldPosition="0">
        <references count="2">
          <reference field="0" count="1" selected="0">
            <x v="86"/>
          </reference>
          <reference field="1" count="1">
            <x v="73"/>
          </reference>
        </references>
      </pivotArea>
    </format>
    <format dxfId="2523">
      <pivotArea dataOnly="0" labelOnly="1" outline="0" fieldPosition="0">
        <references count="2">
          <reference field="0" count="1" selected="0">
            <x v="87"/>
          </reference>
          <reference field="1" count="1">
            <x v="74"/>
          </reference>
        </references>
      </pivotArea>
    </format>
    <format dxfId="2522">
      <pivotArea dataOnly="0" labelOnly="1" outline="0" fieldPosition="0">
        <references count="2">
          <reference field="0" count="1" selected="0">
            <x v="88"/>
          </reference>
          <reference field="1" count="1">
            <x v="75"/>
          </reference>
        </references>
      </pivotArea>
    </format>
    <format dxfId="2521">
      <pivotArea dataOnly="0" labelOnly="1" outline="0" fieldPosition="0">
        <references count="2">
          <reference field="0" count="1" selected="0">
            <x v="89"/>
          </reference>
          <reference field="1" count="1">
            <x v="76"/>
          </reference>
        </references>
      </pivotArea>
    </format>
    <format dxfId="2520">
      <pivotArea dataOnly="0" labelOnly="1" outline="0" fieldPosition="0">
        <references count="2">
          <reference field="0" count="1" selected="0">
            <x v="90"/>
          </reference>
          <reference field="1" count="1">
            <x v="77"/>
          </reference>
        </references>
      </pivotArea>
    </format>
    <format dxfId="2519">
      <pivotArea dataOnly="0" labelOnly="1" outline="0" fieldPosition="0">
        <references count="2">
          <reference field="0" count="1" selected="0">
            <x v="91"/>
          </reference>
          <reference field="1" count="1">
            <x v="78"/>
          </reference>
        </references>
      </pivotArea>
    </format>
    <format dxfId="2518">
      <pivotArea dataOnly="0" labelOnly="1" outline="0" fieldPosition="0">
        <references count="2">
          <reference field="0" count="1" selected="0">
            <x v="93"/>
          </reference>
          <reference field="1" count="1">
            <x v="80"/>
          </reference>
        </references>
      </pivotArea>
    </format>
    <format dxfId="2517">
      <pivotArea dataOnly="0" labelOnly="1" outline="0" fieldPosition="0">
        <references count="2">
          <reference field="0" count="1" selected="0">
            <x v="94"/>
          </reference>
          <reference field="1" count="1">
            <x v="81"/>
          </reference>
        </references>
      </pivotArea>
    </format>
    <format dxfId="2516">
      <pivotArea dataOnly="0" labelOnly="1" outline="0" fieldPosition="0">
        <references count="2">
          <reference field="0" count="1" selected="0">
            <x v="95"/>
          </reference>
          <reference field="1" count="1">
            <x v="82"/>
          </reference>
        </references>
      </pivotArea>
    </format>
    <format dxfId="2515">
      <pivotArea dataOnly="0" labelOnly="1" outline="0" fieldPosition="0">
        <references count="2">
          <reference field="0" count="1" selected="0">
            <x v="96"/>
          </reference>
          <reference field="1" count="1">
            <x v="83"/>
          </reference>
        </references>
      </pivotArea>
    </format>
    <format dxfId="2514">
      <pivotArea dataOnly="0" labelOnly="1" outline="0" fieldPosition="0">
        <references count="2">
          <reference field="0" count="1" selected="0">
            <x v="97"/>
          </reference>
          <reference field="1" count="1">
            <x v="84"/>
          </reference>
        </references>
      </pivotArea>
    </format>
    <format dxfId="2513">
      <pivotArea dataOnly="0" labelOnly="1" outline="0" fieldPosition="0">
        <references count="2">
          <reference field="0" count="1" selected="0">
            <x v="98"/>
          </reference>
          <reference field="1" count="1">
            <x v="85"/>
          </reference>
        </references>
      </pivotArea>
    </format>
    <format dxfId="2512">
      <pivotArea dataOnly="0" labelOnly="1" outline="0" fieldPosition="0">
        <references count="2">
          <reference field="0" count="1" selected="0">
            <x v="99"/>
          </reference>
          <reference field="1" count="1">
            <x v="86"/>
          </reference>
        </references>
      </pivotArea>
    </format>
    <format dxfId="2511">
      <pivotArea dataOnly="0" labelOnly="1" outline="0" fieldPosition="0">
        <references count="2">
          <reference field="0" count="1" selected="0">
            <x v="100"/>
          </reference>
          <reference field="1" count="1">
            <x v="87"/>
          </reference>
        </references>
      </pivotArea>
    </format>
    <format dxfId="2510">
      <pivotArea dataOnly="0" labelOnly="1" outline="0" fieldPosition="0">
        <references count="2">
          <reference field="0" count="1" selected="0">
            <x v="101"/>
          </reference>
          <reference field="1" count="1">
            <x v="88"/>
          </reference>
        </references>
      </pivotArea>
    </format>
    <format dxfId="2509">
      <pivotArea dataOnly="0" labelOnly="1" outline="0" fieldPosition="0">
        <references count="2">
          <reference field="0" count="1" selected="0">
            <x v="102"/>
          </reference>
          <reference field="1" count="1">
            <x v="89"/>
          </reference>
        </references>
      </pivotArea>
    </format>
    <format dxfId="2508">
      <pivotArea dataOnly="0" labelOnly="1" outline="0" fieldPosition="0">
        <references count="2">
          <reference field="0" count="1" selected="0">
            <x v="103"/>
          </reference>
          <reference field="1" count="1">
            <x v="90"/>
          </reference>
        </references>
      </pivotArea>
    </format>
    <format dxfId="2507">
      <pivotArea dataOnly="0" labelOnly="1" outline="0" fieldPosition="0">
        <references count="2">
          <reference field="0" count="1" selected="0">
            <x v="104"/>
          </reference>
          <reference field="1" count="1">
            <x v="91"/>
          </reference>
        </references>
      </pivotArea>
    </format>
    <format dxfId="2506">
      <pivotArea dataOnly="0" labelOnly="1" outline="0" fieldPosition="0">
        <references count="2">
          <reference field="0" count="1" selected="0">
            <x v="105"/>
          </reference>
          <reference field="1" count="1">
            <x v="92"/>
          </reference>
        </references>
      </pivotArea>
    </format>
    <format dxfId="2505">
      <pivotArea dataOnly="0" labelOnly="1" outline="0" fieldPosition="0">
        <references count="2">
          <reference field="0" count="1" selected="0">
            <x v="106"/>
          </reference>
          <reference field="1" count="1">
            <x v="93"/>
          </reference>
        </references>
      </pivotArea>
    </format>
    <format dxfId="2504">
      <pivotArea dataOnly="0" labelOnly="1" outline="0" fieldPosition="0">
        <references count="2">
          <reference field="0" count="1" selected="0">
            <x v="107"/>
          </reference>
          <reference field="1" count="1">
            <x v="94"/>
          </reference>
        </references>
      </pivotArea>
    </format>
    <format dxfId="2503">
      <pivotArea dataOnly="0" labelOnly="1" outline="0" fieldPosition="0">
        <references count="2">
          <reference field="0" count="1" selected="0">
            <x v="108"/>
          </reference>
          <reference field="1" count="1">
            <x v="95"/>
          </reference>
        </references>
      </pivotArea>
    </format>
    <format dxfId="2502">
      <pivotArea dataOnly="0" labelOnly="1" outline="0" fieldPosition="0">
        <references count="2">
          <reference field="0" count="1" selected="0">
            <x v="110"/>
          </reference>
          <reference field="1" count="1">
            <x v="97"/>
          </reference>
        </references>
      </pivotArea>
    </format>
    <format dxfId="2501">
      <pivotArea dataOnly="0" labelOnly="1" outline="0" fieldPosition="0">
        <references count="2">
          <reference field="0" count="1" selected="0">
            <x v="111"/>
          </reference>
          <reference field="1" count="1">
            <x v="98"/>
          </reference>
        </references>
      </pivotArea>
    </format>
    <format dxfId="2500">
      <pivotArea dataOnly="0" labelOnly="1" outline="0" fieldPosition="0">
        <references count="2">
          <reference field="0" count="1" selected="0">
            <x v="113"/>
          </reference>
          <reference field="1" count="1">
            <x v="100"/>
          </reference>
        </references>
      </pivotArea>
    </format>
    <format dxfId="2499">
      <pivotArea dataOnly="0" labelOnly="1" outline="0" fieldPosition="0">
        <references count="2">
          <reference field="0" count="1" selected="0">
            <x v="119"/>
          </reference>
          <reference field="1" count="1">
            <x v="106"/>
          </reference>
        </references>
      </pivotArea>
    </format>
    <format dxfId="2498">
      <pivotArea dataOnly="0" labelOnly="1" outline="0" fieldPosition="0">
        <references count="2">
          <reference field="0" count="1" selected="0">
            <x v="120"/>
          </reference>
          <reference field="1" count="1">
            <x v="107"/>
          </reference>
        </references>
      </pivotArea>
    </format>
    <format dxfId="2497">
      <pivotArea dataOnly="0" labelOnly="1" outline="0" fieldPosition="0">
        <references count="2">
          <reference field="0" count="1" selected="0">
            <x v="121"/>
          </reference>
          <reference field="1" count="1">
            <x v="108"/>
          </reference>
        </references>
      </pivotArea>
    </format>
    <format dxfId="2496">
      <pivotArea dataOnly="0" labelOnly="1" outline="0" fieldPosition="0">
        <references count="2">
          <reference field="0" count="1" selected="0">
            <x v="122"/>
          </reference>
          <reference field="1" count="1">
            <x v="109"/>
          </reference>
        </references>
      </pivotArea>
    </format>
    <format dxfId="2495">
      <pivotArea dataOnly="0" labelOnly="1" outline="0" fieldPosition="0">
        <references count="2">
          <reference field="0" count="1" selected="0">
            <x v="123"/>
          </reference>
          <reference field="1" count="1">
            <x v="110"/>
          </reference>
        </references>
      </pivotArea>
    </format>
    <format dxfId="2494">
      <pivotArea dataOnly="0" labelOnly="1" outline="0" fieldPosition="0">
        <references count="2">
          <reference field="0" count="1" selected="0">
            <x v="124"/>
          </reference>
          <reference field="1" count="1">
            <x v="111"/>
          </reference>
        </references>
      </pivotArea>
    </format>
    <format dxfId="2493">
      <pivotArea dataOnly="0" labelOnly="1" outline="0" fieldPosition="0">
        <references count="2">
          <reference field="0" count="1" selected="0">
            <x v="125"/>
          </reference>
          <reference field="1" count="1">
            <x v="112"/>
          </reference>
        </references>
      </pivotArea>
    </format>
    <format dxfId="2492">
      <pivotArea dataOnly="0" labelOnly="1" outline="0" fieldPosition="0">
        <references count="2">
          <reference field="0" count="1" selected="0">
            <x v="126"/>
          </reference>
          <reference field="1" count="1">
            <x v="113"/>
          </reference>
        </references>
      </pivotArea>
    </format>
    <format dxfId="2491">
      <pivotArea dataOnly="0" labelOnly="1" outline="0" fieldPosition="0">
        <references count="2">
          <reference field="0" count="1" selected="0">
            <x v="127"/>
          </reference>
          <reference field="1" count="1">
            <x v="114"/>
          </reference>
        </references>
      </pivotArea>
    </format>
    <format dxfId="2490">
      <pivotArea dataOnly="0" labelOnly="1" outline="0" fieldPosition="0">
        <references count="2">
          <reference field="0" count="1" selected="0">
            <x v="128"/>
          </reference>
          <reference field="1" count="1">
            <x v="115"/>
          </reference>
        </references>
      </pivotArea>
    </format>
    <format dxfId="2489">
      <pivotArea dataOnly="0" labelOnly="1" outline="0" fieldPosition="0">
        <references count="2">
          <reference field="0" count="1" selected="0">
            <x v="129"/>
          </reference>
          <reference field="1" count="1">
            <x v="116"/>
          </reference>
        </references>
      </pivotArea>
    </format>
    <format dxfId="2488">
      <pivotArea dataOnly="0" labelOnly="1" outline="0" fieldPosition="0">
        <references count="2">
          <reference field="0" count="1" selected="0">
            <x v="130"/>
          </reference>
          <reference field="1" count="1">
            <x v="117"/>
          </reference>
        </references>
      </pivotArea>
    </format>
    <format dxfId="2487">
      <pivotArea dataOnly="0" labelOnly="1" outline="0" fieldPosition="0">
        <references count="2">
          <reference field="0" count="1" selected="0">
            <x v="134"/>
          </reference>
          <reference field="1" count="1">
            <x v="127"/>
          </reference>
        </references>
      </pivotArea>
    </format>
    <format dxfId="2486">
      <pivotArea dataOnly="0" labelOnly="1" outline="0" fieldPosition="0">
        <references count="2">
          <reference field="0" count="1" selected="0">
            <x v="135"/>
          </reference>
          <reference field="1" count="1">
            <x v="128"/>
          </reference>
        </references>
      </pivotArea>
    </format>
    <format dxfId="2485">
      <pivotArea dataOnly="0" labelOnly="1" outline="0" fieldPosition="0">
        <references count="2">
          <reference field="0" count="1" selected="0">
            <x v="136"/>
          </reference>
          <reference field="1" count="1">
            <x v="129"/>
          </reference>
        </references>
      </pivotArea>
    </format>
    <format dxfId="2484">
      <pivotArea dataOnly="0" labelOnly="1" outline="0" fieldPosition="0">
        <references count="2">
          <reference field="0" count="1" selected="0">
            <x v="144"/>
          </reference>
          <reference field="1" count="1">
            <x v="137"/>
          </reference>
        </references>
      </pivotArea>
    </format>
    <format dxfId="2483">
      <pivotArea dataOnly="0" labelOnly="1" outline="0" fieldPosition="0">
        <references count="2">
          <reference field="0" count="1" selected="0">
            <x v="146"/>
          </reference>
          <reference field="1" count="1">
            <x v="139"/>
          </reference>
        </references>
      </pivotArea>
    </format>
    <format dxfId="2482">
      <pivotArea dataOnly="0" labelOnly="1" outline="0" fieldPosition="0">
        <references count="2">
          <reference field="0" count="1" selected="0">
            <x v="147"/>
          </reference>
          <reference field="1" count="1">
            <x v="140"/>
          </reference>
        </references>
      </pivotArea>
    </format>
    <format dxfId="2481">
      <pivotArea dataOnly="0" labelOnly="1" outline="0" fieldPosition="0">
        <references count="2">
          <reference field="0" count="1" selected="0">
            <x v="148"/>
          </reference>
          <reference field="1" count="1">
            <x v="141"/>
          </reference>
        </references>
      </pivotArea>
    </format>
    <format dxfId="2480">
      <pivotArea dataOnly="0" labelOnly="1" outline="0" fieldPosition="0">
        <references count="2">
          <reference field="0" count="1" selected="0">
            <x v="149"/>
          </reference>
          <reference field="1" count="1">
            <x v="142"/>
          </reference>
        </references>
      </pivotArea>
    </format>
    <format dxfId="2479">
      <pivotArea dataOnly="0" labelOnly="1" outline="0" fieldPosition="0">
        <references count="2">
          <reference field="0" count="1" selected="0">
            <x v="150"/>
          </reference>
          <reference field="1" count="1">
            <x v="143"/>
          </reference>
        </references>
      </pivotArea>
    </format>
    <format dxfId="2478">
      <pivotArea dataOnly="0" labelOnly="1" outline="0" fieldPosition="0">
        <references count="2">
          <reference field="0" count="1" selected="0">
            <x v="151"/>
          </reference>
          <reference field="1" count="1">
            <x v="144"/>
          </reference>
        </references>
      </pivotArea>
    </format>
    <format dxfId="2477">
      <pivotArea dataOnly="0" labelOnly="1" outline="0" fieldPosition="0">
        <references count="2">
          <reference field="0" count="1" selected="0">
            <x v="152"/>
          </reference>
          <reference field="1" count="1">
            <x v="145"/>
          </reference>
        </references>
      </pivotArea>
    </format>
    <format dxfId="2476">
      <pivotArea dataOnly="0" labelOnly="1" outline="0" fieldPosition="0">
        <references count="2">
          <reference field="0" count="1" selected="0">
            <x v="153"/>
          </reference>
          <reference field="1" count="1">
            <x v="146"/>
          </reference>
        </references>
      </pivotArea>
    </format>
    <format dxfId="2475">
      <pivotArea dataOnly="0" labelOnly="1" outline="0" fieldPosition="0">
        <references count="2">
          <reference field="0" count="1" selected="0">
            <x v="154"/>
          </reference>
          <reference field="1" count="1">
            <x v="147"/>
          </reference>
        </references>
      </pivotArea>
    </format>
    <format dxfId="2474">
      <pivotArea dataOnly="0" labelOnly="1" outline="0" fieldPosition="0">
        <references count="2">
          <reference field="0" count="1" selected="0">
            <x v="155"/>
          </reference>
          <reference field="1" count="1">
            <x v="148"/>
          </reference>
        </references>
      </pivotArea>
    </format>
    <format dxfId="2473">
      <pivotArea dataOnly="0" labelOnly="1" outline="0" fieldPosition="0">
        <references count="2">
          <reference field="0" count="1" selected="0">
            <x v="159"/>
          </reference>
          <reference field="1" count="1">
            <x v="183"/>
          </reference>
        </references>
      </pivotArea>
    </format>
    <format dxfId="2472">
      <pivotArea dataOnly="0" labelOnly="1" outline="0" fieldPosition="0">
        <references count="2">
          <reference field="0" count="1" selected="0">
            <x v="160"/>
          </reference>
          <reference field="1" count="1">
            <x v="184"/>
          </reference>
        </references>
      </pivotArea>
    </format>
    <format dxfId="2471">
      <pivotArea dataOnly="0" labelOnly="1" outline="0" fieldPosition="0">
        <references count="2">
          <reference field="0" count="1" selected="0">
            <x v="161"/>
          </reference>
          <reference field="1" count="1">
            <x v="185"/>
          </reference>
        </references>
      </pivotArea>
    </format>
    <format dxfId="2470">
      <pivotArea dataOnly="0" labelOnly="1" outline="0" fieldPosition="0">
        <references count="2">
          <reference field="0" count="1" selected="0">
            <x v="162"/>
          </reference>
          <reference field="1" count="1">
            <x v="186"/>
          </reference>
        </references>
      </pivotArea>
    </format>
    <format dxfId="2469">
      <pivotArea dataOnly="0" labelOnly="1" outline="0" fieldPosition="0">
        <references count="2">
          <reference field="0" count="1" selected="0">
            <x v="164"/>
          </reference>
          <reference field="1" count="1">
            <x v="188"/>
          </reference>
        </references>
      </pivotArea>
    </format>
    <format dxfId="2468">
      <pivotArea dataOnly="0" labelOnly="1" outline="0" fieldPosition="0">
        <references count="2">
          <reference field="0" count="1" selected="0">
            <x v="165"/>
          </reference>
          <reference field="1" count="1">
            <x v="189"/>
          </reference>
        </references>
      </pivotArea>
    </format>
    <format dxfId="2467">
      <pivotArea dataOnly="0" labelOnly="1" outline="0" fieldPosition="0">
        <references count="2">
          <reference field="0" count="1" selected="0">
            <x v="166"/>
          </reference>
          <reference field="1" count="1">
            <x v="190"/>
          </reference>
        </references>
      </pivotArea>
    </format>
    <format dxfId="2466">
      <pivotArea dataOnly="0" labelOnly="1" outline="0" fieldPosition="0">
        <references count="2">
          <reference field="0" count="1" selected="0">
            <x v="167"/>
          </reference>
          <reference field="1" count="1">
            <x v="199"/>
          </reference>
        </references>
      </pivotArea>
    </format>
    <format dxfId="2465">
      <pivotArea dataOnly="0" labelOnly="1" outline="0" fieldPosition="0">
        <references count="2">
          <reference field="0" count="1" selected="0">
            <x v="168"/>
          </reference>
          <reference field="1" count="1">
            <x v="200"/>
          </reference>
        </references>
      </pivotArea>
    </format>
    <format dxfId="2464">
      <pivotArea dataOnly="0" labelOnly="1" outline="0" fieldPosition="0">
        <references count="2">
          <reference field="0" count="1" selected="0">
            <x v="171"/>
          </reference>
          <reference field="1" count="1">
            <x v="203"/>
          </reference>
        </references>
      </pivotArea>
    </format>
    <format dxfId="2463">
      <pivotArea dataOnly="0" labelOnly="1" outline="0" fieldPosition="0">
        <references count="2">
          <reference field="0" count="1" selected="0">
            <x v="172"/>
          </reference>
          <reference field="1" count="1">
            <x v="204"/>
          </reference>
        </references>
      </pivotArea>
    </format>
    <format dxfId="2462">
      <pivotArea dataOnly="0" labelOnly="1" outline="0" fieldPosition="0">
        <references count="2">
          <reference field="0" count="1" selected="0">
            <x v="173"/>
          </reference>
          <reference field="1" count="1">
            <x v="205"/>
          </reference>
        </references>
      </pivotArea>
    </format>
    <format dxfId="2461">
      <pivotArea dataOnly="0" labelOnly="1" outline="0" fieldPosition="0">
        <references count="2">
          <reference field="0" count="1" selected="0">
            <x v="175"/>
          </reference>
          <reference field="1" count="1">
            <x v="207"/>
          </reference>
        </references>
      </pivotArea>
    </format>
    <format dxfId="2460">
      <pivotArea dataOnly="0" labelOnly="1" outline="0" fieldPosition="0">
        <references count="2">
          <reference field="0" count="1" selected="0">
            <x v="176"/>
          </reference>
          <reference field="1" count="1">
            <x v="208"/>
          </reference>
        </references>
      </pivotArea>
    </format>
    <format dxfId="2459">
      <pivotArea dataOnly="0" labelOnly="1" outline="0" fieldPosition="0">
        <references count="2">
          <reference field="0" count="1" selected="0">
            <x v="177"/>
          </reference>
          <reference field="1" count="1">
            <x v="209"/>
          </reference>
        </references>
      </pivotArea>
    </format>
    <format dxfId="2458">
      <pivotArea dataOnly="0" labelOnly="1" outline="0" fieldPosition="0">
        <references count="2">
          <reference field="0" count="1" selected="0">
            <x v="178"/>
          </reference>
          <reference field="1" count="1">
            <x v="210"/>
          </reference>
        </references>
      </pivotArea>
    </format>
    <format dxfId="2457">
      <pivotArea dataOnly="0" labelOnly="1" outline="0" fieldPosition="0">
        <references count="2">
          <reference field="0" count="1" selected="0">
            <x v="179"/>
          </reference>
          <reference field="1" count="1">
            <x v="211"/>
          </reference>
        </references>
      </pivotArea>
    </format>
    <format dxfId="2456">
      <pivotArea dataOnly="0" labelOnly="1" outline="0" fieldPosition="0">
        <references count="2">
          <reference field="0" count="1" selected="0">
            <x v="180"/>
          </reference>
          <reference field="1" count="1">
            <x v="212"/>
          </reference>
        </references>
      </pivotArea>
    </format>
    <format dxfId="2455">
      <pivotArea dataOnly="0" labelOnly="1" outline="0" fieldPosition="0">
        <references count="2">
          <reference field="0" count="1" selected="0">
            <x v="181"/>
          </reference>
          <reference field="1" count="1">
            <x v="213"/>
          </reference>
        </references>
      </pivotArea>
    </format>
    <format dxfId="2454">
      <pivotArea dataOnly="0" labelOnly="1" outline="0" fieldPosition="0">
        <references count="2">
          <reference field="0" count="1" selected="0">
            <x v="182"/>
          </reference>
          <reference field="1" count="1">
            <x v="214"/>
          </reference>
        </references>
      </pivotArea>
    </format>
    <format dxfId="2453">
      <pivotArea dataOnly="0" labelOnly="1" outline="0" fieldPosition="0">
        <references count="2">
          <reference field="0" count="1" selected="0">
            <x v="183"/>
          </reference>
          <reference field="1" count="1">
            <x v="215"/>
          </reference>
        </references>
      </pivotArea>
    </format>
    <format dxfId="2452">
      <pivotArea dataOnly="0" labelOnly="1" outline="0" fieldPosition="0">
        <references count="2">
          <reference field="0" count="1" selected="0">
            <x v="184"/>
          </reference>
          <reference field="1" count="1">
            <x v="216"/>
          </reference>
        </references>
      </pivotArea>
    </format>
    <format dxfId="2451">
      <pivotArea dataOnly="0" labelOnly="1" outline="0" fieldPosition="0">
        <references count="2">
          <reference field="0" count="1" selected="0">
            <x v="185"/>
          </reference>
          <reference field="1" count="1">
            <x v="217"/>
          </reference>
        </references>
      </pivotArea>
    </format>
    <format dxfId="2450">
      <pivotArea dataOnly="0" labelOnly="1" outline="0" fieldPosition="0">
        <references count="2">
          <reference field="0" count="1" selected="0">
            <x v="186"/>
          </reference>
          <reference field="1" count="1">
            <x v="218"/>
          </reference>
        </references>
      </pivotArea>
    </format>
    <format dxfId="2449">
      <pivotArea dataOnly="0" labelOnly="1" outline="0" fieldPosition="0">
        <references count="2">
          <reference field="0" count="1" selected="0">
            <x v="187"/>
          </reference>
          <reference field="1" count="1">
            <x v="219"/>
          </reference>
        </references>
      </pivotArea>
    </format>
    <format dxfId="2448">
      <pivotArea dataOnly="0" labelOnly="1" outline="0" fieldPosition="0">
        <references count="2">
          <reference field="0" count="1" selected="0">
            <x v="188"/>
          </reference>
          <reference field="1" count="1">
            <x v="220"/>
          </reference>
        </references>
      </pivotArea>
    </format>
    <format dxfId="2447">
      <pivotArea dataOnly="0" labelOnly="1" outline="0" fieldPosition="0">
        <references count="2">
          <reference field="0" count="1" selected="0">
            <x v="189"/>
          </reference>
          <reference field="1" count="1">
            <x v="221"/>
          </reference>
        </references>
      </pivotArea>
    </format>
    <format dxfId="2446">
      <pivotArea dataOnly="0" labelOnly="1" outline="0" fieldPosition="0">
        <references count="2">
          <reference field="0" count="1" selected="0">
            <x v="192"/>
          </reference>
          <reference field="1" count="1">
            <x v="224"/>
          </reference>
        </references>
      </pivotArea>
    </format>
    <format dxfId="2445">
      <pivotArea dataOnly="0" labelOnly="1" outline="0" fieldPosition="0">
        <references count="2">
          <reference field="0" count="1" selected="0">
            <x v="193"/>
          </reference>
          <reference field="1" count="1">
            <x v="225"/>
          </reference>
        </references>
      </pivotArea>
    </format>
    <format dxfId="2444">
      <pivotArea dataOnly="0" labelOnly="1" outline="0" fieldPosition="0">
        <references count="2">
          <reference field="0" count="1" selected="0">
            <x v="197"/>
          </reference>
          <reference field="1" count="1">
            <x v="236"/>
          </reference>
        </references>
      </pivotArea>
    </format>
    <format dxfId="2443">
      <pivotArea dataOnly="0" labelOnly="1" outline="0" fieldPosition="0">
        <references count="2">
          <reference field="0" count="1" selected="0">
            <x v="199"/>
          </reference>
          <reference field="1" count="1">
            <x v="238"/>
          </reference>
        </references>
      </pivotArea>
    </format>
    <format dxfId="2442">
      <pivotArea dataOnly="0" labelOnly="1" outline="0" fieldPosition="0">
        <references count="2">
          <reference field="0" count="1" selected="0">
            <x v="200"/>
          </reference>
          <reference field="1" count="1">
            <x v="239"/>
          </reference>
        </references>
      </pivotArea>
    </format>
    <format dxfId="2441">
      <pivotArea dataOnly="0" labelOnly="1" outline="0" fieldPosition="0">
        <references count="2">
          <reference field="0" count="1" selected="0">
            <x v="201"/>
          </reference>
          <reference field="1" count="1">
            <x v="240"/>
          </reference>
        </references>
      </pivotArea>
    </format>
    <format dxfId="2440">
      <pivotArea dataOnly="0" labelOnly="1" outline="0" fieldPosition="0">
        <references count="2">
          <reference field="0" count="1" selected="0">
            <x v="204"/>
          </reference>
          <reference field="1" count="1">
            <x v="149"/>
          </reference>
        </references>
      </pivotArea>
    </format>
    <format dxfId="2439">
      <pivotArea dataOnly="0" labelOnly="1" outline="0" fieldPosition="0">
        <references count="2">
          <reference field="0" count="1" selected="0">
            <x v="206"/>
          </reference>
          <reference field="1" count="1">
            <x v="151"/>
          </reference>
        </references>
      </pivotArea>
    </format>
    <format dxfId="2438">
      <pivotArea dataOnly="0" labelOnly="1" outline="0" fieldPosition="0">
        <references count="2">
          <reference field="0" count="1" selected="0">
            <x v="207"/>
          </reference>
          <reference field="1" count="1">
            <x v="152"/>
          </reference>
        </references>
      </pivotArea>
    </format>
    <format dxfId="2437">
      <pivotArea dataOnly="0" labelOnly="1" outline="0" fieldPosition="0">
        <references count="2">
          <reference field="0" count="1" selected="0">
            <x v="208"/>
          </reference>
          <reference field="1" count="1">
            <x v="153"/>
          </reference>
        </references>
      </pivotArea>
    </format>
    <format dxfId="2436">
      <pivotArea dataOnly="0" labelOnly="1" outline="0" fieldPosition="0">
        <references count="2">
          <reference field="0" count="1" selected="0">
            <x v="209"/>
          </reference>
          <reference field="1" count="1">
            <x v="154"/>
          </reference>
        </references>
      </pivotArea>
    </format>
    <format dxfId="2435">
      <pivotArea dataOnly="0" labelOnly="1" outline="0" fieldPosition="0">
        <references count="2">
          <reference field="0" count="1" selected="0">
            <x v="210"/>
          </reference>
          <reference field="1" count="1">
            <x v="155"/>
          </reference>
        </references>
      </pivotArea>
    </format>
    <format dxfId="2434">
      <pivotArea dataOnly="0" labelOnly="1" outline="0" fieldPosition="0">
        <references count="2">
          <reference field="0" count="1" selected="0">
            <x v="211"/>
          </reference>
          <reference field="1" count="1">
            <x v="156"/>
          </reference>
        </references>
      </pivotArea>
    </format>
    <format dxfId="2433">
      <pivotArea dataOnly="0" labelOnly="1" outline="0" fieldPosition="0">
        <references count="2">
          <reference field="0" count="1" selected="0">
            <x v="212"/>
          </reference>
          <reference field="1" count="1">
            <x v="157"/>
          </reference>
        </references>
      </pivotArea>
    </format>
    <format dxfId="2432">
      <pivotArea dataOnly="0" labelOnly="1" outline="0" fieldPosition="0">
        <references count="2">
          <reference field="0" count="1" selected="0">
            <x v="214"/>
          </reference>
          <reference field="1" count="1">
            <x v="159"/>
          </reference>
        </references>
      </pivotArea>
    </format>
    <format dxfId="2431">
      <pivotArea dataOnly="0" labelOnly="1" outline="0" fieldPosition="0">
        <references count="2">
          <reference field="0" count="1" selected="0">
            <x v="215"/>
          </reference>
          <reference field="1" count="1">
            <x v="160"/>
          </reference>
        </references>
      </pivotArea>
    </format>
    <format dxfId="2430">
      <pivotArea dataOnly="0" labelOnly="1" outline="0" fieldPosition="0">
        <references count="2">
          <reference field="0" count="1" selected="0">
            <x v="216"/>
          </reference>
          <reference field="1" count="1">
            <x v="161"/>
          </reference>
        </references>
      </pivotArea>
    </format>
    <format dxfId="2429">
      <pivotArea dataOnly="0" labelOnly="1" outline="0" fieldPosition="0">
        <references count="2">
          <reference field="0" count="1" selected="0">
            <x v="217"/>
          </reference>
          <reference field="1" count="1">
            <x v="162"/>
          </reference>
        </references>
      </pivotArea>
    </format>
    <format dxfId="2428">
      <pivotArea dataOnly="0" labelOnly="1" outline="0" fieldPosition="0">
        <references count="2">
          <reference field="0" count="1" selected="0">
            <x v="218"/>
          </reference>
          <reference field="1" count="1">
            <x v="163"/>
          </reference>
        </references>
      </pivotArea>
    </format>
    <format dxfId="2427">
      <pivotArea dataOnly="0" labelOnly="1" outline="0" fieldPosition="0">
        <references count="2">
          <reference field="0" count="1" selected="0">
            <x v="219"/>
          </reference>
          <reference field="1" count="1">
            <x v="164"/>
          </reference>
        </references>
      </pivotArea>
    </format>
    <format dxfId="2426">
      <pivotArea dataOnly="0" labelOnly="1" outline="0" fieldPosition="0">
        <references count="2">
          <reference field="0" count="1" selected="0">
            <x v="220"/>
          </reference>
          <reference field="1" count="1">
            <x v="165"/>
          </reference>
        </references>
      </pivotArea>
    </format>
    <format dxfId="2425">
      <pivotArea dataOnly="0" labelOnly="1" outline="0" fieldPosition="0">
        <references count="2">
          <reference field="0" count="1" selected="0">
            <x v="221"/>
          </reference>
          <reference field="1" count="1">
            <x v="166"/>
          </reference>
        </references>
      </pivotArea>
    </format>
    <format dxfId="2424">
      <pivotArea dataOnly="0" labelOnly="1" outline="0" fieldPosition="0">
        <references count="2">
          <reference field="0" count="1" selected="0">
            <x v="223"/>
          </reference>
          <reference field="1" count="1">
            <x v="168"/>
          </reference>
        </references>
      </pivotArea>
    </format>
    <format dxfId="2423">
      <pivotArea dataOnly="0" labelOnly="1" outline="0" fieldPosition="0">
        <references count="2">
          <reference field="0" count="1" selected="0">
            <x v="224"/>
          </reference>
          <reference field="1" count="1">
            <x v="169"/>
          </reference>
        </references>
      </pivotArea>
    </format>
    <format dxfId="2422">
      <pivotArea dataOnly="0" labelOnly="1" outline="0" fieldPosition="0">
        <references count="2">
          <reference field="0" count="1" selected="0">
            <x v="225"/>
          </reference>
          <reference field="1" count="1">
            <x v="170"/>
          </reference>
        </references>
      </pivotArea>
    </format>
    <format dxfId="2421">
      <pivotArea dataOnly="0" labelOnly="1" outline="0" fieldPosition="0">
        <references count="2">
          <reference field="0" count="1" selected="0">
            <x v="226"/>
          </reference>
          <reference field="1" count="1">
            <x v="171"/>
          </reference>
        </references>
      </pivotArea>
    </format>
    <format dxfId="2420">
      <pivotArea dataOnly="0" labelOnly="1" outline="0" fieldPosition="0">
        <references count="2">
          <reference field="0" count="1" selected="0">
            <x v="227"/>
          </reference>
          <reference field="1" count="1">
            <x v="172"/>
          </reference>
        </references>
      </pivotArea>
    </format>
    <format dxfId="2419">
      <pivotArea dataOnly="0" labelOnly="1" outline="0" fieldPosition="0">
        <references count="2">
          <reference field="0" count="1" selected="0">
            <x v="228"/>
          </reference>
          <reference field="1" count="1">
            <x v="173"/>
          </reference>
        </references>
      </pivotArea>
    </format>
    <format dxfId="2418">
      <pivotArea dataOnly="0" labelOnly="1" outline="0" fieldPosition="0">
        <references count="2">
          <reference field="0" count="1" selected="0">
            <x v="229"/>
          </reference>
          <reference field="1" count="1">
            <x v="174"/>
          </reference>
        </references>
      </pivotArea>
    </format>
    <format dxfId="2417">
      <pivotArea dataOnly="0" labelOnly="1" outline="0" fieldPosition="0">
        <references count="2">
          <reference field="0" count="1" selected="0">
            <x v="230"/>
          </reference>
          <reference field="1" count="1">
            <x v="175"/>
          </reference>
        </references>
      </pivotArea>
    </format>
    <format dxfId="2416">
      <pivotArea dataOnly="0" labelOnly="1" outline="0" fieldPosition="0">
        <references count="2">
          <reference field="0" count="1" selected="0">
            <x v="231"/>
          </reference>
          <reference field="1" count="1">
            <x v="176"/>
          </reference>
        </references>
      </pivotArea>
    </format>
    <format dxfId="2415">
      <pivotArea dataOnly="0" labelOnly="1" outline="0" fieldPosition="0">
        <references count="2">
          <reference field="0" count="1" selected="0">
            <x v="232"/>
          </reference>
          <reference field="1" count="1">
            <x v="177"/>
          </reference>
        </references>
      </pivotArea>
    </format>
    <format dxfId="2414">
      <pivotArea dataOnly="0" labelOnly="1" outline="0" fieldPosition="0">
        <references count="2">
          <reference field="0" count="1" selected="0">
            <x v="233"/>
          </reference>
          <reference field="1" count="1">
            <x v="178"/>
          </reference>
        </references>
      </pivotArea>
    </format>
    <format dxfId="2413">
      <pivotArea dataOnly="0" labelOnly="1" outline="0" fieldPosition="0">
        <references count="2">
          <reference field="0" count="1" selected="0">
            <x v="234"/>
          </reference>
          <reference field="1" count="1">
            <x v="179"/>
          </reference>
        </references>
      </pivotArea>
    </format>
    <format dxfId="2412">
      <pivotArea dataOnly="0" labelOnly="1" outline="0" fieldPosition="0">
        <references count="2">
          <reference field="0" count="1" selected="0">
            <x v="235"/>
          </reference>
          <reference field="1" count="1">
            <x v="191"/>
          </reference>
        </references>
      </pivotArea>
    </format>
    <format dxfId="2411">
      <pivotArea dataOnly="0" labelOnly="1" outline="0" fieldPosition="0">
        <references count="2">
          <reference field="0" count="1" selected="0">
            <x v="236"/>
          </reference>
          <reference field="1" count="1">
            <x v="192"/>
          </reference>
        </references>
      </pivotArea>
    </format>
    <format dxfId="2410">
      <pivotArea dataOnly="0" labelOnly="1" outline="0" fieldPosition="0">
        <references count="2">
          <reference field="0" count="1" selected="0">
            <x v="237"/>
          </reference>
          <reference field="1" count="1">
            <x v="193"/>
          </reference>
        </references>
      </pivotArea>
    </format>
    <format dxfId="2409">
      <pivotArea dataOnly="0" labelOnly="1" outline="0" fieldPosition="0">
        <references count="2">
          <reference field="0" count="1" selected="0">
            <x v="238"/>
          </reference>
          <reference field="1" count="1">
            <x v="194"/>
          </reference>
        </references>
      </pivotArea>
    </format>
    <format dxfId="2408">
      <pivotArea dataOnly="0" labelOnly="1" outline="0" fieldPosition="0">
        <references count="2">
          <reference field="0" count="1" selected="0">
            <x v="239"/>
          </reference>
          <reference field="1" count="1">
            <x v="195"/>
          </reference>
        </references>
      </pivotArea>
    </format>
    <format dxfId="2407">
      <pivotArea dataOnly="0" labelOnly="1" outline="0" fieldPosition="0">
        <references count="2">
          <reference field="0" count="1" selected="0">
            <x v="240"/>
          </reference>
          <reference field="1" count="1">
            <x v="196"/>
          </reference>
        </references>
      </pivotArea>
    </format>
    <format dxfId="2406">
      <pivotArea dataOnly="0" labelOnly="1" outline="0" fieldPosition="0">
        <references count="2">
          <reference field="0" count="1" selected="0">
            <x v="241"/>
          </reference>
          <reference field="1" count="1">
            <x v="197"/>
          </reference>
        </references>
      </pivotArea>
    </format>
    <format dxfId="2405">
      <pivotArea dataOnly="0" labelOnly="1" outline="0" fieldPosition="0">
        <references count="2">
          <reference field="0" count="1" selected="0">
            <x v="242"/>
          </reference>
          <reference field="1" count="1">
            <x v="198"/>
          </reference>
        </references>
      </pivotArea>
    </format>
    <format dxfId="2404">
      <pivotArea dataOnly="0" labelOnly="1" outline="0" fieldPosition="0">
        <references count="3">
          <reference field="0" count="1" selected="0">
            <x v="0"/>
          </reference>
          <reference field="1" count="1" selected="0">
            <x v="228"/>
          </reference>
          <reference field="2" count="1">
            <x v="153"/>
          </reference>
        </references>
      </pivotArea>
    </format>
    <format dxfId="2403">
      <pivotArea dataOnly="0" labelOnly="1" outline="0" fieldPosition="0">
        <references count="3">
          <reference field="0" count="1" selected="0">
            <x v="2"/>
          </reference>
          <reference field="1" count="1" selected="0">
            <x v="230"/>
          </reference>
          <reference field="2" count="1">
            <x v="225"/>
          </reference>
        </references>
      </pivotArea>
    </format>
    <format dxfId="2402">
      <pivotArea dataOnly="0" labelOnly="1" outline="0" fieldPosition="0">
        <references count="3">
          <reference field="0" count="1" selected="0">
            <x v="3"/>
          </reference>
          <reference field="1" count="1" selected="0">
            <x v="231"/>
          </reference>
          <reference field="2" count="1">
            <x v="88"/>
          </reference>
        </references>
      </pivotArea>
    </format>
    <format dxfId="2401">
      <pivotArea dataOnly="0" labelOnly="1" outline="0" fieldPosition="0">
        <references count="3">
          <reference field="0" count="1" selected="0">
            <x v="4"/>
          </reference>
          <reference field="1" count="1" selected="0">
            <x v="232"/>
          </reference>
          <reference field="2" count="1">
            <x v="90"/>
          </reference>
        </references>
      </pivotArea>
    </format>
    <format dxfId="2400">
      <pivotArea dataOnly="0" labelOnly="1" outline="0" fieldPosition="0">
        <references count="3">
          <reference field="0" count="1" selected="0">
            <x v="5"/>
          </reference>
          <reference field="1" count="1" selected="0">
            <x v="233"/>
          </reference>
          <reference field="2" count="1">
            <x v="224"/>
          </reference>
        </references>
      </pivotArea>
    </format>
    <format dxfId="2399">
      <pivotArea dataOnly="0" labelOnly="1" outline="0" fieldPosition="0">
        <references count="3">
          <reference field="0" count="1" selected="0">
            <x v="7"/>
          </reference>
          <reference field="1" count="1" selected="0">
            <x v="118"/>
          </reference>
          <reference field="2" count="1">
            <x v="171"/>
          </reference>
        </references>
      </pivotArea>
    </format>
    <format dxfId="2398">
      <pivotArea dataOnly="0" labelOnly="1" outline="0" fieldPosition="0">
        <references count="3">
          <reference field="0" count="1" selected="0">
            <x v="9"/>
          </reference>
          <reference field="1" count="1" selected="0">
            <x v="120"/>
          </reference>
          <reference field="2" count="1">
            <x v="168"/>
          </reference>
        </references>
      </pivotArea>
    </format>
    <format dxfId="2397">
      <pivotArea dataOnly="0" labelOnly="1" outline="0" fieldPosition="0">
        <references count="3">
          <reference field="0" count="1" selected="0">
            <x v="10"/>
          </reference>
          <reference field="1" count="1" selected="0">
            <x v="121"/>
          </reference>
          <reference field="2" count="1">
            <x v="82"/>
          </reference>
        </references>
      </pivotArea>
    </format>
    <format dxfId="2396">
      <pivotArea dataOnly="0" labelOnly="1" outline="0" fieldPosition="0">
        <references count="3">
          <reference field="0" count="1" selected="0">
            <x v="11"/>
          </reference>
          <reference field="1" count="1" selected="0">
            <x v="122"/>
          </reference>
          <reference field="2" count="1">
            <x v="26"/>
          </reference>
        </references>
      </pivotArea>
    </format>
    <format dxfId="2395">
      <pivotArea dataOnly="0" labelOnly="1" outline="0" fieldPosition="0">
        <references count="3">
          <reference field="0" count="1" selected="0">
            <x v="12"/>
          </reference>
          <reference field="1" count="1" selected="0">
            <x v="123"/>
          </reference>
          <reference field="2" count="1">
            <x v="150"/>
          </reference>
        </references>
      </pivotArea>
    </format>
    <format dxfId="2394">
      <pivotArea dataOnly="0" labelOnly="1" outline="0" fieldPosition="0">
        <references count="3">
          <reference field="0" count="1" selected="0">
            <x v="16"/>
          </reference>
          <reference field="1" count="1" selected="0">
            <x v="64"/>
          </reference>
          <reference field="2" count="1">
            <x v="157"/>
          </reference>
        </references>
      </pivotArea>
    </format>
    <format dxfId="2393">
      <pivotArea dataOnly="0" labelOnly="1" outline="0" fieldPosition="0">
        <references count="3">
          <reference field="0" count="1" selected="0">
            <x v="18"/>
          </reference>
          <reference field="1" count="1" selected="0">
            <x v="66"/>
          </reference>
          <reference field="2" count="1">
            <x v="189"/>
          </reference>
        </references>
      </pivotArea>
    </format>
    <format dxfId="2392">
      <pivotArea dataOnly="0" labelOnly="1" outline="0" fieldPosition="0">
        <references count="3">
          <reference field="0" count="1" selected="0">
            <x v="22"/>
          </reference>
          <reference field="1" count="1" selected="0">
            <x v="19"/>
          </reference>
          <reference field="2" count="1">
            <x v="39"/>
          </reference>
        </references>
      </pivotArea>
    </format>
    <format dxfId="2391">
      <pivotArea dataOnly="0" labelOnly="1" outline="0" fieldPosition="0">
        <references count="3">
          <reference field="0" count="1" selected="0">
            <x v="25"/>
          </reference>
          <reference field="1" count="1" selected="0">
            <x v="22"/>
          </reference>
          <reference field="2" count="1">
            <x v="84"/>
          </reference>
        </references>
      </pivotArea>
    </format>
    <format dxfId="2390">
      <pivotArea dataOnly="0" labelOnly="1" outline="0" fieldPosition="0">
        <references count="3">
          <reference field="0" count="1" selected="0">
            <x v="26"/>
          </reference>
          <reference field="1" count="1" selected="0">
            <x v="23"/>
          </reference>
          <reference field="2" count="1">
            <x v="217"/>
          </reference>
        </references>
      </pivotArea>
    </format>
    <format dxfId="2389">
      <pivotArea dataOnly="0" labelOnly="1" outline="0" fieldPosition="0">
        <references count="3">
          <reference field="0" count="1" selected="0">
            <x v="28"/>
          </reference>
          <reference field="1" count="1" selected="0">
            <x v="25"/>
          </reference>
          <reference field="2" count="1">
            <x v="52"/>
          </reference>
        </references>
      </pivotArea>
    </format>
    <format dxfId="2388">
      <pivotArea dataOnly="0" labelOnly="1" outline="0" fieldPosition="0">
        <references count="3">
          <reference field="0" count="1" selected="0">
            <x v="29"/>
          </reference>
          <reference field="1" count="1" selected="0">
            <x v="26"/>
          </reference>
          <reference field="2" count="1">
            <x v="62"/>
          </reference>
        </references>
      </pivotArea>
    </format>
    <format dxfId="2387">
      <pivotArea dataOnly="0" labelOnly="1" outline="0" fieldPosition="0">
        <references count="3">
          <reference field="0" count="1" selected="0">
            <x v="30"/>
          </reference>
          <reference field="1" count="1" selected="0">
            <x v="27"/>
          </reference>
          <reference field="2" count="1">
            <x v="7"/>
          </reference>
        </references>
      </pivotArea>
    </format>
    <format dxfId="2386">
      <pivotArea dataOnly="0" labelOnly="1" outline="0" fieldPosition="0">
        <references count="3">
          <reference field="0" count="1" selected="0">
            <x v="31"/>
          </reference>
          <reference field="1" count="1" selected="0">
            <x v="28"/>
          </reference>
          <reference field="2" count="1">
            <x v="53"/>
          </reference>
        </references>
      </pivotArea>
    </format>
    <format dxfId="2385">
      <pivotArea dataOnly="0" labelOnly="1" outline="0" fieldPosition="0">
        <references count="3">
          <reference field="0" count="1" selected="0">
            <x v="35"/>
          </reference>
          <reference field="1" count="1" selected="0">
            <x v="32"/>
          </reference>
          <reference field="2" count="1">
            <x v="51"/>
          </reference>
        </references>
      </pivotArea>
    </format>
    <format dxfId="2384">
      <pivotArea dataOnly="0" labelOnly="1" outline="0" fieldPosition="0">
        <references count="3">
          <reference field="0" count="1" selected="0">
            <x v="36"/>
          </reference>
          <reference field="1" count="1" selected="0">
            <x v="33"/>
          </reference>
          <reference field="2" count="1">
            <x v="130"/>
          </reference>
        </references>
      </pivotArea>
    </format>
    <format dxfId="2383">
      <pivotArea dataOnly="0" labelOnly="1" outline="0" fieldPosition="0">
        <references count="3">
          <reference field="0" count="1" selected="0">
            <x v="37"/>
          </reference>
          <reference field="1" count="1" selected="0">
            <x v="34"/>
          </reference>
          <reference field="2" count="1">
            <x v="70"/>
          </reference>
        </references>
      </pivotArea>
    </format>
    <format dxfId="2382">
      <pivotArea dataOnly="0" labelOnly="1" outline="0" fieldPosition="0">
        <references count="3">
          <reference field="0" count="1" selected="0">
            <x v="38"/>
          </reference>
          <reference field="1" count="1" selected="0">
            <x v="0"/>
          </reference>
          <reference field="2" count="1">
            <x v="45"/>
          </reference>
        </references>
      </pivotArea>
    </format>
    <format dxfId="2381">
      <pivotArea dataOnly="0" labelOnly="1" outline="0" fieldPosition="0">
        <references count="3">
          <reference field="0" count="1" selected="0">
            <x v="39"/>
          </reference>
          <reference field="1" count="1" selected="0">
            <x v="1"/>
          </reference>
          <reference field="2" count="1">
            <x v="46"/>
          </reference>
        </references>
      </pivotArea>
    </format>
    <format dxfId="2380">
      <pivotArea dataOnly="0" labelOnly="1" outline="0" fieldPosition="0">
        <references count="3">
          <reference field="0" count="1" selected="0">
            <x v="40"/>
          </reference>
          <reference field="1" count="1" selected="0">
            <x v="2"/>
          </reference>
          <reference field="2" count="1">
            <x v="128"/>
          </reference>
        </references>
      </pivotArea>
    </format>
    <format dxfId="2379">
      <pivotArea dataOnly="0" labelOnly="1" outline="0" fieldPosition="0">
        <references count="3">
          <reference field="0" count="1" selected="0">
            <x v="41"/>
          </reference>
          <reference field="1" count="1" selected="0">
            <x v="3"/>
          </reference>
          <reference field="2" count="1">
            <x v="105"/>
          </reference>
        </references>
      </pivotArea>
    </format>
    <format dxfId="2378">
      <pivotArea dataOnly="0" labelOnly="1" outline="0" fieldPosition="0">
        <references count="3">
          <reference field="0" count="1" selected="0">
            <x v="42"/>
          </reference>
          <reference field="1" count="1" selected="0">
            <x v="4"/>
          </reference>
          <reference field="2" count="1">
            <x v="64"/>
          </reference>
        </references>
      </pivotArea>
    </format>
    <format dxfId="2377">
      <pivotArea dataOnly="0" labelOnly="1" outline="0" fieldPosition="0">
        <references count="3">
          <reference field="0" count="1" selected="0">
            <x v="43"/>
          </reference>
          <reference field="1" count="1" selected="0">
            <x v="5"/>
          </reference>
          <reference field="2" count="1">
            <x v="19"/>
          </reference>
        </references>
      </pivotArea>
    </format>
    <format dxfId="2376">
      <pivotArea dataOnly="0" labelOnly="1" outline="0" fieldPosition="0">
        <references count="3">
          <reference field="0" count="1" selected="0">
            <x v="44"/>
          </reference>
          <reference field="1" count="1" selected="0">
            <x v="6"/>
          </reference>
          <reference field="2" count="1">
            <x v="23"/>
          </reference>
        </references>
      </pivotArea>
    </format>
    <format dxfId="2375">
      <pivotArea dataOnly="0" labelOnly="1" outline="0" fieldPosition="0">
        <references count="3">
          <reference field="0" count="1" selected="0">
            <x v="45"/>
          </reference>
          <reference field="1" count="1" selected="0">
            <x v="7"/>
          </reference>
          <reference field="2" count="1">
            <x v="22"/>
          </reference>
        </references>
      </pivotArea>
    </format>
    <format dxfId="2374">
      <pivotArea dataOnly="0" labelOnly="1" outline="0" fieldPosition="0">
        <references count="3">
          <reference field="0" count="1" selected="0">
            <x v="46"/>
          </reference>
          <reference field="1" count="1" selected="0">
            <x v="8"/>
          </reference>
          <reference field="2" count="1">
            <x v="135"/>
          </reference>
        </references>
      </pivotArea>
    </format>
    <format dxfId="2373">
      <pivotArea dataOnly="0" labelOnly="1" outline="0" fieldPosition="0">
        <references count="3">
          <reference field="0" count="1" selected="0">
            <x v="47"/>
          </reference>
          <reference field="1" count="1" selected="0">
            <x v="9"/>
          </reference>
          <reference field="2" count="1">
            <x v="141"/>
          </reference>
        </references>
      </pivotArea>
    </format>
    <format dxfId="2372">
      <pivotArea dataOnly="0" labelOnly="1" outline="0" fieldPosition="0">
        <references count="3">
          <reference field="0" count="1" selected="0">
            <x v="49"/>
          </reference>
          <reference field="1" count="1" selected="0">
            <x v="11"/>
          </reference>
          <reference field="2" count="1">
            <x v="127"/>
          </reference>
        </references>
      </pivotArea>
    </format>
    <format dxfId="2371">
      <pivotArea dataOnly="0" labelOnly="1" outline="0" fieldPosition="0">
        <references count="3">
          <reference field="0" count="1" selected="0">
            <x v="55"/>
          </reference>
          <reference field="1" count="1" selected="0">
            <x v="35"/>
          </reference>
          <reference field="2" count="1">
            <x v="65"/>
          </reference>
        </references>
      </pivotArea>
    </format>
    <format dxfId="2370">
      <pivotArea dataOnly="0" labelOnly="1" outline="0" fieldPosition="0">
        <references count="3">
          <reference field="0" count="1" selected="0">
            <x v="56"/>
          </reference>
          <reference field="1" count="1" selected="0">
            <x v="36"/>
          </reference>
          <reference field="2" count="1">
            <x v="183"/>
          </reference>
        </references>
      </pivotArea>
    </format>
    <format dxfId="2369">
      <pivotArea dataOnly="0" labelOnly="1" outline="0" fieldPosition="0">
        <references count="3">
          <reference field="0" count="1" selected="0">
            <x v="62"/>
          </reference>
          <reference field="1" count="1" selected="0">
            <x v="42"/>
          </reference>
          <reference field="2" count="1">
            <x v="15"/>
          </reference>
        </references>
      </pivotArea>
    </format>
    <format dxfId="2368">
      <pivotArea dataOnly="0" labelOnly="1" outline="0" fieldPosition="0">
        <references count="3">
          <reference field="0" count="1" selected="0">
            <x v="63"/>
          </reference>
          <reference field="1" count="1" selected="0">
            <x v="43"/>
          </reference>
          <reference field="2" count="1">
            <x v="152"/>
          </reference>
        </references>
      </pivotArea>
    </format>
    <format dxfId="2367">
      <pivotArea dataOnly="0" labelOnly="1" outline="0" fieldPosition="0">
        <references count="3">
          <reference field="0" count="1" selected="0">
            <x v="64"/>
          </reference>
          <reference field="1" count="1" selected="0">
            <x v="44"/>
          </reference>
          <reference field="2" count="1">
            <x v="146"/>
          </reference>
        </references>
      </pivotArea>
    </format>
    <format dxfId="2366">
      <pivotArea dataOnly="0" labelOnly="1" outline="0" fieldPosition="0">
        <references count="3">
          <reference field="0" count="1" selected="0">
            <x v="65"/>
          </reference>
          <reference field="1" count="1" selected="0">
            <x v="45"/>
          </reference>
          <reference field="2" count="1">
            <x v="204"/>
          </reference>
        </references>
      </pivotArea>
    </format>
    <format dxfId="2365">
      <pivotArea dataOnly="0" labelOnly="1" outline="0" fieldPosition="0">
        <references count="3">
          <reference field="0" count="1" selected="0">
            <x v="66"/>
          </reference>
          <reference field="1" count="1" selected="0">
            <x v="46"/>
          </reference>
          <reference field="2" count="1">
            <x v="92"/>
          </reference>
        </references>
      </pivotArea>
    </format>
    <format dxfId="2364">
      <pivotArea dataOnly="0" labelOnly="1" outline="0" fieldPosition="0">
        <references count="3">
          <reference field="0" count="1" selected="0">
            <x v="67"/>
          </reference>
          <reference field="1" count="1" selected="0">
            <x v="47"/>
          </reference>
          <reference field="2" count="1">
            <x v="181"/>
          </reference>
        </references>
      </pivotArea>
    </format>
    <format dxfId="2363">
      <pivotArea dataOnly="0" labelOnly="1" outline="0" fieldPosition="0">
        <references count="3">
          <reference field="0" count="1" selected="0">
            <x v="68"/>
          </reference>
          <reference field="1" count="1" selected="0">
            <x v="48"/>
          </reference>
          <reference field="2" count="1">
            <x v="231"/>
          </reference>
        </references>
      </pivotArea>
    </format>
    <format dxfId="2362">
      <pivotArea dataOnly="0" labelOnly="1" outline="0" fieldPosition="0">
        <references count="3">
          <reference field="0" count="1" selected="0">
            <x v="79"/>
          </reference>
          <reference field="1" count="1" selected="0">
            <x v="59"/>
          </reference>
          <reference field="2" count="1">
            <x v="21"/>
          </reference>
        </references>
      </pivotArea>
    </format>
    <format dxfId="2361">
      <pivotArea dataOnly="0" labelOnly="1" outline="0" fieldPosition="0">
        <references count="3">
          <reference field="0" count="1" selected="0">
            <x v="81"/>
          </reference>
          <reference field="1" count="1" selected="0">
            <x v="68"/>
          </reference>
          <reference field="2" count="1">
            <x v="112"/>
          </reference>
        </references>
      </pivotArea>
    </format>
    <format dxfId="2360">
      <pivotArea dataOnly="0" labelOnly="1" outline="0" fieldPosition="0">
        <references count="3">
          <reference field="0" count="1" selected="0">
            <x v="82"/>
          </reference>
          <reference field="1" count="1" selected="0">
            <x v="69"/>
          </reference>
          <reference field="2" count="1">
            <x v="226"/>
          </reference>
        </references>
      </pivotArea>
    </format>
    <format dxfId="2359">
      <pivotArea dataOnly="0" labelOnly="1" outline="0" fieldPosition="0">
        <references count="3">
          <reference field="0" count="1" selected="0">
            <x v="83"/>
          </reference>
          <reference field="1" count="1" selected="0">
            <x v="70"/>
          </reference>
          <reference field="2" count="1">
            <x v="193"/>
          </reference>
        </references>
      </pivotArea>
    </format>
    <format dxfId="2358">
      <pivotArea dataOnly="0" labelOnly="1" outline="0" fieldPosition="0">
        <references count="3">
          <reference field="0" count="1" selected="0">
            <x v="84"/>
          </reference>
          <reference field="1" count="1" selected="0">
            <x v="71"/>
          </reference>
          <reference field="2" count="1">
            <x v="192"/>
          </reference>
        </references>
      </pivotArea>
    </format>
    <format dxfId="2357">
      <pivotArea dataOnly="0" labelOnly="1" outline="0" fieldPosition="0">
        <references count="3">
          <reference field="0" count="1" selected="0">
            <x v="85"/>
          </reference>
          <reference field="1" count="1" selected="0">
            <x v="72"/>
          </reference>
          <reference field="2" count="1">
            <x v="87"/>
          </reference>
        </references>
      </pivotArea>
    </format>
    <format dxfId="2356">
      <pivotArea dataOnly="0" labelOnly="1" outline="0" fieldPosition="0">
        <references count="3">
          <reference field="0" count="1" selected="0">
            <x v="86"/>
          </reference>
          <reference field="1" count="1" selected="0">
            <x v="73"/>
          </reference>
          <reference field="2" count="1">
            <x v="154"/>
          </reference>
        </references>
      </pivotArea>
    </format>
    <format dxfId="2355">
      <pivotArea dataOnly="0" labelOnly="1" outline="0" fieldPosition="0">
        <references count="3">
          <reference field="0" count="1" selected="0">
            <x v="87"/>
          </reference>
          <reference field="1" count="1" selected="0">
            <x v="74"/>
          </reference>
          <reference field="2" count="1">
            <x v="208"/>
          </reference>
        </references>
      </pivotArea>
    </format>
    <format dxfId="2354">
      <pivotArea dataOnly="0" labelOnly="1" outline="0" fieldPosition="0">
        <references count="3">
          <reference field="0" count="1" selected="0">
            <x v="88"/>
          </reference>
          <reference field="1" count="1" selected="0">
            <x v="75"/>
          </reference>
          <reference field="2" count="1">
            <x v="38"/>
          </reference>
        </references>
      </pivotArea>
    </format>
    <format dxfId="2353">
      <pivotArea dataOnly="0" labelOnly="1" outline="0" fieldPosition="0">
        <references count="3">
          <reference field="0" count="1" selected="0">
            <x v="89"/>
          </reference>
          <reference field="1" count="1" selected="0">
            <x v="76"/>
          </reference>
          <reference field="2" count="1">
            <x v="232"/>
          </reference>
        </references>
      </pivotArea>
    </format>
    <format dxfId="2352">
      <pivotArea dataOnly="0" labelOnly="1" outline="0" fieldPosition="0">
        <references count="3">
          <reference field="0" count="1" selected="0">
            <x v="90"/>
          </reference>
          <reference field="1" count="1" selected="0">
            <x v="77"/>
          </reference>
          <reference field="2" count="1">
            <x v="43"/>
          </reference>
        </references>
      </pivotArea>
    </format>
    <format dxfId="2351">
      <pivotArea dataOnly="0" labelOnly="1" outline="0" fieldPosition="0">
        <references count="3">
          <reference field="0" count="1" selected="0">
            <x v="91"/>
          </reference>
          <reference field="1" count="1" selected="0">
            <x v="78"/>
          </reference>
          <reference field="2" count="1">
            <x v="12"/>
          </reference>
        </references>
      </pivotArea>
    </format>
    <format dxfId="2350">
      <pivotArea dataOnly="0" labelOnly="1" outline="0" fieldPosition="0">
        <references count="3">
          <reference field="0" count="1" selected="0">
            <x v="93"/>
          </reference>
          <reference field="1" count="1" selected="0">
            <x v="80"/>
          </reference>
          <reference field="2" count="1">
            <x v="180"/>
          </reference>
        </references>
      </pivotArea>
    </format>
    <format dxfId="2349">
      <pivotArea dataOnly="0" labelOnly="1" outline="0" fieldPosition="0">
        <references count="3">
          <reference field="0" count="1" selected="0">
            <x v="94"/>
          </reference>
          <reference field="1" count="1" selected="0">
            <x v="81"/>
          </reference>
          <reference field="2" count="1">
            <x v="60"/>
          </reference>
        </references>
      </pivotArea>
    </format>
    <format dxfId="2348">
      <pivotArea dataOnly="0" labelOnly="1" outline="0" fieldPosition="0">
        <references count="3">
          <reference field="0" count="1" selected="0">
            <x v="95"/>
          </reference>
          <reference field="1" count="1" selected="0">
            <x v="82"/>
          </reference>
          <reference field="2" count="1">
            <x v="5"/>
          </reference>
        </references>
      </pivotArea>
    </format>
    <format dxfId="2347">
      <pivotArea dataOnly="0" labelOnly="1" outline="0" fieldPosition="0">
        <references count="3">
          <reference field="0" count="1" selected="0">
            <x v="96"/>
          </reference>
          <reference field="1" count="1" selected="0">
            <x v="83"/>
          </reference>
          <reference field="2" count="1">
            <x v="173"/>
          </reference>
        </references>
      </pivotArea>
    </format>
    <format dxfId="2346">
      <pivotArea dataOnly="0" labelOnly="1" outline="0" fieldPosition="0">
        <references count="3">
          <reference field="0" count="1" selected="0">
            <x v="97"/>
          </reference>
          <reference field="1" count="1" selected="0">
            <x v="84"/>
          </reference>
          <reference field="2" count="1">
            <x v="6"/>
          </reference>
        </references>
      </pivotArea>
    </format>
    <format dxfId="2345">
      <pivotArea dataOnly="0" labelOnly="1" outline="0" fieldPosition="0">
        <references count="3">
          <reference field="0" count="1" selected="0">
            <x v="98"/>
          </reference>
          <reference field="1" count="1" selected="0">
            <x v="85"/>
          </reference>
          <reference field="2" count="1">
            <x v="214"/>
          </reference>
        </references>
      </pivotArea>
    </format>
    <format dxfId="2344">
      <pivotArea dataOnly="0" labelOnly="1" outline="0" fieldPosition="0">
        <references count="3">
          <reference field="0" count="1" selected="0">
            <x v="99"/>
          </reference>
          <reference field="1" count="1" selected="0">
            <x v="86"/>
          </reference>
          <reference field="2" count="1">
            <x v="66"/>
          </reference>
        </references>
      </pivotArea>
    </format>
    <format dxfId="2343">
      <pivotArea dataOnly="0" labelOnly="1" outline="0" fieldPosition="0">
        <references count="3">
          <reference field="0" count="1" selected="0">
            <x v="100"/>
          </reference>
          <reference field="1" count="1" selected="0">
            <x v="87"/>
          </reference>
          <reference field="2" count="1">
            <x v="75"/>
          </reference>
        </references>
      </pivotArea>
    </format>
    <format dxfId="2342">
      <pivotArea dataOnly="0" labelOnly="1" outline="0" fieldPosition="0">
        <references count="3">
          <reference field="0" count="1" selected="0">
            <x v="101"/>
          </reference>
          <reference field="1" count="1" selected="0">
            <x v="88"/>
          </reference>
          <reference field="2" count="1">
            <x v="29"/>
          </reference>
        </references>
      </pivotArea>
    </format>
    <format dxfId="2341">
      <pivotArea dataOnly="0" labelOnly="1" outline="0" fieldPosition="0">
        <references count="3">
          <reference field="0" count="1" selected="0">
            <x v="102"/>
          </reference>
          <reference field="1" count="1" selected="0">
            <x v="89"/>
          </reference>
          <reference field="2" count="1">
            <x v="14"/>
          </reference>
        </references>
      </pivotArea>
    </format>
    <format dxfId="2340">
      <pivotArea dataOnly="0" labelOnly="1" outline="0" fieldPosition="0">
        <references count="3">
          <reference field="0" count="1" selected="0">
            <x v="103"/>
          </reference>
          <reference field="1" count="1" selected="0">
            <x v="90"/>
          </reference>
          <reference field="2" count="1">
            <x v="73"/>
          </reference>
        </references>
      </pivotArea>
    </format>
    <format dxfId="2339">
      <pivotArea dataOnly="0" labelOnly="1" outline="0" fieldPosition="0">
        <references count="3">
          <reference field="0" count="1" selected="0">
            <x v="104"/>
          </reference>
          <reference field="1" count="1" selected="0">
            <x v="91"/>
          </reference>
          <reference field="2" count="1">
            <x v="68"/>
          </reference>
        </references>
      </pivotArea>
    </format>
    <format dxfId="2338">
      <pivotArea dataOnly="0" labelOnly="1" outline="0" fieldPosition="0">
        <references count="3">
          <reference field="0" count="1" selected="0">
            <x v="105"/>
          </reference>
          <reference field="1" count="1" selected="0">
            <x v="92"/>
          </reference>
          <reference field="2" count="1">
            <x v="134"/>
          </reference>
        </references>
      </pivotArea>
    </format>
    <format dxfId="2337">
      <pivotArea dataOnly="0" labelOnly="1" outline="0" fieldPosition="0">
        <references count="3">
          <reference field="0" count="1" selected="0">
            <x v="106"/>
          </reference>
          <reference field="1" count="1" selected="0">
            <x v="93"/>
          </reference>
          <reference field="2" count="1">
            <x v="76"/>
          </reference>
        </references>
      </pivotArea>
    </format>
    <format dxfId="2336">
      <pivotArea dataOnly="0" labelOnly="1" outline="0" fieldPosition="0">
        <references count="3">
          <reference field="0" count="1" selected="0">
            <x v="107"/>
          </reference>
          <reference field="1" count="1" selected="0">
            <x v="94"/>
          </reference>
          <reference field="2" count="1">
            <x v="190"/>
          </reference>
        </references>
      </pivotArea>
    </format>
    <format dxfId="2335">
      <pivotArea dataOnly="0" labelOnly="1" outline="0" fieldPosition="0">
        <references count="3">
          <reference field="0" count="1" selected="0">
            <x v="108"/>
          </reference>
          <reference field="1" count="1" selected="0">
            <x v="95"/>
          </reference>
          <reference field="2" count="1">
            <x v="236"/>
          </reference>
        </references>
      </pivotArea>
    </format>
    <format dxfId="2334">
      <pivotArea dataOnly="0" labelOnly="1" outline="0" fieldPosition="0">
        <references count="3">
          <reference field="0" count="1" selected="0">
            <x v="110"/>
          </reference>
          <reference field="1" count="1" selected="0">
            <x v="97"/>
          </reference>
          <reference field="2" count="1">
            <x v="123"/>
          </reference>
        </references>
      </pivotArea>
    </format>
    <format dxfId="2333">
      <pivotArea dataOnly="0" labelOnly="1" outline="0" fieldPosition="0">
        <references count="3">
          <reference field="0" count="1" selected="0">
            <x v="111"/>
          </reference>
          <reference field="1" count="1" selected="0">
            <x v="98"/>
          </reference>
          <reference field="2" count="1">
            <x v="83"/>
          </reference>
        </references>
      </pivotArea>
    </format>
    <format dxfId="2332">
      <pivotArea dataOnly="0" labelOnly="1" outline="0" fieldPosition="0">
        <references count="3">
          <reference field="0" count="1" selected="0">
            <x v="113"/>
          </reference>
          <reference field="1" count="1" selected="0">
            <x v="100"/>
          </reference>
          <reference field="2" count="1">
            <x v="124"/>
          </reference>
        </references>
      </pivotArea>
    </format>
    <format dxfId="2331">
      <pivotArea dataOnly="0" labelOnly="1" outline="0" fieldPosition="0">
        <references count="3">
          <reference field="0" count="1" selected="0">
            <x v="121"/>
          </reference>
          <reference field="1" count="1" selected="0">
            <x v="108"/>
          </reference>
          <reference field="2" count="1">
            <x v="207"/>
          </reference>
        </references>
      </pivotArea>
    </format>
    <format dxfId="2330">
      <pivotArea dataOnly="0" labelOnly="1" outline="0" fieldPosition="0">
        <references count="3">
          <reference field="0" count="1" selected="0">
            <x v="122"/>
          </reference>
          <reference field="1" count="1" selected="0">
            <x v="109"/>
          </reference>
          <reference field="2" count="1">
            <x v="35"/>
          </reference>
        </references>
      </pivotArea>
    </format>
    <format dxfId="2329">
      <pivotArea dataOnly="0" labelOnly="1" outline="0" fieldPosition="0">
        <references count="3">
          <reference field="0" count="1" selected="0">
            <x v="123"/>
          </reference>
          <reference field="1" count="1" selected="0">
            <x v="110"/>
          </reference>
          <reference field="2" count="1">
            <x v="176"/>
          </reference>
        </references>
      </pivotArea>
    </format>
    <format dxfId="2328">
      <pivotArea dataOnly="0" labelOnly="1" outline="0" fieldPosition="0">
        <references count="3">
          <reference field="0" count="1" selected="0">
            <x v="124"/>
          </reference>
          <reference field="1" count="1" selected="0">
            <x v="111"/>
          </reference>
          <reference field="2" count="1">
            <x v="218"/>
          </reference>
        </references>
      </pivotArea>
    </format>
    <format dxfId="2327">
      <pivotArea dataOnly="0" labelOnly="1" outline="0" fieldPosition="0">
        <references count="3">
          <reference field="0" count="1" selected="0">
            <x v="125"/>
          </reference>
          <reference field="1" count="1" selected="0">
            <x v="112"/>
          </reference>
          <reference field="2" count="1">
            <x v="197"/>
          </reference>
        </references>
      </pivotArea>
    </format>
    <format dxfId="2326">
      <pivotArea dataOnly="0" labelOnly="1" outline="0" fieldPosition="0">
        <references count="3">
          <reference field="0" count="1" selected="0">
            <x v="126"/>
          </reference>
          <reference field="1" count="1" selected="0">
            <x v="113"/>
          </reference>
          <reference field="2" count="1">
            <x v="191"/>
          </reference>
        </references>
      </pivotArea>
    </format>
    <format dxfId="2325">
      <pivotArea dataOnly="0" labelOnly="1" outline="0" fieldPosition="0">
        <references count="3">
          <reference field="0" count="1" selected="0">
            <x v="127"/>
          </reference>
          <reference field="1" count="1" selected="0">
            <x v="114"/>
          </reference>
          <reference field="2" count="1">
            <x v="174"/>
          </reference>
        </references>
      </pivotArea>
    </format>
    <format dxfId="2324">
      <pivotArea dataOnly="0" labelOnly="1" outline="0" fieldPosition="0">
        <references count="3">
          <reference field="0" count="1" selected="0">
            <x v="128"/>
          </reference>
          <reference field="1" count="1" selected="0">
            <x v="115"/>
          </reference>
          <reference field="2" count="1">
            <x v="59"/>
          </reference>
        </references>
      </pivotArea>
    </format>
    <format dxfId="2323">
      <pivotArea dataOnly="0" labelOnly="1" outline="0" fieldPosition="0">
        <references count="3">
          <reference field="0" count="1" selected="0">
            <x v="129"/>
          </reference>
          <reference field="1" count="1" selected="0">
            <x v="116"/>
          </reference>
          <reference field="2" count="1">
            <x v="212"/>
          </reference>
        </references>
      </pivotArea>
    </format>
    <format dxfId="2322">
      <pivotArea dataOnly="0" labelOnly="1" outline="0" fieldPosition="0">
        <references count="3">
          <reference field="0" count="1" selected="0">
            <x v="130"/>
          </reference>
          <reference field="1" count="1" selected="0">
            <x v="117"/>
          </reference>
          <reference field="2" count="1">
            <x v="118"/>
          </reference>
        </references>
      </pivotArea>
    </format>
    <format dxfId="2321">
      <pivotArea dataOnly="0" labelOnly="1" outline="0" fieldPosition="0">
        <references count="3">
          <reference field="0" count="1" selected="0">
            <x v="134"/>
          </reference>
          <reference field="1" count="1" selected="0">
            <x v="127"/>
          </reference>
          <reference field="2" count="1">
            <x v="2"/>
          </reference>
        </references>
      </pivotArea>
    </format>
    <format dxfId="2320">
      <pivotArea dataOnly="0" labelOnly="1" outline="0" fieldPosition="0">
        <references count="3">
          <reference field="0" count="1" selected="0">
            <x v="135"/>
          </reference>
          <reference field="1" count="1" selected="0">
            <x v="128"/>
          </reference>
          <reference field="2" count="1">
            <x v="151"/>
          </reference>
        </references>
      </pivotArea>
    </format>
    <format dxfId="2319">
      <pivotArea dataOnly="0" labelOnly="1" outline="0" fieldPosition="0">
        <references count="3">
          <reference field="0" count="1" selected="0">
            <x v="136"/>
          </reference>
          <reference field="1" count="1" selected="0">
            <x v="129"/>
          </reference>
          <reference field="2" count="1">
            <x v="219"/>
          </reference>
        </references>
      </pivotArea>
    </format>
    <format dxfId="2318">
      <pivotArea dataOnly="0" labelOnly="1" outline="0" fieldPosition="0">
        <references count="3">
          <reference field="0" count="1" selected="0">
            <x v="144"/>
          </reference>
          <reference field="1" count="1" selected="0">
            <x v="137"/>
          </reference>
          <reference field="2" count="1">
            <x v="79"/>
          </reference>
        </references>
      </pivotArea>
    </format>
    <format dxfId="2317">
      <pivotArea dataOnly="0" labelOnly="1" outline="0" fieldPosition="0">
        <references count="3">
          <reference field="0" count="1" selected="0">
            <x v="146"/>
          </reference>
          <reference field="1" count="1" selected="0">
            <x v="139"/>
          </reference>
          <reference field="2" count="1">
            <x v="30"/>
          </reference>
        </references>
      </pivotArea>
    </format>
    <format dxfId="2316">
      <pivotArea dataOnly="0" labelOnly="1" outline="0" fieldPosition="0">
        <references count="3">
          <reference field="0" count="1" selected="0">
            <x v="147"/>
          </reference>
          <reference field="1" count="1" selected="0">
            <x v="140"/>
          </reference>
          <reference field="2" count="1">
            <x v="211"/>
          </reference>
        </references>
      </pivotArea>
    </format>
    <format dxfId="2315">
      <pivotArea dataOnly="0" labelOnly="1" outline="0" fieldPosition="0">
        <references count="3">
          <reference field="0" count="1" selected="0">
            <x v="148"/>
          </reference>
          <reference field="1" count="1" selected="0">
            <x v="141"/>
          </reference>
          <reference field="2" count="1">
            <x v="95"/>
          </reference>
        </references>
      </pivotArea>
    </format>
    <format dxfId="2314">
      <pivotArea dataOnly="0" labelOnly="1" outline="0" fieldPosition="0">
        <references count="3">
          <reference field="0" count="1" selected="0">
            <x v="149"/>
          </reference>
          <reference field="1" count="1" selected="0">
            <x v="142"/>
          </reference>
          <reference field="2" count="1">
            <x v="165"/>
          </reference>
        </references>
      </pivotArea>
    </format>
    <format dxfId="2313">
      <pivotArea dataOnly="0" labelOnly="1" outline="0" fieldPosition="0">
        <references count="3">
          <reference field="0" count="1" selected="0">
            <x v="150"/>
          </reference>
          <reference field="1" count="1" selected="0">
            <x v="143"/>
          </reference>
          <reference field="2" count="1">
            <x v="166"/>
          </reference>
        </references>
      </pivotArea>
    </format>
    <format dxfId="2312">
      <pivotArea dataOnly="0" labelOnly="1" outline="0" fieldPosition="0">
        <references count="3">
          <reference field="0" count="1" selected="0">
            <x v="151"/>
          </reference>
          <reference field="1" count="1" selected="0">
            <x v="144"/>
          </reference>
          <reference field="2" count="1">
            <x v="85"/>
          </reference>
        </references>
      </pivotArea>
    </format>
    <format dxfId="2311">
      <pivotArea dataOnly="0" labelOnly="1" outline="0" fieldPosition="0">
        <references count="3">
          <reference field="0" count="1" selected="0">
            <x v="152"/>
          </reference>
          <reference field="1" count="1" selected="0">
            <x v="145"/>
          </reference>
          <reference field="2" count="1">
            <x v="86"/>
          </reference>
        </references>
      </pivotArea>
    </format>
    <format dxfId="2310">
      <pivotArea dataOnly="0" labelOnly="1" outline="0" fieldPosition="0">
        <references count="3">
          <reference field="0" count="1" selected="0">
            <x v="153"/>
          </reference>
          <reference field="1" count="1" selected="0">
            <x v="146"/>
          </reference>
          <reference field="2" count="1">
            <x v="54"/>
          </reference>
        </references>
      </pivotArea>
    </format>
    <format dxfId="2309">
      <pivotArea dataOnly="0" labelOnly="1" outline="0" fieldPosition="0">
        <references count="3">
          <reference field="0" count="1" selected="0">
            <x v="154"/>
          </reference>
          <reference field="1" count="1" selected="0">
            <x v="147"/>
          </reference>
          <reference field="2" count="1">
            <x v="109"/>
          </reference>
        </references>
      </pivotArea>
    </format>
    <format dxfId="2308">
      <pivotArea dataOnly="0" labelOnly="1" outline="0" fieldPosition="0">
        <references count="3">
          <reference field="0" count="1" selected="0">
            <x v="155"/>
          </reference>
          <reference field="1" count="1" selected="0">
            <x v="148"/>
          </reference>
          <reference field="2" count="1">
            <x v="3"/>
          </reference>
        </references>
      </pivotArea>
    </format>
    <format dxfId="2307">
      <pivotArea dataOnly="0" labelOnly="1" outline="0" fieldPosition="0">
        <references count="3">
          <reference field="0" count="1" selected="0">
            <x v="159"/>
          </reference>
          <reference field="1" count="1" selected="0">
            <x v="183"/>
          </reference>
          <reference field="2" count="1">
            <x v="122"/>
          </reference>
        </references>
      </pivotArea>
    </format>
    <format dxfId="2306">
      <pivotArea dataOnly="0" labelOnly="1" outline="0" fieldPosition="0">
        <references count="3">
          <reference field="0" count="1" selected="0">
            <x v="160"/>
          </reference>
          <reference field="1" count="1" selected="0">
            <x v="184"/>
          </reference>
          <reference field="2" count="1">
            <x v="187"/>
          </reference>
        </references>
      </pivotArea>
    </format>
    <format dxfId="2305">
      <pivotArea dataOnly="0" labelOnly="1" outline="0" fieldPosition="0">
        <references count="3">
          <reference field="0" count="1" selected="0">
            <x v="161"/>
          </reference>
          <reference field="1" count="1" selected="0">
            <x v="185"/>
          </reference>
          <reference field="2" count="1">
            <x v="186"/>
          </reference>
        </references>
      </pivotArea>
    </format>
    <format dxfId="2304">
      <pivotArea dataOnly="0" labelOnly="1" outline="0" fieldPosition="0">
        <references count="3">
          <reference field="0" count="1" selected="0">
            <x v="162"/>
          </reference>
          <reference field="1" count="1" selected="0">
            <x v="186"/>
          </reference>
          <reference field="2" count="1">
            <x v="125"/>
          </reference>
        </references>
      </pivotArea>
    </format>
    <format dxfId="2303">
      <pivotArea dataOnly="0" labelOnly="1" outline="0" fieldPosition="0">
        <references count="3">
          <reference field="0" count="1" selected="0">
            <x v="164"/>
          </reference>
          <reference field="1" count="1" selected="0">
            <x v="188"/>
          </reference>
          <reference field="2" count="1">
            <x v="119"/>
          </reference>
        </references>
      </pivotArea>
    </format>
    <format dxfId="2302">
      <pivotArea dataOnly="0" labelOnly="1" outline="0" fieldPosition="0">
        <references count="3">
          <reference field="0" count="1" selected="0">
            <x v="165"/>
          </reference>
          <reference field="1" count="1" selected="0">
            <x v="189"/>
          </reference>
          <reference field="2" count="1">
            <x v="156"/>
          </reference>
        </references>
      </pivotArea>
    </format>
    <format dxfId="2301">
      <pivotArea dataOnly="0" labelOnly="1" outline="0" fieldPosition="0">
        <references count="3">
          <reference field="0" count="1" selected="0">
            <x v="166"/>
          </reference>
          <reference field="1" count="1" selected="0">
            <x v="190"/>
          </reference>
          <reference field="2" count="1">
            <x v="213"/>
          </reference>
        </references>
      </pivotArea>
    </format>
    <format dxfId="2300">
      <pivotArea dataOnly="0" labelOnly="1" outline="0" fieldPosition="0">
        <references count="3">
          <reference field="0" count="1" selected="0">
            <x v="167"/>
          </reference>
          <reference field="1" count="1" selected="0">
            <x v="199"/>
          </reference>
          <reference field="2" count="1">
            <x v="56"/>
          </reference>
        </references>
      </pivotArea>
    </format>
    <format dxfId="2299">
      <pivotArea dataOnly="0" labelOnly="1" outline="0" fieldPosition="0">
        <references count="3">
          <reference field="0" count="1" selected="0">
            <x v="168"/>
          </reference>
          <reference field="1" count="1" selected="0">
            <x v="200"/>
          </reference>
          <reference field="2" count="1">
            <x v="9"/>
          </reference>
        </references>
      </pivotArea>
    </format>
    <format dxfId="2298">
      <pivotArea dataOnly="0" labelOnly="1" outline="0" fieldPosition="0">
        <references count="3">
          <reference field="0" count="1" selected="0">
            <x v="171"/>
          </reference>
          <reference field="1" count="1" selected="0">
            <x v="203"/>
          </reference>
          <reference field="2" count="1">
            <x v="10"/>
          </reference>
        </references>
      </pivotArea>
    </format>
    <format dxfId="2297">
      <pivotArea dataOnly="0" labelOnly="1" outline="0" fieldPosition="0">
        <references count="3">
          <reference field="0" count="1" selected="0">
            <x v="172"/>
          </reference>
          <reference field="1" count="1" selected="0">
            <x v="204"/>
          </reference>
          <reference field="2" count="1">
            <x v="216"/>
          </reference>
        </references>
      </pivotArea>
    </format>
    <format dxfId="2296">
      <pivotArea dataOnly="0" labelOnly="1" outline="0" fieldPosition="0">
        <references count="3">
          <reference field="0" count="1" selected="0">
            <x v="173"/>
          </reference>
          <reference field="1" count="1" selected="0">
            <x v="205"/>
          </reference>
          <reference field="2" count="1">
            <x v="94"/>
          </reference>
        </references>
      </pivotArea>
    </format>
    <format dxfId="2295">
      <pivotArea dataOnly="0" labelOnly="1" outline="0" fieldPosition="0">
        <references count="3">
          <reference field="0" count="1" selected="0">
            <x v="175"/>
          </reference>
          <reference field="1" count="1" selected="0">
            <x v="207"/>
          </reference>
          <reference field="2" count="1">
            <x v="172"/>
          </reference>
        </references>
      </pivotArea>
    </format>
    <format dxfId="2294">
      <pivotArea dataOnly="0" labelOnly="1" outline="0" fieldPosition="0">
        <references count="3">
          <reference field="0" count="1" selected="0">
            <x v="176"/>
          </reference>
          <reference field="1" count="1" selected="0">
            <x v="208"/>
          </reference>
          <reference field="2" count="1">
            <x v="215"/>
          </reference>
        </references>
      </pivotArea>
    </format>
    <format dxfId="2293">
      <pivotArea dataOnly="0" labelOnly="1" outline="0" fieldPosition="0">
        <references count="3">
          <reference field="0" count="1" selected="0">
            <x v="177"/>
          </reference>
          <reference field="1" count="1" selected="0">
            <x v="209"/>
          </reference>
          <reference field="2" count="1">
            <x v="114"/>
          </reference>
        </references>
      </pivotArea>
    </format>
    <format dxfId="2292">
      <pivotArea dataOnly="0" labelOnly="1" outline="0" fieldPosition="0">
        <references count="3">
          <reference field="0" count="1" selected="0">
            <x v="178"/>
          </reference>
          <reference field="1" count="1" selected="0">
            <x v="210"/>
          </reference>
          <reference field="2" count="1">
            <x v="11"/>
          </reference>
        </references>
      </pivotArea>
    </format>
    <format dxfId="2291">
      <pivotArea dataOnly="0" labelOnly="1" outline="0" fieldPosition="0">
        <references count="3">
          <reference field="0" count="1" selected="0">
            <x v="179"/>
          </reference>
          <reference field="1" count="1" selected="0">
            <x v="211"/>
          </reference>
          <reference field="2" count="1">
            <x v="96"/>
          </reference>
        </references>
      </pivotArea>
    </format>
    <format dxfId="2290">
      <pivotArea dataOnly="0" labelOnly="1" outline="0" fieldPosition="0">
        <references count="3">
          <reference field="0" count="1" selected="0">
            <x v="180"/>
          </reference>
          <reference field="1" count="1" selected="0">
            <x v="212"/>
          </reference>
          <reference field="2" count="1">
            <x v="97"/>
          </reference>
        </references>
      </pivotArea>
    </format>
    <format dxfId="2289">
      <pivotArea dataOnly="0" labelOnly="1" outline="0" fieldPosition="0">
        <references count="3">
          <reference field="0" count="1" selected="0">
            <x v="181"/>
          </reference>
          <reference field="1" count="1" selected="0">
            <x v="213"/>
          </reference>
          <reference field="2" count="1">
            <x v="234"/>
          </reference>
        </references>
      </pivotArea>
    </format>
    <format dxfId="2288">
      <pivotArea dataOnly="0" labelOnly="1" outline="0" fieldPosition="0">
        <references count="3">
          <reference field="0" count="1" selected="0">
            <x v="182"/>
          </reference>
          <reference field="1" count="1" selected="0">
            <x v="214"/>
          </reference>
          <reference field="2" count="1">
            <x v="235"/>
          </reference>
        </references>
      </pivotArea>
    </format>
    <format dxfId="2287">
      <pivotArea dataOnly="0" labelOnly="1" outline="0" fieldPosition="0">
        <references count="3">
          <reference field="0" count="1" selected="0">
            <x v="183"/>
          </reference>
          <reference field="1" count="1" selected="0">
            <x v="215"/>
          </reference>
          <reference field="2" count="1">
            <x v="206"/>
          </reference>
        </references>
      </pivotArea>
    </format>
    <format dxfId="2286">
      <pivotArea dataOnly="0" labelOnly="1" outline="0" fieldPosition="0">
        <references count="3">
          <reference field="0" count="1" selected="0">
            <x v="184"/>
          </reference>
          <reference field="1" count="1" selected="0">
            <x v="216"/>
          </reference>
          <reference field="2" count="1">
            <x v="111"/>
          </reference>
        </references>
      </pivotArea>
    </format>
    <format dxfId="2285">
      <pivotArea dataOnly="0" labelOnly="1" outline="0" fieldPosition="0">
        <references count="3">
          <reference field="0" count="1" selected="0">
            <x v="185"/>
          </reference>
          <reference field="1" count="1" selected="0">
            <x v="217"/>
          </reference>
          <reference field="2" count="1">
            <x v="113"/>
          </reference>
        </references>
      </pivotArea>
    </format>
    <format dxfId="2284">
      <pivotArea dataOnly="0" labelOnly="1" outline="0" fieldPosition="0">
        <references count="3">
          <reference field="0" count="1" selected="0">
            <x v="186"/>
          </reference>
          <reference field="1" count="1" selected="0">
            <x v="218"/>
          </reference>
          <reference field="2" count="1">
            <x v="93"/>
          </reference>
        </references>
      </pivotArea>
    </format>
    <format dxfId="2283">
      <pivotArea dataOnly="0" labelOnly="1" outline="0" fieldPosition="0">
        <references count="3">
          <reference field="0" count="1" selected="0">
            <x v="187"/>
          </reference>
          <reference field="1" count="1" selected="0">
            <x v="219"/>
          </reference>
          <reference field="2" count="1">
            <x v="104"/>
          </reference>
        </references>
      </pivotArea>
    </format>
    <format dxfId="2282">
      <pivotArea dataOnly="0" labelOnly="1" outline="0" fieldPosition="0">
        <references count="3">
          <reference field="0" count="1" selected="0">
            <x v="188"/>
          </reference>
          <reference field="1" count="1" selected="0">
            <x v="220"/>
          </reference>
          <reference field="2" count="1">
            <x v="196"/>
          </reference>
        </references>
      </pivotArea>
    </format>
    <format dxfId="2281">
      <pivotArea dataOnly="0" labelOnly="1" outline="0" fieldPosition="0">
        <references count="3">
          <reference field="0" count="1" selected="0">
            <x v="189"/>
          </reference>
          <reference field="1" count="1" selected="0">
            <x v="221"/>
          </reference>
          <reference field="2" count="1">
            <x v="182"/>
          </reference>
        </references>
      </pivotArea>
    </format>
    <format dxfId="2280">
      <pivotArea dataOnly="0" labelOnly="1" outline="0" fieldPosition="0">
        <references count="3">
          <reference field="0" count="1" selected="0">
            <x v="192"/>
          </reference>
          <reference field="1" count="1" selected="0">
            <x v="224"/>
          </reference>
          <reference field="2" count="1">
            <x v="80"/>
          </reference>
        </references>
      </pivotArea>
    </format>
    <format dxfId="2279">
      <pivotArea dataOnly="0" labelOnly="1" outline="0" fieldPosition="0">
        <references count="3">
          <reference field="0" count="1" selected="0">
            <x v="193"/>
          </reference>
          <reference field="1" count="1" selected="0">
            <x v="225"/>
          </reference>
          <reference field="2" count="1">
            <x v="238"/>
          </reference>
        </references>
      </pivotArea>
    </format>
    <format dxfId="2278">
      <pivotArea dataOnly="0" labelOnly="1" outline="0" fieldPosition="0">
        <references count="3">
          <reference field="0" count="1" selected="0">
            <x v="197"/>
          </reference>
          <reference field="1" count="1" selected="0">
            <x v="236"/>
          </reference>
          <reference field="2" count="1">
            <x v="102"/>
          </reference>
        </references>
      </pivotArea>
    </format>
    <format dxfId="2277">
      <pivotArea dataOnly="0" labelOnly="1" outline="0" fieldPosition="0">
        <references count="3">
          <reference field="0" count="1" selected="0">
            <x v="199"/>
          </reference>
          <reference field="1" count="1" selected="0">
            <x v="238"/>
          </reference>
          <reference field="2" count="1">
            <x v="33"/>
          </reference>
        </references>
      </pivotArea>
    </format>
    <format dxfId="2276">
      <pivotArea dataOnly="0" labelOnly="1" outline="0" fieldPosition="0">
        <references count="3">
          <reference field="0" count="1" selected="0">
            <x v="200"/>
          </reference>
          <reference field="1" count="1" selected="0">
            <x v="239"/>
          </reference>
          <reference field="2" count="1">
            <x v="34"/>
          </reference>
        </references>
      </pivotArea>
    </format>
    <format dxfId="2275">
      <pivotArea dataOnly="0" labelOnly="1" outline="0" fieldPosition="0">
        <references count="3">
          <reference field="0" count="1" selected="0">
            <x v="201"/>
          </reference>
          <reference field="1" count="1" selected="0">
            <x v="240"/>
          </reference>
          <reference field="2" count="1">
            <x v="37"/>
          </reference>
        </references>
      </pivotArea>
    </format>
    <format dxfId="2274">
      <pivotArea dataOnly="0" labelOnly="1" outline="0" fieldPosition="0">
        <references count="3">
          <reference field="0" count="1" selected="0">
            <x v="204"/>
          </reference>
          <reference field="1" count="1" selected="0">
            <x v="149"/>
          </reference>
          <reference field="2" count="1">
            <x v="117"/>
          </reference>
        </references>
      </pivotArea>
    </format>
    <format dxfId="2273">
      <pivotArea dataOnly="0" labelOnly="1" outline="0" fieldPosition="0">
        <references count="3">
          <reference field="0" count="1" selected="0">
            <x v="206"/>
          </reference>
          <reference field="1" count="1" selected="0">
            <x v="151"/>
          </reference>
          <reference field="2" count="1">
            <x v="159"/>
          </reference>
        </references>
      </pivotArea>
    </format>
    <format dxfId="2272">
      <pivotArea dataOnly="0" labelOnly="1" outline="0" fieldPosition="0">
        <references count="3">
          <reference field="0" count="1" selected="0">
            <x v="207"/>
          </reference>
          <reference field="1" count="1" selected="0">
            <x v="152"/>
          </reference>
          <reference field="2" count="1">
            <x v="81"/>
          </reference>
        </references>
      </pivotArea>
    </format>
    <format dxfId="2271">
      <pivotArea dataOnly="0" labelOnly="1" outline="0" fieldPosition="0">
        <references count="3">
          <reference field="0" count="1" selected="0">
            <x v="208"/>
          </reference>
          <reference field="1" count="1" selected="0">
            <x v="153"/>
          </reference>
          <reference field="2" count="1">
            <x v="103"/>
          </reference>
        </references>
      </pivotArea>
    </format>
    <format dxfId="2270">
      <pivotArea dataOnly="0" labelOnly="1" outline="0" fieldPosition="0">
        <references count="3">
          <reference field="0" count="1" selected="0">
            <x v="209"/>
          </reference>
          <reference field="1" count="1" selected="0">
            <x v="154"/>
          </reference>
          <reference field="2" count="1">
            <x v="98"/>
          </reference>
        </references>
      </pivotArea>
    </format>
    <format dxfId="2269">
      <pivotArea dataOnly="0" labelOnly="1" outline="0" fieldPosition="0">
        <references count="3">
          <reference field="0" count="1" selected="0">
            <x v="210"/>
          </reference>
          <reference field="1" count="1" selected="0">
            <x v="155"/>
          </reference>
          <reference field="2" count="1">
            <x v="162"/>
          </reference>
        </references>
      </pivotArea>
    </format>
    <format dxfId="2268">
      <pivotArea dataOnly="0" labelOnly="1" outline="0" fieldPosition="0">
        <references count="3">
          <reference field="0" count="1" selected="0">
            <x v="211"/>
          </reference>
          <reference field="1" count="1" selected="0">
            <x v="156"/>
          </reference>
          <reference field="2" count="1">
            <x v="164"/>
          </reference>
        </references>
      </pivotArea>
    </format>
    <format dxfId="2267">
      <pivotArea dataOnly="0" labelOnly="1" outline="0" fieldPosition="0">
        <references count="3">
          <reference field="0" count="1" selected="0">
            <x v="212"/>
          </reference>
          <reference field="1" count="1" selected="0">
            <x v="157"/>
          </reference>
          <reference field="2" count="1">
            <x v="170"/>
          </reference>
        </references>
      </pivotArea>
    </format>
    <format dxfId="2266">
      <pivotArea dataOnly="0" labelOnly="1" outline="0" fieldPosition="0">
        <references count="3">
          <reference field="0" count="1" selected="0">
            <x v="214"/>
          </reference>
          <reference field="1" count="1" selected="0">
            <x v="159"/>
          </reference>
          <reference field="2" count="1">
            <x v="139"/>
          </reference>
        </references>
      </pivotArea>
    </format>
    <format dxfId="2265">
      <pivotArea dataOnly="0" labelOnly="1" outline="0" fieldPosition="0">
        <references count="3">
          <reference field="0" count="1" selected="0">
            <x v="215"/>
          </reference>
          <reference field="1" count="1" selected="0">
            <x v="160"/>
          </reference>
          <reference field="2" count="1">
            <x v="137"/>
          </reference>
        </references>
      </pivotArea>
    </format>
    <format dxfId="2264">
      <pivotArea dataOnly="0" labelOnly="1" outline="0" fieldPosition="0">
        <references count="3">
          <reference field="0" count="1" selected="0">
            <x v="216"/>
          </reference>
          <reference field="1" count="1" selected="0">
            <x v="161"/>
          </reference>
          <reference field="2" count="1">
            <x v="136"/>
          </reference>
        </references>
      </pivotArea>
    </format>
    <format dxfId="2263">
      <pivotArea dataOnly="0" labelOnly="1" outline="0" fieldPosition="0">
        <references count="3">
          <reference field="0" count="1" selected="0">
            <x v="217"/>
          </reference>
          <reference field="1" count="1" selected="0">
            <x v="162"/>
          </reference>
          <reference field="2" count="1">
            <x v="13"/>
          </reference>
        </references>
      </pivotArea>
    </format>
    <format dxfId="2262">
      <pivotArea dataOnly="0" labelOnly="1" outline="0" fieldPosition="0">
        <references count="3">
          <reference field="0" count="1" selected="0">
            <x v="218"/>
          </reference>
          <reference field="1" count="1" selected="0">
            <x v="163"/>
          </reference>
          <reference field="2" count="1">
            <x v="179"/>
          </reference>
        </references>
      </pivotArea>
    </format>
    <format dxfId="2261">
      <pivotArea dataOnly="0" labelOnly="1" outline="0" fieldPosition="0">
        <references count="3">
          <reference field="0" count="1" selected="0">
            <x v="219"/>
          </reference>
          <reference field="1" count="1" selected="0">
            <x v="164"/>
          </reference>
          <reference field="2" count="1">
            <x v="138"/>
          </reference>
        </references>
      </pivotArea>
    </format>
    <format dxfId="2260">
      <pivotArea dataOnly="0" labelOnly="1" outline="0" fieldPosition="0">
        <references count="3">
          <reference field="0" count="1" selected="0">
            <x v="220"/>
          </reference>
          <reference field="1" count="1" selected="0">
            <x v="165"/>
          </reference>
          <reference field="2" count="1">
            <x v="142"/>
          </reference>
        </references>
      </pivotArea>
    </format>
    <format dxfId="2259">
      <pivotArea dataOnly="0" labelOnly="1" outline="0" fieldPosition="0">
        <references count="3">
          <reference field="0" count="1" selected="0">
            <x v="221"/>
          </reference>
          <reference field="1" count="1" selected="0">
            <x v="166"/>
          </reference>
          <reference field="2" count="1">
            <x v="143"/>
          </reference>
        </references>
      </pivotArea>
    </format>
    <format dxfId="2258">
      <pivotArea dataOnly="0" labelOnly="1" outline="0" fieldPosition="0">
        <references count="3">
          <reference field="0" count="1" selected="0">
            <x v="223"/>
          </reference>
          <reference field="1" count="1" selected="0">
            <x v="168"/>
          </reference>
          <reference field="2" count="1">
            <x v="71"/>
          </reference>
        </references>
      </pivotArea>
    </format>
    <format dxfId="2257">
      <pivotArea dataOnly="0" labelOnly="1" outline="0" fieldPosition="0">
        <references count="3">
          <reference field="0" count="1" selected="0">
            <x v="224"/>
          </reference>
          <reference field="1" count="1" selected="0">
            <x v="169"/>
          </reference>
          <reference field="2" count="1">
            <x v="121"/>
          </reference>
        </references>
      </pivotArea>
    </format>
    <format dxfId="2256">
      <pivotArea dataOnly="0" labelOnly="1" outline="0" fieldPosition="0">
        <references count="3">
          <reference field="0" count="1" selected="0">
            <x v="225"/>
          </reference>
          <reference field="1" count="1" selected="0">
            <x v="170"/>
          </reference>
          <reference field="2" count="1">
            <x v="120"/>
          </reference>
        </references>
      </pivotArea>
    </format>
    <format dxfId="2255">
      <pivotArea dataOnly="0" labelOnly="1" outline="0" fieldPosition="0">
        <references count="3">
          <reference field="0" count="1" selected="0">
            <x v="226"/>
          </reference>
          <reference field="1" count="1" selected="0">
            <x v="171"/>
          </reference>
          <reference field="2" count="1">
            <x v="41"/>
          </reference>
        </references>
      </pivotArea>
    </format>
    <format dxfId="2254">
      <pivotArea dataOnly="0" labelOnly="1" outline="0" fieldPosition="0">
        <references count="3">
          <reference field="0" count="1" selected="0">
            <x v="227"/>
          </reference>
          <reference field="1" count="1" selected="0">
            <x v="172"/>
          </reference>
          <reference field="2" count="1">
            <x v="42"/>
          </reference>
        </references>
      </pivotArea>
    </format>
    <format dxfId="2253">
      <pivotArea dataOnly="0" labelOnly="1" outline="0" fieldPosition="0">
        <references count="3">
          <reference field="0" count="1" selected="0">
            <x v="228"/>
          </reference>
          <reference field="1" count="1" selected="0">
            <x v="173"/>
          </reference>
          <reference field="2" count="1">
            <x v="145"/>
          </reference>
        </references>
      </pivotArea>
    </format>
    <format dxfId="2252">
      <pivotArea dataOnly="0" labelOnly="1" outline="0" fieldPosition="0">
        <references count="3">
          <reference field="0" count="1" selected="0">
            <x v="229"/>
          </reference>
          <reference field="1" count="1" selected="0">
            <x v="174"/>
          </reference>
          <reference field="2" count="1">
            <x v="91"/>
          </reference>
        </references>
      </pivotArea>
    </format>
    <format dxfId="2251">
      <pivotArea dataOnly="0" labelOnly="1" outline="0" fieldPosition="0">
        <references count="3">
          <reference field="0" count="1" selected="0">
            <x v="230"/>
          </reference>
          <reference field="1" count="1" selected="0">
            <x v="175"/>
          </reference>
          <reference field="2" count="1">
            <x v="160"/>
          </reference>
        </references>
      </pivotArea>
    </format>
    <format dxfId="2250">
      <pivotArea dataOnly="0" labelOnly="1" outline="0" fieldPosition="0">
        <references count="3">
          <reference field="0" count="1" selected="0">
            <x v="231"/>
          </reference>
          <reference field="1" count="1" selected="0">
            <x v="176"/>
          </reference>
          <reference field="2" count="1">
            <x v="42"/>
          </reference>
        </references>
      </pivotArea>
    </format>
    <format dxfId="2249">
      <pivotArea dataOnly="0" labelOnly="1" outline="0" fieldPosition="0">
        <references count="3">
          <reference field="0" count="1" selected="0">
            <x v="232"/>
          </reference>
          <reference field="1" count="1" selected="0">
            <x v="177"/>
          </reference>
          <reference field="2" count="1">
            <x v="47"/>
          </reference>
        </references>
      </pivotArea>
    </format>
    <format dxfId="2248">
      <pivotArea dataOnly="0" labelOnly="1" outline="0" fieldPosition="0">
        <references count="3">
          <reference field="0" count="1" selected="0">
            <x v="233"/>
          </reference>
          <reference field="1" count="1" selected="0">
            <x v="178"/>
          </reference>
          <reference field="2" count="1">
            <x v="32"/>
          </reference>
        </references>
      </pivotArea>
    </format>
    <format dxfId="2247">
      <pivotArea dataOnly="0" labelOnly="1" outline="0" fieldPosition="0">
        <references count="3">
          <reference field="0" count="1" selected="0">
            <x v="234"/>
          </reference>
          <reference field="1" count="1" selected="0">
            <x v="179"/>
          </reference>
          <reference field="2" count="1">
            <x v="163"/>
          </reference>
        </references>
      </pivotArea>
    </format>
    <format dxfId="2246">
      <pivotArea dataOnly="0" labelOnly="1" outline="0" fieldPosition="0">
        <references count="3">
          <reference field="0" count="1" selected="0">
            <x v="235"/>
          </reference>
          <reference field="1" count="1" selected="0">
            <x v="191"/>
          </reference>
          <reference field="2" count="1">
            <x v="155"/>
          </reference>
        </references>
      </pivotArea>
    </format>
    <format dxfId="2245">
      <pivotArea dataOnly="0" labelOnly="1" outline="0" fieldPosition="0">
        <references count="3">
          <reference field="0" count="1" selected="0">
            <x v="236"/>
          </reference>
          <reference field="1" count="1" selected="0">
            <x v="192"/>
          </reference>
          <reference field="2" count="1">
            <x v="27"/>
          </reference>
        </references>
      </pivotArea>
    </format>
    <format dxfId="2244">
      <pivotArea dataOnly="0" labelOnly="1" outline="0" fieldPosition="0">
        <references count="3">
          <reference field="0" count="1" selected="0">
            <x v="237"/>
          </reference>
          <reference field="1" count="1" selected="0">
            <x v="193"/>
          </reference>
          <reference field="2" count="1">
            <x v="89"/>
          </reference>
        </references>
      </pivotArea>
    </format>
    <format dxfId="2243">
      <pivotArea dataOnly="0" labelOnly="1" outline="0" fieldPosition="0">
        <references count="3">
          <reference field="0" count="1" selected="0">
            <x v="238"/>
          </reference>
          <reference field="1" count="1" selected="0">
            <x v="194"/>
          </reference>
          <reference field="2" count="1">
            <x v="25"/>
          </reference>
        </references>
      </pivotArea>
    </format>
    <format dxfId="2242">
      <pivotArea dataOnly="0" labelOnly="1" outline="0" fieldPosition="0">
        <references count="3">
          <reference field="0" count="1" selected="0">
            <x v="239"/>
          </reference>
          <reference field="1" count="1" selected="0">
            <x v="195"/>
          </reference>
          <reference field="2" count="1">
            <x v="28"/>
          </reference>
        </references>
      </pivotArea>
    </format>
    <format dxfId="2241">
      <pivotArea dataOnly="0" labelOnly="1" outline="0" fieldPosition="0">
        <references count="3">
          <reference field="0" count="1" selected="0">
            <x v="240"/>
          </reference>
          <reference field="1" count="1" selected="0">
            <x v="196"/>
          </reference>
          <reference field="2" count="1">
            <x v="40"/>
          </reference>
        </references>
      </pivotArea>
    </format>
    <format dxfId="2240">
      <pivotArea dataOnly="0" labelOnly="1" outline="0" fieldPosition="0">
        <references count="3">
          <reference field="0" count="1" selected="0">
            <x v="241"/>
          </reference>
          <reference field="1" count="1" selected="0">
            <x v="197"/>
          </reference>
          <reference field="2" count="1">
            <x v="195"/>
          </reference>
        </references>
      </pivotArea>
    </format>
    <format dxfId="2239">
      <pivotArea dataOnly="0" labelOnly="1" outline="0" fieldPosition="0">
        <references count="3">
          <reference field="0" count="1" selected="0">
            <x v="242"/>
          </reference>
          <reference field="1" count="1" selected="0">
            <x v="198"/>
          </reference>
          <reference field="2" count="1">
            <x v="132"/>
          </reference>
        </references>
      </pivotArea>
    </format>
    <format dxfId="2238">
      <pivotArea dataOnly="0" labelOnly="1" outline="0" fieldPosition="0">
        <references count="4">
          <reference field="0" count="1" selected="0">
            <x v="0"/>
          </reference>
          <reference field="1" count="1" selected="0">
            <x v="228"/>
          </reference>
          <reference field="2" count="1" selected="0">
            <x v="153"/>
          </reference>
          <reference field="3" count="1">
            <x v="0"/>
          </reference>
        </references>
      </pivotArea>
    </format>
    <format dxfId="2237">
      <pivotArea dataOnly="0" labelOnly="1" outline="0" fieldPosition="0">
        <references count="4">
          <reference field="0" count="1" selected="0">
            <x v="2"/>
          </reference>
          <reference field="1" count="1" selected="0">
            <x v="230"/>
          </reference>
          <reference field="2" count="1" selected="0">
            <x v="225"/>
          </reference>
          <reference field="3" count="1">
            <x v="0"/>
          </reference>
        </references>
      </pivotArea>
    </format>
    <format dxfId="2236">
      <pivotArea dataOnly="0" labelOnly="1" outline="0" fieldPosition="0">
        <references count="4">
          <reference field="0" count="1" selected="0">
            <x v="3"/>
          </reference>
          <reference field="1" count="1" selected="0">
            <x v="231"/>
          </reference>
          <reference field="2" count="1" selected="0">
            <x v="88"/>
          </reference>
          <reference field="3" count="1">
            <x v="0"/>
          </reference>
        </references>
      </pivotArea>
    </format>
    <format dxfId="2235">
      <pivotArea dataOnly="0" labelOnly="1" outline="0" fieldPosition="0">
        <references count="4">
          <reference field="0" count="1" selected="0">
            <x v="4"/>
          </reference>
          <reference field="1" count="1" selected="0">
            <x v="232"/>
          </reference>
          <reference field="2" count="1" selected="0">
            <x v="90"/>
          </reference>
          <reference field="3" count="1">
            <x v="0"/>
          </reference>
        </references>
      </pivotArea>
    </format>
    <format dxfId="2234">
      <pivotArea dataOnly="0" labelOnly="1" outline="0" fieldPosition="0">
        <references count="4">
          <reference field="0" count="1" selected="0">
            <x v="5"/>
          </reference>
          <reference field="1" count="1" selected="0">
            <x v="233"/>
          </reference>
          <reference field="2" count="1" selected="0">
            <x v="224"/>
          </reference>
          <reference field="3" count="1">
            <x v="0"/>
          </reference>
        </references>
      </pivotArea>
    </format>
    <format dxfId="2233">
      <pivotArea dataOnly="0" labelOnly="1" outline="0" fieldPosition="0">
        <references count="4">
          <reference field="0" count="1" selected="0">
            <x v="7"/>
          </reference>
          <reference field="1" count="1" selected="0">
            <x v="118"/>
          </reference>
          <reference field="2" count="1" selected="0">
            <x v="171"/>
          </reference>
          <reference field="3" count="1">
            <x v="0"/>
          </reference>
        </references>
      </pivotArea>
    </format>
    <format dxfId="2232">
      <pivotArea dataOnly="0" labelOnly="1" outline="0" fieldPosition="0">
        <references count="4">
          <reference field="0" count="1" selected="0">
            <x v="9"/>
          </reference>
          <reference field="1" count="1" selected="0">
            <x v="120"/>
          </reference>
          <reference field="2" count="1" selected="0">
            <x v="168"/>
          </reference>
          <reference field="3" count="1">
            <x v="0"/>
          </reference>
        </references>
      </pivotArea>
    </format>
    <format dxfId="2231">
      <pivotArea dataOnly="0" labelOnly="1" outline="0" fieldPosition="0">
        <references count="4">
          <reference field="0" count="1" selected="0">
            <x v="10"/>
          </reference>
          <reference field="1" count="1" selected="0">
            <x v="121"/>
          </reference>
          <reference field="2" count="1" selected="0">
            <x v="82"/>
          </reference>
          <reference field="3" count="1">
            <x v="0"/>
          </reference>
        </references>
      </pivotArea>
    </format>
    <format dxfId="2230">
      <pivotArea dataOnly="0" labelOnly="1" outline="0" fieldPosition="0">
        <references count="4">
          <reference field="0" count="1" selected="0">
            <x v="11"/>
          </reference>
          <reference field="1" count="1" selected="0">
            <x v="122"/>
          </reference>
          <reference field="2" count="1" selected="0">
            <x v="26"/>
          </reference>
          <reference field="3" count="1">
            <x v="0"/>
          </reference>
        </references>
      </pivotArea>
    </format>
    <format dxfId="2229">
      <pivotArea dataOnly="0" labelOnly="1" outline="0" fieldPosition="0">
        <references count="4">
          <reference field="0" count="1" selected="0">
            <x v="12"/>
          </reference>
          <reference field="1" count="1" selected="0">
            <x v="123"/>
          </reference>
          <reference field="2" count="1" selected="0">
            <x v="150"/>
          </reference>
          <reference field="3" count="1">
            <x v="0"/>
          </reference>
        </references>
      </pivotArea>
    </format>
    <format dxfId="2228">
      <pivotArea dataOnly="0" labelOnly="1" outline="0" fieldPosition="0">
        <references count="4">
          <reference field="0" count="1" selected="0">
            <x v="16"/>
          </reference>
          <reference field="1" count="1" selected="0">
            <x v="64"/>
          </reference>
          <reference field="2" count="1" selected="0">
            <x v="157"/>
          </reference>
          <reference field="3" count="1">
            <x v="0"/>
          </reference>
        </references>
      </pivotArea>
    </format>
    <format dxfId="2227">
      <pivotArea dataOnly="0" labelOnly="1" outline="0" fieldPosition="0">
        <references count="4">
          <reference field="0" count="1" selected="0">
            <x v="18"/>
          </reference>
          <reference field="1" count="1" selected="0">
            <x v="66"/>
          </reference>
          <reference field="2" count="1" selected="0">
            <x v="189"/>
          </reference>
          <reference field="3" count="1">
            <x v="0"/>
          </reference>
        </references>
      </pivotArea>
    </format>
    <format dxfId="2226">
      <pivotArea dataOnly="0" labelOnly="1" outline="0" fieldPosition="0">
        <references count="4">
          <reference field="0" count="1" selected="0">
            <x v="22"/>
          </reference>
          <reference field="1" count="1" selected="0">
            <x v="19"/>
          </reference>
          <reference field="2" count="1" selected="0">
            <x v="39"/>
          </reference>
          <reference field="3" count="1">
            <x v="0"/>
          </reference>
        </references>
      </pivotArea>
    </format>
    <format dxfId="2225">
      <pivotArea dataOnly="0" labelOnly="1" outline="0" fieldPosition="0">
        <references count="4">
          <reference field="0" count="1" selected="0">
            <x v="25"/>
          </reference>
          <reference field="1" count="1" selected="0">
            <x v="22"/>
          </reference>
          <reference field="2" count="1" selected="0">
            <x v="84"/>
          </reference>
          <reference field="3" count="1">
            <x v="0"/>
          </reference>
        </references>
      </pivotArea>
    </format>
    <format dxfId="2224">
      <pivotArea dataOnly="0" labelOnly="1" outline="0" fieldPosition="0">
        <references count="4">
          <reference field="0" count="1" selected="0">
            <x v="26"/>
          </reference>
          <reference field="1" count="1" selected="0">
            <x v="23"/>
          </reference>
          <reference field="2" count="1" selected="0">
            <x v="217"/>
          </reference>
          <reference field="3" count="1">
            <x v="0"/>
          </reference>
        </references>
      </pivotArea>
    </format>
    <format dxfId="2223">
      <pivotArea dataOnly="0" labelOnly="1" outline="0" fieldPosition="0">
        <references count="4">
          <reference field="0" count="1" selected="0">
            <x v="28"/>
          </reference>
          <reference field="1" count="1" selected="0">
            <x v="25"/>
          </reference>
          <reference field="2" count="1" selected="0">
            <x v="52"/>
          </reference>
          <reference field="3" count="1">
            <x v="0"/>
          </reference>
        </references>
      </pivotArea>
    </format>
    <format dxfId="2222">
      <pivotArea dataOnly="0" labelOnly="1" outline="0" fieldPosition="0">
        <references count="4">
          <reference field="0" count="1" selected="0">
            <x v="29"/>
          </reference>
          <reference field="1" count="1" selected="0">
            <x v="26"/>
          </reference>
          <reference field="2" count="1" selected="0">
            <x v="62"/>
          </reference>
          <reference field="3" count="1">
            <x v="0"/>
          </reference>
        </references>
      </pivotArea>
    </format>
    <format dxfId="2221">
      <pivotArea dataOnly="0" labelOnly="1" outline="0" fieldPosition="0">
        <references count="4">
          <reference field="0" count="1" selected="0">
            <x v="30"/>
          </reference>
          <reference field="1" count="1" selected="0">
            <x v="27"/>
          </reference>
          <reference field="2" count="1" selected="0">
            <x v="7"/>
          </reference>
          <reference field="3" count="1">
            <x v="0"/>
          </reference>
        </references>
      </pivotArea>
    </format>
    <format dxfId="2220">
      <pivotArea dataOnly="0" labelOnly="1" outline="0" fieldPosition="0">
        <references count="4">
          <reference field="0" count="1" selected="0">
            <x v="31"/>
          </reference>
          <reference field="1" count="1" selected="0">
            <x v="28"/>
          </reference>
          <reference field="2" count="1" selected="0">
            <x v="53"/>
          </reference>
          <reference field="3" count="1">
            <x v="0"/>
          </reference>
        </references>
      </pivotArea>
    </format>
    <format dxfId="2219">
      <pivotArea dataOnly="0" labelOnly="1" outline="0" fieldPosition="0">
        <references count="4">
          <reference field="0" count="1" selected="0">
            <x v="35"/>
          </reference>
          <reference field="1" count="1" selected="0">
            <x v="32"/>
          </reference>
          <reference field="2" count="1" selected="0">
            <x v="51"/>
          </reference>
          <reference field="3" count="1">
            <x v="0"/>
          </reference>
        </references>
      </pivotArea>
    </format>
    <format dxfId="2218">
      <pivotArea dataOnly="0" labelOnly="1" outline="0" fieldPosition="0">
        <references count="4">
          <reference field="0" count="1" selected="0">
            <x v="36"/>
          </reference>
          <reference field="1" count="1" selected="0">
            <x v="33"/>
          </reference>
          <reference field="2" count="1" selected="0">
            <x v="130"/>
          </reference>
          <reference field="3" count="1">
            <x v="0"/>
          </reference>
        </references>
      </pivotArea>
    </format>
    <format dxfId="2217">
      <pivotArea dataOnly="0" labelOnly="1" outline="0" fieldPosition="0">
        <references count="4">
          <reference field="0" count="1" selected="0">
            <x v="37"/>
          </reference>
          <reference field="1" count="1" selected="0">
            <x v="34"/>
          </reference>
          <reference field="2" count="1" selected="0">
            <x v="70"/>
          </reference>
          <reference field="3" count="1">
            <x v="0"/>
          </reference>
        </references>
      </pivotArea>
    </format>
    <format dxfId="2216">
      <pivotArea dataOnly="0" labelOnly="1" outline="0" fieldPosition="0">
        <references count="4">
          <reference field="0" count="1" selected="0">
            <x v="38"/>
          </reference>
          <reference field="1" count="1" selected="0">
            <x v="0"/>
          </reference>
          <reference field="2" count="1" selected="0">
            <x v="45"/>
          </reference>
          <reference field="3" count="1">
            <x v="0"/>
          </reference>
        </references>
      </pivotArea>
    </format>
    <format dxfId="2215">
      <pivotArea dataOnly="0" labelOnly="1" outline="0" fieldPosition="0">
        <references count="4">
          <reference field="0" count="1" selected="0">
            <x v="39"/>
          </reference>
          <reference field="1" count="1" selected="0">
            <x v="1"/>
          </reference>
          <reference field="2" count="1" selected="0">
            <x v="46"/>
          </reference>
          <reference field="3" count="1">
            <x v="0"/>
          </reference>
        </references>
      </pivotArea>
    </format>
    <format dxfId="2214">
      <pivotArea dataOnly="0" labelOnly="1" outline="0" fieldPosition="0">
        <references count="4">
          <reference field="0" count="1" selected="0">
            <x v="42"/>
          </reference>
          <reference field="1" count="1" selected="0">
            <x v="4"/>
          </reference>
          <reference field="2" count="1" selected="0">
            <x v="64"/>
          </reference>
          <reference field="3" count="1">
            <x v="0"/>
          </reference>
        </references>
      </pivotArea>
    </format>
    <format dxfId="2213">
      <pivotArea dataOnly="0" labelOnly="1" outline="0" fieldPosition="0">
        <references count="4">
          <reference field="0" count="1" selected="0">
            <x v="43"/>
          </reference>
          <reference field="1" count="1" selected="0">
            <x v="5"/>
          </reference>
          <reference field="2" count="1" selected="0">
            <x v="19"/>
          </reference>
          <reference field="3" count="1">
            <x v="0"/>
          </reference>
        </references>
      </pivotArea>
    </format>
    <format dxfId="2212">
      <pivotArea dataOnly="0" labelOnly="1" outline="0" fieldPosition="0">
        <references count="4">
          <reference field="0" count="1" selected="0">
            <x v="44"/>
          </reference>
          <reference field="1" count="1" selected="0">
            <x v="6"/>
          </reference>
          <reference field="2" count="1" selected="0">
            <x v="23"/>
          </reference>
          <reference field="3" count="1">
            <x v="0"/>
          </reference>
        </references>
      </pivotArea>
    </format>
    <format dxfId="2211">
      <pivotArea dataOnly="0" labelOnly="1" outline="0" fieldPosition="0">
        <references count="4">
          <reference field="0" count="1" selected="0">
            <x v="45"/>
          </reference>
          <reference field="1" count="1" selected="0">
            <x v="7"/>
          </reference>
          <reference field="2" count="1" selected="0">
            <x v="22"/>
          </reference>
          <reference field="3" count="1">
            <x v="0"/>
          </reference>
        </references>
      </pivotArea>
    </format>
    <format dxfId="2210">
      <pivotArea dataOnly="0" labelOnly="1" outline="0" fieldPosition="0">
        <references count="4">
          <reference field="0" count="1" selected="0">
            <x v="46"/>
          </reference>
          <reference field="1" count="1" selected="0">
            <x v="8"/>
          </reference>
          <reference field="2" count="1" selected="0">
            <x v="135"/>
          </reference>
          <reference field="3" count="1">
            <x v="0"/>
          </reference>
        </references>
      </pivotArea>
    </format>
    <format dxfId="2209">
      <pivotArea dataOnly="0" labelOnly="1" outline="0" fieldPosition="0">
        <references count="4">
          <reference field="0" count="1" selected="0">
            <x v="47"/>
          </reference>
          <reference field="1" count="1" selected="0">
            <x v="9"/>
          </reference>
          <reference field="2" count="1" selected="0">
            <x v="141"/>
          </reference>
          <reference field="3" count="1">
            <x v="0"/>
          </reference>
        </references>
      </pivotArea>
    </format>
    <format dxfId="2208">
      <pivotArea dataOnly="0" labelOnly="1" outline="0" fieldPosition="0">
        <references count="4">
          <reference field="0" count="1" selected="0">
            <x v="49"/>
          </reference>
          <reference field="1" count="1" selected="0">
            <x v="11"/>
          </reference>
          <reference field="2" count="1" selected="0">
            <x v="127"/>
          </reference>
          <reference field="3" count="1">
            <x v="0"/>
          </reference>
        </references>
      </pivotArea>
    </format>
    <format dxfId="2207">
      <pivotArea dataOnly="0" labelOnly="1" outline="0" fieldPosition="0">
        <references count="4">
          <reference field="0" count="1" selected="0">
            <x v="55"/>
          </reference>
          <reference field="1" count="1" selected="0">
            <x v="35"/>
          </reference>
          <reference field="2" count="1" selected="0">
            <x v="65"/>
          </reference>
          <reference field="3" count="1">
            <x v="0"/>
          </reference>
        </references>
      </pivotArea>
    </format>
    <format dxfId="2206">
      <pivotArea dataOnly="0" labelOnly="1" outline="0" fieldPosition="0">
        <references count="4">
          <reference field="0" count="1" selected="0">
            <x v="56"/>
          </reference>
          <reference field="1" count="1" selected="0">
            <x v="36"/>
          </reference>
          <reference field="2" count="1" selected="0">
            <x v="183"/>
          </reference>
          <reference field="3" count="1">
            <x v="0"/>
          </reference>
        </references>
      </pivotArea>
    </format>
    <format dxfId="2205">
      <pivotArea dataOnly="0" labelOnly="1" outline="0" fieldPosition="0">
        <references count="4">
          <reference field="0" count="1" selected="0">
            <x v="62"/>
          </reference>
          <reference field="1" count="1" selected="0">
            <x v="42"/>
          </reference>
          <reference field="2" count="1" selected="0">
            <x v="15"/>
          </reference>
          <reference field="3" count="1">
            <x v="0"/>
          </reference>
        </references>
      </pivotArea>
    </format>
    <format dxfId="2204">
      <pivotArea dataOnly="0" labelOnly="1" outline="0" fieldPosition="0">
        <references count="4">
          <reference field="0" count="1" selected="0">
            <x v="63"/>
          </reference>
          <reference field="1" count="1" selected="0">
            <x v="43"/>
          </reference>
          <reference field="2" count="1" selected="0">
            <x v="152"/>
          </reference>
          <reference field="3" count="1">
            <x v="0"/>
          </reference>
        </references>
      </pivotArea>
    </format>
    <format dxfId="2203">
      <pivotArea dataOnly="0" labelOnly="1" outline="0" fieldPosition="0">
        <references count="4">
          <reference field="0" count="1" selected="0">
            <x v="64"/>
          </reference>
          <reference field="1" count="1" selected="0">
            <x v="44"/>
          </reference>
          <reference field="2" count="1" selected="0">
            <x v="146"/>
          </reference>
          <reference field="3" count="1">
            <x v="0"/>
          </reference>
        </references>
      </pivotArea>
    </format>
    <format dxfId="2202">
      <pivotArea dataOnly="0" labelOnly="1" outline="0" fieldPosition="0">
        <references count="4">
          <reference field="0" count="1" selected="0">
            <x v="65"/>
          </reference>
          <reference field="1" count="1" selected="0">
            <x v="45"/>
          </reference>
          <reference field="2" count="1" selected="0">
            <x v="204"/>
          </reference>
          <reference field="3" count="1">
            <x v="0"/>
          </reference>
        </references>
      </pivotArea>
    </format>
    <format dxfId="2201">
      <pivotArea dataOnly="0" labelOnly="1" outline="0" fieldPosition="0">
        <references count="4">
          <reference field="0" count="1" selected="0">
            <x v="66"/>
          </reference>
          <reference field="1" count="1" selected="0">
            <x v="46"/>
          </reference>
          <reference field="2" count="1" selected="0">
            <x v="92"/>
          </reference>
          <reference field="3" count="1">
            <x v="0"/>
          </reference>
        </references>
      </pivotArea>
    </format>
    <format dxfId="2200">
      <pivotArea dataOnly="0" labelOnly="1" outline="0" fieldPosition="0">
        <references count="4">
          <reference field="0" count="1" selected="0">
            <x v="67"/>
          </reference>
          <reference field="1" count="1" selected="0">
            <x v="47"/>
          </reference>
          <reference field="2" count="1" selected="0">
            <x v="181"/>
          </reference>
          <reference field="3" count="1">
            <x v="0"/>
          </reference>
        </references>
      </pivotArea>
    </format>
    <format dxfId="2199">
      <pivotArea dataOnly="0" labelOnly="1" outline="0" fieldPosition="0">
        <references count="4">
          <reference field="0" count="1" selected="0">
            <x v="68"/>
          </reference>
          <reference field="1" count="1" selected="0">
            <x v="48"/>
          </reference>
          <reference field="2" count="1" selected="0">
            <x v="231"/>
          </reference>
          <reference field="3" count="1">
            <x v="0"/>
          </reference>
        </references>
      </pivotArea>
    </format>
    <format dxfId="2198">
      <pivotArea dataOnly="0" labelOnly="1" outline="0" fieldPosition="0">
        <references count="4">
          <reference field="0" count="1" selected="0">
            <x v="79"/>
          </reference>
          <reference field="1" count="1" selected="0">
            <x v="59"/>
          </reference>
          <reference field="2" count="1" selected="0">
            <x v="21"/>
          </reference>
          <reference field="3" count="1">
            <x v="0"/>
          </reference>
        </references>
      </pivotArea>
    </format>
    <format dxfId="2197">
      <pivotArea dataOnly="0" labelOnly="1" outline="0" fieldPosition="0">
        <references count="4">
          <reference field="0" count="1" selected="0">
            <x v="81"/>
          </reference>
          <reference field="1" count="1" selected="0">
            <x v="68"/>
          </reference>
          <reference field="2" count="1" selected="0">
            <x v="112"/>
          </reference>
          <reference field="3" count="1">
            <x v="0"/>
          </reference>
        </references>
      </pivotArea>
    </format>
    <format dxfId="2196">
      <pivotArea dataOnly="0" labelOnly="1" outline="0" fieldPosition="0">
        <references count="4">
          <reference field="0" count="1" selected="0">
            <x v="82"/>
          </reference>
          <reference field="1" count="1" selected="0">
            <x v="69"/>
          </reference>
          <reference field="2" count="1" selected="0">
            <x v="226"/>
          </reference>
          <reference field="3" count="1">
            <x v="0"/>
          </reference>
        </references>
      </pivotArea>
    </format>
    <format dxfId="2195">
      <pivotArea dataOnly="0" labelOnly="1" outline="0" fieldPosition="0">
        <references count="4">
          <reference field="0" count="1" selected="0">
            <x v="83"/>
          </reference>
          <reference field="1" count="1" selected="0">
            <x v="70"/>
          </reference>
          <reference field="2" count="1" selected="0">
            <x v="193"/>
          </reference>
          <reference field="3" count="1">
            <x v="0"/>
          </reference>
        </references>
      </pivotArea>
    </format>
    <format dxfId="2194">
      <pivotArea dataOnly="0" labelOnly="1" outline="0" fieldPosition="0">
        <references count="4">
          <reference field="0" count="1" selected="0">
            <x v="84"/>
          </reference>
          <reference field="1" count="1" selected="0">
            <x v="71"/>
          </reference>
          <reference field="2" count="1" selected="0">
            <x v="192"/>
          </reference>
          <reference field="3" count="1">
            <x v="0"/>
          </reference>
        </references>
      </pivotArea>
    </format>
    <format dxfId="2193">
      <pivotArea dataOnly="0" labelOnly="1" outline="0" fieldPosition="0">
        <references count="4">
          <reference field="0" count="1" selected="0">
            <x v="85"/>
          </reference>
          <reference field="1" count="1" selected="0">
            <x v="72"/>
          </reference>
          <reference field="2" count="1" selected="0">
            <x v="87"/>
          </reference>
          <reference field="3" count="1">
            <x v="0"/>
          </reference>
        </references>
      </pivotArea>
    </format>
    <format dxfId="2192">
      <pivotArea dataOnly="0" labelOnly="1" outline="0" fieldPosition="0">
        <references count="4">
          <reference field="0" count="1" selected="0">
            <x v="86"/>
          </reference>
          <reference field="1" count="1" selected="0">
            <x v="73"/>
          </reference>
          <reference field="2" count="1" selected="0">
            <x v="154"/>
          </reference>
          <reference field="3" count="1">
            <x v="0"/>
          </reference>
        </references>
      </pivotArea>
    </format>
    <format dxfId="2191">
      <pivotArea dataOnly="0" labelOnly="1" outline="0" fieldPosition="0">
        <references count="4">
          <reference field="0" count="1" selected="0">
            <x v="87"/>
          </reference>
          <reference field="1" count="1" selected="0">
            <x v="74"/>
          </reference>
          <reference field="2" count="1" selected="0">
            <x v="208"/>
          </reference>
          <reference field="3" count="1">
            <x v="0"/>
          </reference>
        </references>
      </pivotArea>
    </format>
    <format dxfId="2190">
      <pivotArea dataOnly="0" labelOnly="1" outline="0" fieldPosition="0">
        <references count="4">
          <reference field="0" count="1" selected="0">
            <x v="88"/>
          </reference>
          <reference field="1" count="1" selected="0">
            <x v="75"/>
          </reference>
          <reference field="2" count="1" selected="0">
            <x v="38"/>
          </reference>
          <reference field="3" count="1">
            <x v="0"/>
          </reference>
        </references>
      </pivotArea>
    </format>
    <format dxfId="2189">
      <pivotArea dataOnly="0" labelOnly="1" outline="0" fieldPosition="0">
        <references count="4">
          <reference field="0" count="1" selected="0">
            <x v="89"/>
          </reference>
          <reference field="1" count="1" selected="0">
            <x v="76"/>
          </reference>
          <reference field="2" count="1" selected="0">
            <x v="232"/>
          </reference>
          <reference field="3" count="1">
            <x v="0"/>
          </reference>
        </references>
      </pivotArea>
    </format>
    <format dxfId="2188">
      <pivotArea dataOnly="0" labelOnly="1" outline="0" fieldPosition="0">
        <references count="4">
          <reference field="0" count="1" selected="0">
            <x v="90"/>
          </reference>
          <reference field="1" count="1" selected="0">
            <x v="77"/>
          </reference>
          <reference field="2" count="1" selected="0">
            <x v="43"/>
          </reference>
          <reference field="3" count="1">
            <x v="0"/>
          </reference>
        </references>
      </pivotArea>
    </format>
    <format dxfId="2187">
      <pivotArea dataOnly="0" labelOnly="1" outline="0" fieldPosition="0">
        <references count="4">
          <reference field="0" count="1" selected="0">
            <x v="91"/>
          </reference>
          <reference field="1" count="1" selected="0">
            <x v="78"/>
          </reference>
          <reference field="2" count="1" selected="0">
            <x v="12"/>
          </reference>
          <reference field="3" count="1">
            <x v="0"/>
          </reference>
        </references>
      </pivotArea>
    </format>
    <format dxfId="2186">
      <pivotArea dataOnly="0" labelOnly="1" outline="0" fieldPosition="0">
        <references count="4">
          <reference field="0" count="1" selected="0">
            <x v="93"/>
          </reference>
          <reference field="1" count="1" selected="0">
            <x v="80"/>
          </reference>
          <reference field="2" count="1" selected="0">
            <x v="180"/>
          </reference>
          <reference field="3" count="1">
            <x v="0"/>
          </reference>
        </references>
      </pivotArea>
    </format>
    <format dxfId="2185">
      <pivotArea dataOnly="0" labelOnly="1" outline="0" fieldPosition="0">
        <references count="4">
          <reference field="0" count="1" selected="0">
            <x v="94"/>
          </reference>
          <reference field="1" count="1" selected="0">
            <x v="81"/>
          </reference>
          <reference field="2" count="1" selected="0">
            <x v="60"/>
          </reference>
          <reference field="3" count="1">
            <x v="0"/>
          </reference>
        </references>
      </pivotArea>
    </format>
    <format dxfId="2184">
      <pivotArea dataOnly="0" labelOnly="1" outline="0" fieldPosition="0">
        <references count="4">
          <reference field="0" count="1" selected="0">
            <x v="95"/>
          </reference>
          <reference field="1" count="1" selected="0">
            <x v="82"/>
          </reference>
          <reference field="2" count="1" selected="0">
            <x v="5"/>
          </reference>
          <reference field="3" count="1">
            <x v="0"/>
          </reference>
        </references>
      </pivotArea>
    </format>
    <format dxfId="2183">
      <pivotArea dataOnly="0" labelOnly="1" outline="0" fieldPosition="0">
        <references count="4">
          <reference field="0" count="1" selected="0">
            <x v="96"/>
          </reference>
          <reference field="1" count="1" selected="0">
            <x v="83"/>
          </reference>
          <reference field="2" count="1" selected="0">
            <x v="173"/>
          </reference>
          <reference field="3" count="1">
            <x v="0"/>
          </reference>
        </references>
      </pivotArea>
    </format>
    <format dxfId="2182">
      <pivotArea dataOnly="0" labelOnly="1" outline="0" fieldPosition="0">
        <references count="4">
          <reference field="0" count="1" selected="0">
            <x v="97"/>
          </reference>
          <reference field="1" count="1" selected="0">
            <x v="84"/>
          </reference>
          <reference field="2" count="1" selected="0">
            <x v="6"/>
          </reference>
          <reference field="3" count="1">
            <x v="0"/>
          </reference>
        </references>
      </pivotArea>
    </format>
    <format dxfId="2181">
      <pivotArea dataOnly="0" labelOnly="1" outline="0" fieldPosition="0">
        <references count="4">
          <reference field="0" count="1" selected="0">
            <x v="98"/>
          </reference>
          <reference field="1" count="1" selected="0">
            <x v="85"/>
          </reference>
          <reference field="2" count="1" selected="0">
            <x v="214"/>
          </reference>
          <reference field="3" count="1">
            <x v="0"/>
          </reference>
        </references>
      </pivotArea>
    </format>
    <format dxfId="2180">
      <pivotArea dataOnly="0" labelOnly="1" outline="0" fieldPosition="0">
        <references count="4">
          <reference field="0" count="1" selected="0">
            <x v="99"/>
          </reference>
          <reference field="1" count="1" selected="0">
            <x v="86"/>
          </reference>
          <reference field="2" count="1" selected="0">
            <x v="66"/>
          </reference>
          <reference field="3" count="1">
            <x v="0"/>
          </reference>
        </references>
      </pivotArea>
    </format>
    <format dxfId="2179">
      <pivotArea dataOnly="0" labelOnly="1" outline="0" fieldPosition="0">
        <references count="4">
          <reference field="0" count="1" selected="0">
            <x v="100"/>
          </reference>
          <reference field="1" count="1" selected="0">
            <x v="87"/>
          </reference>
          <reference field="2" count="1" selected="0">
            <x v="75"/>
          </reference>
          <reference field="3" count="1">
            <x v="0"/>
          </reference>
        </references>
      </pivotArea>
    </format>
    <format dxfId="2178">
      <pivotArea dataOnly="0" labelOnly="1" outline="0" fieldPosition="0">
        <references count="4">
          <reference field="0" count="1" selected="0">
            <x v="101"/>
          </reference>
          <reference field="1" count="1" selected="0">
            <x v="88"/>
          </reference>
          <reference field="2" count="1" selected="0">
            <x v="29"/>
          </reference>
          <reference field="3" count="1">
            <x v="0"/>
          </reference>
        </references>
      </pivotArea>
    </format>
    <format dxfId="2177">
      <pivotArea dataOnly="0" labelOnly="1" outline="0" fieldPosition="0">
        <references count="4">
          <reference field="0" count="1" selected="0">
            <x v="102"/>
          </reference>
          <reference field="1" count="1" selected="0">
            <x v="89"/>
          </reference>
          <reference field="2" count="1" selected="0">
            <x v="14"/>
          </reference>
          <reference field="3" count="1">
            <x v="0"/>
          </reference>
        </references>
      </pivotArea>
    </format>
    <format dxfId="2176">
      <pivotArea dataOnly="0" labelOnly="1" outline="0" fieldPosition="0">
        <references count="4">
          <reference field="0" count="1" selected="0">
            <x v="103"/>
          </reference>
          <reference field="1" count="1" selected="0">
            <x v="90"/>
          </reference>
          <reference field="2" count="1" selected="0">
            <x v="73"/>
          </reference>
          <reference field="3" count="1">
            <x v="0"/>
          </reference>
        </references>
      </pivotArea>
    </format>
    <format dxfId="2175">
      <pivotArea dataOnly="0" labelOnly="1" outline="0" fieldPosition="0">
        <references count="4">
          <reference field="0" count="1" selected="0">
            <x v="104"/>
          </reference>
          <reference field="1" count="1" selected="0">
            <x v="91"/>
          </reference>
          <reference field="2" count="1" selected="0">
            <x v="68"/>
          </reference>
          <reference field="3" count="1">
            <x v="0"/>
          </reference>
        </references>
      </pivotArea>
    </format>
    <format dxfId="2174">
      <pivotArea dataOnly="0" labelOnly="1" outline="0" fieldPosition="0">
        <references count="4">
          <reference field="0" count="1" selected="0">
            <x v="105"/>
          </reference>
          <reference field="1" count="1" selected="0">
            <x v="92"/>
          </reference>
          <reference field="2" count="1" selected="0">
            <x v="134"/>
          </reference>
          <reference field="3" count="1">
            <x v="0"/>
          </reference>
        </references>
      </pivotArea>
    </format>
    <format dxfId="2173">
      <pivotArea dataOnly="0" labelOnly="1" outline="0" fieldPosition="0">
        <references count="4">
          <reference field="0" count="1" selected="0">
            <x v="106"/>
          </reference>
          <reference field="1" count="1" selected="0">
            <x v="93"/>
          </reference>
          <reference field="2" count="1" selected="0">
            <x v="76"/>
          </reference>
          <reference field="3" count="1">
            <x v="0"/>
          </reference>
        </references>
      </pivotArea>
    </format>
    <format dxfId="2172">
      <pivotArea dataOnly="0" labelOnly="1" outline="0" fieldPosition="0">
        <references count="4">
          <reference field="0" count="1" selected="0">
            <x v="107"/>
          </reference>
          <reference field="1" count="1" selected="0">
            <x v="94"/>
          </reference>
          <reference field="2" count="1" selected="0">
            <x v="190"/>
          </reference>
          <reference field="3" count="1">
            <x v="0"/>
          </reference>
        </references>
      </pivotArea>
    </format>
    <format dxfId="2171">
      <pivotArea dataOnly="0" labelOnly="1" outline="0" fieldPosition="0">
        <references count="4">
          <reference field="0" count="1" selected="0">
            <x v="108"/>
          </reference>
          <reference field="1" count="1" selected="0">
            <x v="95"/>
          </reference>
          <reference field="2" count="1" selected="0">
            <x v="236"/>
          </reference>
          <reference field="3" count="1">
            <x v="0"/>
          </reference>
        </references>
      </pivotArea>
    </format>
    <format dxfId="2170">
      <pivotArea dataOnly="0" labelOnly="1" outline="0" fieldPosition="0">
        <references count="4">
          <reference field="0" count="1" selected="0">
            <x v="110"/>
          </reference>
          <reference field="1" count="1" selected="0">
            <x v="97"/>
          </reference>
          <reference field="2" count="1" selected="0">
            <x v="123"/>
          </reference>
          <reference field="3" count="1">
            <x v="0"/>
          </reference>
        </references>
      </pivotArea>
    </format>
    <format dxfId="2169">
      <pivotArea dataOnly="0" labelOnly="1" outline="0" fieldPosition="0">
        <references count="4">
          <reference field="0" count="1" selected="0">
            <x v="111"/>
          </reference>
          <reference field="1" count="1" selected="0">
            <x v="98"/>
          </reference>
          <reference field="2" count="1" selected="0">
            <x v="83"/>
          </reference>
          <reference field="3" count="1">
            <x v="0"/>
          </reference>
        </references>
      </pivotArea>
    </format>
    <format dxfId="2168">
      <pivotArea dataOnly="0" labelOnly="1" outline="0" fieldPosition="0">
        <references count="4">
          <reference field="0" count="1" selected="0">
            <x v="113"/>
          </reference>
          <reference field="1" count="1" selected="0">
            <x v="100"/>
          </reference>
          <reference field="2" count="1" selected="0">
            <x v="124"/>
          </reference>
          <reference field="3" count="1">
            <x v="0"/>
          </reference>
        </references>
      </pivotArea>
    </format>
    <format dxfId="2167">
      <pivotArea dataOnly="0" labelOnly="1" outline="0" fieldPosition="0">
        <references count="4">
          <reference field="0" count="1" selected="0">
            <x v="121"/>
          </reference>
          <reference field="1" count="1" selected="0">
            <x v="108"/>
          </reference>
          <reference field="2" count="1" selected="0">
            <x v="207"/>
          </reference>
          <reference field="3" count="1">
            <x v="0"/>
          </reference>
        </references>
      </pivotArea>
    </format>
    <format dxfId="2166">
      <pivotArea dataOnly="0" labelOnly="1" outline="0" fieldPosition="0">
        <references count="4">
          <reference field="0" count="1" selected="0">
            <x v="122"/>
          </reference>
          <reference field="1" count="1" selected="0">
            <x v="109"/>
          </reference>
          <reference field="2" count="1" selected="0">
            <x v="35"/>
          </reference>
          <reference field="3" count="1">
            <x v="0"/>
          </reference>
        </references>
      </pivotArea>
    </format>
    <format dxfId="2165">
      <pivotArea dataOnly="0" labelOnly="1" outline="0" fieldPosition="0">
        <references count="4">
          <reference field="0" count="1" selected="0">
            <x v="123"/>
          </reference>
          <reference field="1" count="1" selected="0">
            <x v="110"/>
          </reference>
          <reference field="2" count="1" selected="0">
            <x v="176"/>
          </reference>
          <reference field="3" count="1">
            <x v="0"/>
          </reference>
        </references>
      </pivotArea>
    </format>
    <format dxfId="2164">
      <pivotArea dataOnly="0" labelOnly="1" outline="0" fieldPosition="0">
        <references count="4">
          <reference field="0" count="1" selected="0">
            <x v="124"/>
          </reference>
          <reference field="1" count="1" selected="0">
            <x v="111"/>
          </reference>
          <reference field="2" count="1" selected="0">
            <x v="218"/>
          </reference>
          <reference field="3" count="1">
            <x v="0"/>
          </reference>
        </references>
      </pivotArea>
    </format>
    <format dxfId="2163">
      <pivotArea dataOnly="0" labelOnly="1" outline="0" fieldPosition="0">
        <references count="4">
          <reference field="0" count="1" selected="0">
            <x v="125"/>
          </reference>
          <reference field="1" count="1" selected="0">
            <x v="112"/>
          </reference>
          <reference field="2" count="1" selected="0">
            <x v="197"/>
          </reference>
          <reference field="3" count="1">
            <x v="0"/>
          </reference>
        </references>
      </pivotArea>
    </format>
    <format dxfId="2162">
      <pivotArea dataOnly="0" labelOnly="1" outline="0" fieldPosition="0">
        <references count="4">
          <reference field="0" count="1" selected="0">
            <x v="126"/>
          </reference>
          <reference field="1" count="1" selected="0">
            <x v="113"/>
          </reference>
          <reference field="2" count="1" selected="0">
            <x v="191"/>
          </reference>
          <reference field="3" count="1">
            <x v="0"/>
          </reference>
        </references>
      </pivotArea>
    </format>
    <format dxfId="2161">
      <pivotArea dataOnly="0" labelOnly="1" outline="0" fieldPosition="0">
        <references count="4">
          <reference field="0" count="1" selected="0">
            <x v="127"/>
          </reference>
          <reference field="1" count="1" selected="0">
            <x v="114"/>
          </reference>
          <reference field="2" count="1" selected="0">
            <x v="174"/>
          </reference>
          <reference field="3" count="1">
            <x v="0"/>
          </reference>
        </references>
      </pivotArea>
    </format>
    <format dxfId="2160">
      <pivotArea dataOnly="0" labelOnly="1" outline="0" fieldPosition="0">
        <references count="4">
          <reference field="0" count="1" selected="0">
            <x v="128"/>
          </reference>
          <reference field="1" count="1" selected="0">
            <x v="115"/>
          </reference>
          <reference field="2" count="1" selected="0">
            <x v="59"/>
          </reference>
          <reference field="3" count="1">
            <x v="0"/>
          </reference>
        </references>
      </pivotArea>
    </format>
    <format dxfId="2159">
      <pivotArea dataOnly="0" labelOnly="1" outline="0" fieldPosition="0">
        <references count="4">
          <reference field="0" count="1" selected="0">
            <x v="129"/>
          </reference>
          <reference field="1" count="1" selected="0">
            <x v="116"/>
          </reference>
          <reference field="2" count="1" selected="0">
            <x v="212"/>
          </reference>
          <reference field="3" count="1">
            <x v="0"/>
          </reference>
        </references>
      </pivotArea>
    </format>
    <format dxfId="2158">
      <pivotArea dataOnly="0" labelOnly="1" outline="0" fieldPosition="0">
        <references count="4">
          <reference field="0" count="1" selected="0">
            <x v="130"/>
          </reference>
          <reference field="1" count="1" selected="0">
            <x v="117"/>
          </reference>
          <reference field="2" count="1" selected="0">
            <x v="118"/>
          </reference>
          <reference field="3" count="1">
            <x v="0"/>
          </reference>
        </references>
      </pivotArea>
    </format>
    <format dxfId="2157">
      <pivotArea dataOnly="0" labelOnly="1" outline="0" fieldPosition="0">
        <references count="4">
          <reference field="0" count="1" selected="0">
            <x v="134"/>
          </reference>
          <reference field="1" count="1" selected="0">
            <x v="127"/>
          </reference>
          <reference field="2" count="1" selected="0">
            <x v="2"/>
          </reference>
          <reference field="3" count="1">
            <x v="0"/>
          </reference>
        </references>
      </pivotArea>
    </format>
    <format dxfId="2156">
      <pivotArea dataOnly="0" labelOnly="1" outline="0" fieldPosition="0">
        <references count="4">
          <reference field="0" count="1" selected="0">
            <x v="135"/>
          </reference>
          <reference field="1" count="1" selected="0">
            <x v="128"/>
          </reference>
          <reference field="2" count="1" selected="0">
            <x v="151"/>
          </reference>
          <reference field="3" count="1">
            <x v="0"/>
          </reference>
        </references>
      </pivotArea>
    </format>
    <format dxfId="2155">
      <pivotArea dataOnly="0" labelOnly="1" outline="0" fieldPosition="0">
        <references count="4">
          <reference field="0" count="1" selected="0">
            <x v="136"/>
          </reference>
          <reference field="1" count="1" selected="0">
            <x v="129"/>
          </reference>
          <reference field="2" count="1" selected="0">
            <x v="219"/>
          </reference>
          <reference field="3" count="1">
            <x v="0"/>
          </reference>
        </references>
      </pivotArea>
    </format>
    <format dxfId="2154">
      <pivotArea dataOnly="0" labelOnly="1" outline="0" fieldPosition="0">
        <references count="4">
          <reference field="0" count="1" selected="0">
            <x v="144"/>
          </reference>
          <reference field="1" count="1" selected="0">
            <x v="137"/>
          </reference>
          <reference field="2" count="1" selected="0">
            <x v="79"/>
          </reference>
          <reference field="3" count="1">
            <x v="0"/>
          </reference>
        </references>
      </pivotArea>
    </format>
    <format dxfId="2153">
      <pivotArea dataOnly="0" labelOnly="1" outline="0" fieldPosition="0">
        <references count="4">
          <reference field="0" count="1" selected="0">
            <x v="146"/>
          </reference>
          <reference field="1" count="1" selected="0">
            <x v="139"/>
          </reference>
          <reference field="2" count="1" selected="0">
            <x v="30"/>
          </reference>
          <reference field="3" count="1">
            <x v="0"/>
          </reference>
        </references>
      </pivotArea>
    </format>
    <format dxfId="2152">
      <pivotArea dataOnly="0" labelOnly="1" outline="0" fieldPosition="0">
        <references count="4">
          <reference field="0" count="1" selected="0">
            <x v="147"/>
          </reference>
          <reference field="1" count="1" selected="0">
            <x v="140"/>
          </reference>
          <reference field="2" count="1" selected="0">
            <x v="211"/>
          </reference>
          <reference field="3" count="1">
            <x v="0"/>
          </reference>
        </references>
      </pivotArea>
    </format>
    <format dxfId="2151">
      <pivotArea dataOnly="0" labelOnly="1" outline="0" fieldPosition="0">
        <references count="4">
          <reference field="0" count="1" selected="0">
            <x v="148"/>
          </reference>
          <reference field="1" count="1" selected="0">
            <x v="141"/>
          </reference>
          <reference field="2" count="1" selected="0">
            <x v="95"/>
          </reference>
          <reference field="3" count="1">
            <x v="0"/>
          </reference>
        </references>
      </pivotArea>
    </format>
    <format dxfId="2150">
      <pivotArea dataOnly="0" labelOnly="1" outline="0" fieldPosition="0">
        <references count="4">
          <reference field="0" count="1" selected="0">
            <x v="149"/>
          </reference>
          <reference field="1" count="1" selected="0">
            <x v="142"/>
          </reference>
          <reference field="2" count="1" selected="0">
            <x v="165"/>
          </reference>
          <reference field="3" count="1">
            <x v="0"/>
          </reference>
        </references>
      </pivotArea>
    </format>
    <format dxfId="2149">
      <pivotArea dataOnly="0" labelOnly="1" outline="0" fieldPosition="0">
        <references count="4">
          <reference field="0" count="1" selected="0">
            <x v="150"/>
          </reference>
          <reference field="1" count="1" selected="0">
            <x v="143"/>
          </reference>
          <reference field="2" count="1" selected="0">
            <x v="166"/>
          </reference>
          <reference field="3" count="1">
            <x v="0"/>
          </reference>
        </references>
      </pivotArea>
    </format>
    <format dxfId="2148">
      <pivotArea dataOnly="0" labelOnly="1" outline="0" fieldPosition="0">
        <references count="4">
          <reference field="0" count="1" selected="0">
            <x v="151"/>
          </reference>
          <reference field="1" count="1" selected="0">
            <x v="144"/>
          </reference>
          <reference field="2" count="1" selected="0">
            <x v="85"/>
          </reference>
          <reference field="3" count="1">
            <x v="0"/>
          </reference>
        </references>
      </pivotArea>
    </format>
    <format dxfId="2147">
      <pivotArea dataOnly="0" labelOnly="1" outline="0" fieldPosition="0">
        <references count="4">
          <reference field="0" count="1" selected="0">
            <x v="152"/>
          </reference>
          <reference field="1" count="1" selected="0">
            <x v="145"/>
          </reference>
          <reference field="2" count="1" selected="0">
            <x v="86"/>
          </reference>
          <reference field="3" count="1">
            <x v="0"/>
          </reference>
        </references>
      </pivotArea>
    </format>
    <format dxfId="2146">
      <pivotArea dataOnly="0" labelOnly="1" outline="0" fieldPosition="0">
        <references count="4">
          <reference field="0" count="1" selected="0">
            <x v="153"/>
          </reference>
          <reference field="1" count="1" selected="0">
            <x v="146"/>
          </reference>
          <reference field="2" count="1" selected="0">
            <x v="54"/>
          </reference>
          <reference field="3" count="1">
            <x v="0"/>
          </reference>
        </references>
      </pivotArea>
    </format>
    <format dxfId="2145">
      <pivotArea dataOnly="0" labelOnly="1" outline="0" fieldPosition="0">
        <references count="4">
          <reference field="0" count="1" selected="0">
            <x v="154"/>
          </reference>
          <reference field="1" count="1" selected="0">
            <x v="147"/>
          </reference>
          <reference field="2" count="1" selected="0">
            <x v="109"/>
          </reference>
          <reference field="3" count="1">
            <x v="0"/>
          </reference>
        </references>
      </pivotArea>
    </format>
    <format dxfId="2144">
      <pivotArea dataOnly="0" labelOnly="1" outline="0" fieldPosition="0">
        <references count="4">
          <reference field="0" count="1" selected="0">
            <x v="155"/>
          </reference>
          <reference field="1" count="1" selected="0">
            <x v="148"/>
          </reference>
          <reference field="2" count="1" selected="0">
            <x v="3"/>
          </reference>
          <reference field="3" count="1">
            <x v="0"/>
          </reference>
        </references>
      </pivotArea>
    </format>
    <format dxfId="2143">
      <pivotArea dataOnly="0" labelOnly="1" outline="0" fieldPosition="0">
        <references count="4">
          <reference field="0" count="1" selected="0">
            <x v="159"/>
          </reference>
          <reference field="1" count="1" selected="0">
            <x v="183"/>
          </reference>
          <reference field="2" count="1" selected="0">
            <x v="122"/>
          </reference>
          <reference field="3" count="1">
            <x v="0"/>
          </reference>
        </references>
      </pivotArea>
    </format>
    <format dxfId="2142">
      <pivotArea dataOnly="0" labelOnly="1" outline="0" fieldPosition="0">
        <references count="4">
          <reference field="0" count="1" selected="0">
            <x v="160"/>
          </reference>
          <reference field="1" count="1" selected="0">
            <x v="184"/>
          </reference>
          <reference field="2" count="1" selected="0">
            <x v="187"/>
          </reference>
          <reference field="3" count="1">
            <x v="0"/>
          </reference>
        </references>
      </pivotArea>
    </format>
    <format dxfId="2141">
      <pivotArea dataOnly="0" labelOnly="1" outline="0" fieldPosition="0">
        <references count="4">
          <reference field="0" count="1" selected="0">
            <x v="161"/>
          </reference>
          <reference field="1" count="1" selected="0">
            <x v="185"/>
          </reference>
          <reference field="2" count="1" selected="0">
            <x v="186"/>
          </reference>
          <reference field="3" count="1">
            <x v="0"/>
          </reference>
        </references>
      </pivotArea>
    </format>
    <format dxfId="2140">
      <pivotArea dataOnly="0" labelOnly="1" outline="0" fieldPosition="0">
        <references count="4">
          <reference field="0" count="1" selected="0">
            <x v="162"/>
          </reference>
          <reference field="1" count="1" selected="0">
            <x v="186"/>
          </reference>
          <reference field="2" count="1" selected="0">
            <x v="125"/>
          </reference>
          <reference field="3" count="1">
            <x v="0"/>
          </reference>
        </references>
      </pivotArea>
    </format>
    <format dxfId="2139">
      <pivotArea dataOnly="0" labelOnly="1" outline="0" fieldPosition="0">
        <references count="4">
          <reference field="0" count="1" selected="0">
            <x v="164"/>
          </reference>
          <reference field="1" count="1" selected="0">
            <x v="188"/>
          </reference>
          <reference field="2" count="1" selected="0">
            <x v="119"/>
          </reference>
          <reference field="3" count="1">
            <x v="0"/>
          </reference>
        </references>
      </pivotArea>
    </format>
    <format dxfId="2138">
      <pivotArea dataOnly="0" labelOnly="1" outline="0" fieldPosition="0">
        <references count="4">
          <reference field="0" count="1" selected="0">
            <x v="165"/>
          </reference>
          <reference field="1" count="1" selected="0">
            <x v="189"/>
          </reference>
          <reference field="2" count="1" selected="0">
            <x v="156"/>
          </reference>
          <reference field="3" count="1">
            <x v="0"/>
          </reference>
        </references>
      </pivotArea>
    </format>
    <format dxfId="2137">
      <pivotArea dataOnly="0" labelOnly="1" outline="0" fieldPosition="0">
        <references count="4">
          <reference field="0" count="1" selected="0">
            <x v="166"/>
          </reference>
          <reference field="1" count="1" selected="0">
            <x v="190"/>
          </reference>
          <reference field="2" count="1" selected="0">
            <x v="213"/>
          </reference>
          <reference field="3" count="1">
            <x v="0"/>
          </reference>
        </references>
      </pivotArea>
    </format>
    <format dxfId="2136">
      <pivotArea dataOnly="0" labelOnly="1" outline="0" fieldPosition="0">
        <references count="4">
          <reference field="0" count="1" selected="0">
            <x v="167"/>
          </reference>
          <reference field="1" count="1" selected="0">
            <x v="199"/>
          </reference>
          <reference field="2" count="1" selected="0">
            <x v="56"/>
          </reference>
          <reference field="3" count="1">
            <x v="0"/>
          </reference>
        </references>
      </pivotArea>
    </format>
    <format dxfId="2135">
      <pivotArea dataOnly="0" labelOnly="1" outline="0" fieldPosition="0">
        <references count="4">
          <reference field="0" count="1" selected="0">
            <x v="168"/>
          </reference>
          <reference field="1" count="1" selected="0">
            <x v="200"/>
          </reference>
          <reference field="2" count="1" selected="0">
            <x v="9"/>
          </reference>
          <reference field="3" count="1">
            <x v="0"/>
          </reference>
        </references>
      </pivotArea>
    </format>
    <format dxfId="2134">
      <pivotArea dataOnly="0" labelOnly="1" outline="0" fieldPosition="0">
        <references count="4">
          <reference field="0" count="1" selected="0">
            <x v="171"/>
          </reference>
          <reference field="1" count="1" selected="0">
            <x v="203"/>
          </reference>
          <reference field="2" count="1" selected="0">
            <x v="10"/>
          </reference>
          <reference field="3" count="1">
            <x v="0"/>
          </reference>
        </references>
      </pivotArea>
    </format>
    <format dxfId="2133">
      <pivotArea dataOnly="0" labelOnly="1" outline="0" fieldPosition="0">
        <references count="4">
          <reference field="0" count="1" selected="0">
            <x v="172"/>
          </reference>
          <reference field="1" count="1" selected="0">
            <x v="204"/>
          </reference>
          <reference field="2" count="1" selected="0">
            <x v="216"/>
          </reference>
          <reference field="3" count="1">
            <x v="0"/>
          </reference>
        </references>
      </pivotArea>
    </format>
    <format dxfId="2132">
      <pivotArea dataOnly="0" labelOnly="1" outline="0" fieldPosition="0">
        <references count="4">
          <reference field="0" count="1" selected="0">
            <x v="173"/>
          </reference>
          <reference field="1" count="1" selected="0">
            <x v="205"/>
          </reference>
          <reference field="2" count="1" selected="0">
            <x v="94"/>
          </reference>
          <reference field="3" count="1">
            <x v="0"/>
          </reference>
        </references>
      </pivotArea>
    </format>
    <format dxfId="2131">
      <pivotArea dataOnly="0" labelOnly="1" outline="0" fieldPosition="0">
        <references count="4">
          <reference field="0" count="1" selected="0">
            <x v="175"/>
          </reference>
          <reference field="1" count="1" selected="0">
            <x v="207"/>
          </reference>
          <reference field="2" count="1" selected="0">
            <x v="172"/>
          </reference>
          <reference field="3" count="1">
            <x v="0"/>
          </reference>
        </references>
      </pivotArea>
    </format>
    <format dxfId="2130">
      <pivotArea dataOnly="0" labelOnly="1" outline="0" fieldPosition="0">
        <references count="4">
          <reference field="0" count="1" selected="0">
            <x v="176"/>
          </reference>
          <reference field="1" count="1" selected="0">
            <x v="208"/>
          </reference>
          <reference field="2" count="1" selected="0">
            <x v="215"/>
          </reference>
          <reference field="3" count="1">
            <x v="0"/>
          </reference>
        </references>
      </pivotArea>
    </format>
    <format dxfId="2129">
      <pivotArea dataOnly="0" labelOnly="1" outline="0" fieldPosition="0">
        <references count="4">
          <reference field="0" count="1" selected="0">
            <x v="177"/>
          </reference>
          <reference field="1" count="1" selected="0">
            <x v="209"/>
          </reference>
          <reference field="2" count="1" selected="0">
            <x v="114"/>
          </reference>
          <reference field="3" count="1">
            <x v="0"/>
          </reference>
        </references>
      </pivotArea>
    </format>
    <format dxfId="2128">
      <pivotArea dataOnly="0" labelOnly="1" outline="0" fieldPosition="0">
        <references count="4">
          <reference field="0" count="1" selected="0">
            <x v="178"/>
          </reference>
          <reference field="1" count="1" selected="0">
            <x v="210"/>
          </reference>
          <reference field="2" count="1" selected="0">
            <x v="11"/>
          </reference>
          <reference field="3" count="1">
            <x v="0"/>
          </reference>
        </references>
      </pivotArea>
    </format>
    <format dxfId="2127">
      <pivotArea dataOnly="0" labelOnly="1" outline="0" fieldPosition="0">
        <references count="4">
          <reference field="0" count="1" selected="0">
            <x v="179"/>
          </reference>
          <reference field="1" count="1" selected="0">
            <x v="211"/>
          </reference>
          <reference field="2" count="1" selected="0">
            <x v="96"/>
          </reference>
          <reference field="3" count="1">
            <x v="0"/>
          </reference>
        </references>
      </pivotArea>
    </format>
    <format dxfId="2126">
      <pivotArea dataOnly="0" labelOnly="1" outline="0" fieldPosition="0">
        <references count="4">
          <reference field="0" count="1" selected="0">
            <x v="180"/>
          </reference>
          <reference field="1" count="1" selected="0">
            <x v="212"/>
          </reference>
          <reference field="2" count="1" selected="0">
            <x v="97"/>
          </reference>
          <reference field="3" count="1">
            <x v="0"/>
          </reference>
        </references>
      </pivotArea>
    </format>
    <format dxfId="2125">
      <pivotArea dataOnly="0" labelOnly="1" outline="0" fieldPosition="0">
        <references count="4">
          <reference field="0" count="1" selected="0">
            <x v="181"/>
          </reference>
          <reference field="1" count="1" selected="0">
            <x v="213"/>
          </reference>
          <reference field="2" count="1" selected="0">
            <x v="234"/>
          </reference>
          <reference field="3" count="1">
            <x v="0"/>
          </reference>
        </references>
      </pivotArea>
    </format>
    <format dxfId="2124">
      <pivotArea dataOnly="0" labelOnly="1" outline="0" fieldPosition="0">
        <references count="4">
          <reference field="0" count="1" selected="0">
            <x v="182"/>
          </reference>
          <reference field="1" count="1" selected="0">
            <x v="214"/>
          </reference>
          <reference field="2" count="1" selected="0">
            <x v="235"/>
          </reference>
          <reference field="3" count="1">
            <x v="0"/>
          </reference>
        </references>
      </pivotArea>
    </format>
    <format dxfId="2123">
      <pivotArea dataOnly="0" labelOnly="1" outline="0" fieldPosition="0">
        <references count="4">
          <reference field="0" count="1" selected="0">
            <x v="183"/>
          </reference>
          <reference field="1" count="1" selected="0">
            <x v="215"/>
          </reference>
          <reference field="2" count="1" selected="0">
            <x v="206"/>
          </reference>
          <reference field="3" count="1">
            <x v="0"/>
          </reference>
        </references>
      </pivotArea>
    </format>
    <format dxfId="2122">
      <pivotArea dataOnly="0" labelOnly="1" outline="0" fieldPosition="0">
        <references count="4">
          <reference field="0" count="1" selected="0">
            <x v="184"/>
          </reference>
          <reference field="1" count="1" selected="0">
            <x v="216"/>
          </reference>
          <reference field="2" count="1" selected="0">
            <x v="111"/>
          </reference>
          <reference field="3" count="1">
            <x v="0"/>
          </reference>
        </references>
      </pivotArea>
    </format>
    <format dxfId="2121">
      <pivotArea dataOnly="0" labelOnly="1" outline="0" fieldPosition="0">
        <references count="4">
          <reference field="0" count="1" selected="0">
            <x v="185"/>
          </reference>
          <reference field="1" count="1" selected="0">
            <x v="217"/>
          </reference>
          <reference field="2" count="1" selected="0">
            <x v="113"/>
          </reference>
          <reference field="3" count="1">
            <x v="0"/>
          </reference>
        </references>
      </pivotArea>
    </format>
    <format dxfId="2120">
      <pivotArea dataOnly="0" labelOnly="1" outline="0" fieldPosition="0">
        <references count="4">
          <reference field="0" count="1" selected="0">
            <x v="186"/>
          </reference>
          <reference field="1" count="1" selected="0">
            <x v="218"/>
          </reference>
          <reference field="2" count="1" selected="0">
            <x v="93"/>
          </reference>
          <reference field="3" count="1">
            <x v="0"/>
          </reference>
        </references>
      </pivotArea>
    </format>
    <format dxfId="2119">
      <pivotArea dataOnly="0" labelOnly="1" outline="0" fieldPosition="0">
        <references count="4">
          <reference field="0" count="1" selected="0">
            <x v="187"/>
          </reference>
          <reference field="1" count="1" selected="0">
            <x v="219"/>
          </reference>
          <reference field="2" count="1" selected="0">
            <x v="104"/>
          </reference>
          <reference field="3" count="1">
            <x v="0"/>
          </reference>
        </references>
      </pivotArea>
    </format>
    <format dxfId="2118">
      <pivotArea dataOnly="0" labelOnly="1" outline="0" fieldPosition="0">
        <references count="4">
          <reference field="0" count="1" selected="0">
            <x v="188"/>
          </reference>
          <reference field="1" count="1" selected="0">
            <x v="220"/>
          </reference>
          <reference field="2" count="1" selected="0">
            <x v="196"/>
          </reference>
          <reference field="3" count="1">
            <x v="0"/>
          </reference>
        </references>
      </pivotArea>
    </format>
    <format dxfId="2117">
      <pivotArea dataOnly="0" labelOnly="1" outline="0" fieldPosition="0">
        <references count="4">
          <reference field="0" count="1" selected="0">
            <x v="189"/>
          </reference>
          <reference field="1" count="1" selected="0">
            <x v="221"/>
          </reference>
          <reference field="2" count="1" selected="0">
            <x v="182"/>
          </reference>
          <reference field="3" count="1">
            <x v="0"/>
          </reference>
        </references>
      </pivotArea>
    </format>
    <format dxfId="2116">
      <pivotArea dataOnly="0" labelOnly="1" outline="0" fieldPosition="0">
        <references count="4">
          <reference field="0" count="1" selected="0">
            <x v="192"/>
          </reference>
          <reference field="1" count="1" selected="0">
            <x v="224"/>
          </reference>
          <reference field="2" count="1" selected="0">
            <x v="80"/>
          </reference>
          <reference field="3" count="1">
            <x v="0"/>
          </reference>
        </references>
      </pivotArea>
    </format>
    <format dxfId="2115">
      <pivotArea dataOnly="0" labelOnly="1" outline="0" fieldPosition="0">
        <references count="4">
          <reference field="0" count="1" selected="0">
            <x v="193"/>
          </reference>
          <reference field="1" count="1" selected="0">
            <x v="225"/>
          </reference>
          <reference field="2" count="1" selected="0">
            <x v="238"/>
          </reference>
          <reference field="3" count="1">
            <x v="0"/>
          </reference>
        </references>
      </pivotArea>
    </format>
    <format dxfId="2114">
      <pivotArea dataOnly="0" labelOnly="1" outline="0" fieldPosition="0">
        <references count="4">
          <reference field="0" count="1" selected="0">
            <x v="197"/>
          </reference>
          <reference field="1" count="1" selected="0">
            <x v="236"/>
          </reference>
          <reference field="2" count="1" selected="0">
            <x v="102"/>
          </reference>
          <reference field="3" count="1">
            <x v="0"/>
          </reference>
        </references>
      </pivotArea>
    </format>
    <format dxfId="2113">
      <pivotArea dataOnly="0" labelOnly="1" outline="0" fieldPosition="0">
        <references count="4">
          <reference field="0" count="1" selected="0">
            <x v="199"/>
          </reference>
          <reference field="1" count="1" selected="0">
            <x v="238"/>
          </reference>
          <reference field="2" count="1" selected="0">
            <x v="33"/>
          </reference>
          <reference field="3" count="1">
            <x v="0"/>
          </reference>
        </references>
      </pivotArea>
    </format>
    <format dxfId="2112">
      <pivotArea dataOnly="0" labelOnly="1" outline="0" fieldPosition="0">
        <references count="4">
          <reference field="0" count="1" selected="0">
            <x v="200"/>
          </reference>
          <reference field="1" count="1" selected="0">
            <x v="239"/>
          </reference>
          <reference field="2" count="1" selected="0">
            <x v="34"/>
          </reference>
          <reference field="3" count="1">
            <x v="0"/>
          </reference>
        </references>
      </pivotArea>
    </format>
    <format dxfId="2111">
      <pivotArea dataOnly="0" labelOnly="1" outline="0" fieldPosition="0">
        <references count="4">
          <reference field="0" count="1" selected="0">
            <x v="201"/>
          </reference>
          <reference field="1" count="1" selected="0">
            <x v="240"/>
          </reference>
          <reference field="2" count="1" selected="0">
            <x v="37"/>
          </reference>
          <reference field="3" count="1">
            <x v="0"/>
          </reference>
        </references>
      </pivotArea>
    </format>
    <format dxfId="2110">
      <pivotArea dataOnly="0" labelOnly="1" outline="0" fieldPosition="0">
        <references count="4">
          <reference field="0" count="1" selected="0">
            <x v="204"/>
          </reference>
          <reference field="1" count="1" selected="0">
            <x v="149"/>
          </reference>
          <reference field="2" count="1" selected="0">
            <x v="117"/>
          </reference>
          <reference field="3" count="1">
            <x v="0"/>
          </reference>
        </references>
      </pivotArea>
    </format>
    <format dxfId="2109">
      <pivotArea dataOnly="0" labelOnly="1" outline="0" fieldPosition="0">
        <references count="4">
          <reference field="0" count="1" selected="0">
            <x v="206"/>
          </reference>
          <reference field="1" count="1" selected="0">
            <x v="151"/>
          </reference>
          <reference field="2" count="1" selected="0">
            <x v="159"/>
          </reference>
          <reference field="3" count="1">
            <x v="0"/>
          </reference>
        </references>
      </pivotArea>
    </format>
    <format dxfId="2108">
      <pivotArea dataOnly="0" labelOnly="1" outline="0" fieldPosition="0">
        <references count="4">
          <reference field="0" count="1" selected="0">
            <x v="207"/>
          </reference>
          <reference field="1" count="1" selected="0">
            <x v="152"/>
          </reference>
          <reference field="2" count="1" selected="0">
            <x v="81"/>
          </reference>
          <reference field="3" count="1">
            <x v="0"/>
          </reference>
        </references>
      </pivotArea>
    </format>
    <format dxfId="2107">
      <pivotArea dataOnly="0" labelOnly="1" outline="0" fieldPosition="0">
        <references count="4">
          <reference field="0" count="1" selected="0">
            <x v="208"/>
          </reference>
          <reference field="1" count="1" selected="0">
            <x v="153"/>
          </reference>
          <reference field="2" count="1" selected="0">
            <x v="103"/>
          </reference>
          <reference field="3" count="1">
            <x v="0"/>
          </reference>
        </references>
      </pivotArea>
    </format>
    <format dxfId="2106">
      <pivotArea dataOnly="0" labelOnly="1" outline="0" fieldPosition="0">
        <references count="4">
          <reference field="0" count="1" selected="0">
            <x v="209"/>
          </reference>
          <reference field="1" count="1" selected="0">
            <x v="154"/>
          </reference>
          <reference field="2" count="1" selected="0">
            <x v="98"/>
          </reference>
          <reference field="3" count="1">
            <x v="0"/>
          </reference>
        </references>
      </pivotArea>
    </format>
    <format dxfId="2105">
      <pivotArea dataOnly="0" labelOnly="1" outline="0" fieldPosition="0">
        <references count="4">
          <reference field="0" count="1" selected="0">
            <x v="210"/>
          </reference>
          <reference field="1" count="1" selected="0">
            <x v="155"/>
          </reference>
          <reference field="2" count="1" selected="0">
            <x v="162"/>
          </reference>
          <reference field="3" count="1">
            <x v="0"/>
          </reference>
        </references>
      </pivotArea>
    </format>
    <format dxfId="2104">
      <pivotArea dataOnly="0" labelOnly="1" outline="0" fieldPosition="0">
        <references count="4">
          <reference field="0" count="1" selected="0">
            <x v="211"/>
          </reference>
          <reference field="1" count="1" selected="0">
            <x v="156"/>
          </reference>
          <reference field="2" count="1" selected="0">
            <x v="164"/>
          </reference>
          <reference field="3" count="1">
            <x v="0"/>
          </reference>
        </references>
      </pivotArea>
    </format>
    <format dxfId="2103">
      <pivotArea dataOnly="0" labelOnly="1" outline="0" fieldPosition="0">
        <references count="4">
          <reference field="0" count="1" selected="0">
            <x v="212"/>
          </reference>
          <reference field="1" count="1" selected="0">
            <x v="157"/>
          </reference>
          <reference field="2" count="1" selected="0">
            <x v="170"/>
          </reference>
          <reference field="3" count="1">
            <x v="0"/>
          </reference>
        </references>
      </pivotArea>
    </format>
    <format dxfId="2102">
      <pivotArea dataOnly="0" labelOnly="1" outline="0" fieldPosition="0">
        <references count="4">
          <reference field="0" count="1" selected="0">
            <x v="214"/>
          </reference>
          <reference field="1" count="1" selected="0">
            <x v="159"/>
          </reference>
          <reference field="2" count="1" selected="0">
            <x v="139"/>
          </reference>
          <reference field="3" count="1">
            <x v="0"/>
          </reference>
        </references>
      </pivotArea>
    </format>
    <format dxfId="2101">
      <pivotArea dataOnly="0" labelOnly="1" outline="0" fieldPosition="0">
        <references count="4">
          <reference field="0" count="1" selected="0">
            <x v="215"/>
          </reference>
          <reference field="1" count="1" selected="0">
            <x v="160"/>
          </reference>
          <reference field="2" count="1" selected="0">
            <x v="137"/>
          </reference>
          <reference field="3" count="1">
            <x v="0"/>
          </reference>
        </references>
      </pivotArea>
    </format>
    <format dxfId="2100">
      <pivotArea dataOnly="0" labelOnly="1" outline="0" fieldPosition="0">
        <references count="4">
          <reference field="0" count="1" selected="0">
            <x v="216"/>
          </reference>
          <reference field="1" count="1" selected="0">
            <x v="161"/>
          </reference>
          <reference field="2" count="1" selected="0">
            <x v="136"/>
          </reference>
          <reference field="3" count="1">
            <x v="0"/>
          </reference>
        </references>
      </pivotArea>
    </format>
    <format dxfId="2099">
      <pivotArea dataOnly="0" labelOnly="1" outline="0" fieldPosition="0">
        <references count="4">
          <reference field="0" count="1" selected="0">
            <x v="217"/>
          </reference>
          <reference field="1" count="1" selected="0">
            <x v="162"/>
          </reference>
          <reference field="2" count="1" selected="0">
            <x v="13"/>
          </reference>
          <reference field="3" count="1">
            <x v="0"/>
          </reference>
        </references>
      </pivotArea>
    </format>
    <format dxfId="2098">
      <pivotArea dataOnly="0" labelOnly="1" outline="0" fieldPosition="0">
        <references count="4">
          <reference field="0" count="1" selected="0">
            <x v="218"/>
          </reference>
          <reference field="1" count="1" selected="0">
            <x v="163"/>
          </reference>
          <reference field="2" count="1" selected="0">
            <x v="179"/>
          </reference>
          <reference field="3" count="1">
            <x v="0"/>
          </reference>
        </references>
      </pivotArea>
    </format>
    <format dxfId="2097">
      <pivotArea dataOnly="0" labelOnly="1" outline="0" fieldPosition="0">
        <references count="4">
          <reference field="0" count="1" selected="0">
            <x v="219"/>
          </reference>
          <reference field="1" count="1" selected="0">
            <x v="164"/>
          </reference>
          <reference field="2" count="1" selected="0">
            <x v="138"/>
          </reference>
          <reference field="3" count="1">
            <x v="0"/>
          </reference>
        </references>
      </pivotArea>
    </format>
    <format dxfId="2096">
      <pivotArea dataOnly="0" labelOnly="1" outline="0" fieldPosition="0">
        <references count="4">
          <reference field="0" count="1" selected="0">
            <x v="220"/>
          </reference>
          <reference field="1" count="1" selected="0">
            <x v="165"/>
          </reference>
          <reference field="2" count="1" selected="0">
            <x v="142"/>
          </reference>
          <reference field="3" count="1">
            <x v="0"/>
          </reference>
        </references>
      </pivotArea>
    </format>
    <format dxfId="2095">
      <pivotArea dataOnly="0" labelOnly="1" outline="0" fieldPosition="0">
        <references count="4">
          <reference field="0" count="1" selected="0">
            <x v="221"/>
          </reference>
          <reference field="1" count="1" selected="0">
            <x v="166"/>
          </reference>
          <reference field="2" count="1" selected="0">
            <x v="143"/>
          </reference>
          <reference field="3" count="1">
            <x v="0"/>
          </reference>
        </references>
      </pivotArea>
    </format>
    <format dxfId="2094">
      <pivotArea dataOnly="0" labelOnly="1" outline="0" fieldPosition="0">
        <references count="4">
          <reference field="0" count="1" selected="0">
            <x v="223"/>
          </reference>
          <reference field="1" count="1" selected="0">
            <x v="168"/>
          </reference>
          <reference field="2" count="1" selected="0">
            <x v="71"/>
          </reference>
          <reference field="3" count="1">
            <x v="0"/>
          </reference>
        </references>
      </pivotArea>
    </format>
    <format dxfId="2093">
      <pivotArea dataOnly="0" labelOnly="1" outline="0" fieldPosition="0">
        <references count="4">
          <reference field="0" count="1" selected="0">
            <x v="224"/>
          </reference>
          <reference field="1" count="1" selected="0">
            <x v="169"/>
          </reference>
          <reference field="2" count="1" selected="0">
            <x v="121"/>
          </reference>
          <reference field="3" count="1">
            <x v="0"/>
          </reference>
        </references>
      </pivotArea>
    </format>
    <format dxfId="2092">
      <pivotArea dataOnly="0" labelOnly="1" outline="0" fieldPosition="0">
        <references count="4">
          <reference field="0" count="1" selected="0">
            <x v="225"/>
          </reference>
          <reference field="1" count="1" selected="0">
            <x v="170"/>
          </reference>
          <reference field="2" count="1" selected="0">
            <x v="120"/>
          </reference>
          <reference field="3" count="1">
            <x v="0"/>
          </reference>
        </references>
      </pivotArea>
    </format>
    <format dxfId="2091">
      <pivotArea dataOnly="0" labelOnly="1" outline="0" fieldPosition="0">
        <references count="4">
          <reference field="0" count="1" selected="0">
            <x v="226"/>
          </reference>
          <reference field="1" count="1" selected="0">
            <x v="171"/>
          </reference>
          <reference field="2" count="1" selected="0">
            <x v="41"/>
          </reference>
          <reference field="3" count="1">
            <x v="0"/>
          </reference>
        </references>
      </pivotArea>
    </format>
    <format dxfId="2090">
      <pivotArea dataOnly="0" labelOnly="1" outline="0" fieldPosition="0">
        <references count="4">
          <reference field="0" count="1" selected="0">
            <x v="227"/>
          </reference>
          <reference field="1" count="1" selected="0">
            <x v="172"/>
          </reference>
          <reference field="2" count="1" selected="0">
            <x v="42"/>
          </reference>
          <reference field="3" count="1">
            <x v="0"/>
          </reference>
        </references>
      </pivotArea>
    </format>
    <format dxfId="2089">
      <pivotArea dataOnly="0" labelOnly="1" outline="0" fieldPosition="0">
        <references count="4">
          <reference field="0" count="1" selected="0">
            <x v="228"/>
          </reference>
          <reference field="1" count="1" selected="0">
            <x v="173"/>
          </reference>
          <reference field="2" count="1" selected="0">
            <x v="145"/>
          </reference>
          <reference field="3" count="1">
            <x v="0"/>
          </reference>
        </references>
      </pivotArea>
    </format>
    <format dxfId="2088">
      <pivotArea dataOnly="0" labelOnly="1" outline="0" fieldPosition="0">
        <references count="4">
          <reference field="0" count="1" selected="0">
            <x v="229"/>
          </reference>
          <reference field="1" count="1" selected="0">
            <x v="174"/>
          </reference>
          <reference field="2" count="1" selected="0">
            <x v="91"/>
          </reference>
          <reference field="3" count="1">
            <x v="0"/>
          </reference>
        </references>
      </pivotArea>
    </format>
    <format dxfId="2087">
      <pivotArea dataOnly="0" labelOnly="1" outline="0" fieldPosition="0">
        <references count="4">
          <reference field="0" count="1" selected="0">
            <x v="230"/>
          </reference>
          <reference field="1" count="1" selected="0">
            <x v="175"/>
          </reference>
          <reference field="2" count="1" selected="0">
            <x v="160"/>
          </reference>
          <reference field="3" count="1">
            <x v="0"/>
          </reference>
        </references>
      </pivotArea>
    </format>
    <format dxfId="2086">
      <pivotArea dataOnly="0" labelOnly="1" outline="0" fieldPosition="0">
        <references count="4">
          <reference field="0" count="1" selected="0">
            <x v="231"/>
          </reference>
          <reference field="1" count="1" selected="0">
            <x v="176"/>
          </reference>
          <reference field="2" count="1" selected="0">
            <x v="42"/>
          </reference>
          <reference field="3" count="1">
            <x v="0"/>
          </reference>
        </references>
      </pivotArea>
    </format>
    <format dxfId="2085">
      <pivotArea dataOnly="0" labelOnly="1" outline="0" fieldPosition="0">
        <references count="4">
          <reference field="0" count="1" selected="0">
            <x v="232"/>
          </reference>
          <reference field="1" count="1" selected="0">
            <x v="177"/>
          </reference>
          <reference field="2" count="1" selected="0">
            <x v="47"/>
          </reference>
          <reference field="3" count="1">
            <x v="0"/>
          </reference>
        </references>
      </pivotArea>
    </format>
    <format dxfId="2084">
      <pivotArea dataOnly="0" labelOnly="1" outline="0" fieldPosition="0">
        <references count="4">
          <reference field="0" count="1" selected="0">
            <x v="233"/>
          </reference>
          <reference field="1" count="1" selected="0">
            <x v="178"/>
          </reference>
          <reference field="2" count="1" selected="0">
            <x v="32"/>
          </reference>
          <reference field="3" count="1">
            <x v="0"/>
          </reference>
        </references>
      </pivotArea>
    </format>
    <format dxfId="2083">
      <pivotArea dataOnly="0" labelOnly="1" outline="0" fieldPosition="0">
        <references count="4">
          <reference field="0" count="1" selected="0">
            <x v="234"/>
          </reference>
          <reference field="1" count="1" selected="0">
            <x v="179"/>
          </reference>
          <reference field="2" count="1" selected="0">
            <x v="163"/>
          </reference>
          <reference field="3" count="1">
            <x v="0"/>
          </reference>
        </references>
      </pivotArea>
    </format>
    <format dxfId="2082">
      <pivotArea dataOnly="0" labelOnly="1" outline="0" fieldPosition="0">
        <references count="4">
          <reference field="0" count="1" selected="0">
            <x v="235"/>
          </reference>
          <reference field="1" count="1" selected="0">
            <x v="191"/>
          </reference>
          <reference field="2" count="1" selected="0">
            <x v="155"/>
          </reference>
          <reference field="3" count="1">
            <x v="0"/>
          </reference>
        </references>
      </pivotArea>
    </format>
    <format dxfId="2081">
      <pivotArea dataOnly="0" labelOnly="1" outline="0" fieldPosition="0">
        <references count="4">
          <reference field="0" count="1" selected="0">
            <x v="236"/>
          </reference>
          <reference field="1" count="1" selected="0">
            <x v="192"/>
          </reference>
          <reference field="2" count="1" selected="0">
            <x v="27"/>
          </reference>
          <reference field="3" count="1">
            <x v="0"/>
          </reference>
        </references>
      </pivotArea>
    </format>
    <format dxfId="2080">
      <pivotArea dataOnly="0" labelOnly="1" outline="0" fieldPosition="0">
        <references count="4">
          <reference field="0" count="1" selected="0">
            <x v="237"/>
          </reference>
          <reference field="1" count="1" selected="0">
            <x v="193"/>
          </reference>
          <reference field="2" count="1" selected="0">
            <x v="89"/>
          </reference>
          <reference field="3" count="1">
            <x v="0"/>
          </reference>
        </references>
      </pivotArea>
    </format>
    <format dxfId="2079">
      <pivotArea dataOnly="0" labelOnly="1" outline="0" fieldPosition="0">
        <references count="4">
          <reference field="0" count="1" selected="0">
            <x v="238"/>
          </reference>
          <reference field="1" count="1" selected="0">
            <x v="194"/>
          </reference>
          <reference field="2" count="1" selected="0">
            <x v="25"/>
          </reference>
          <reference field="3" count="1">
            <x v="0"/>
          </reference>
        </references>
      </pivotArea>
    </format>
    <format dxfId="2078">
      <pivotArea dataOnly="0" labelOnly="1" outline="0" fieldPosition="0">
        <references count="4">
          <reference field="0" count="1" selected="0">
            <x v="239"/>
          </reference>
          <reference field="1" count="1" selected="0">
            <x v="195"/>
          </reference>
          <reference field="2" count="1" selected="0">
            <x v="28"/>
          </reference>
          <reference field="3" count="1">
            <x v="0"/>
          </reference>
        </references>
      </pivotArea>
    </format>
    <format dxfId="2077">
      <pivotArea dataOnly="0" labelOnly="1" outline="0" fieldPosition="0">
        <references count="4">
          <reference field="0" count="1" selected="0">
            <x v="240"/>
          </reference>
          <reference field="1" count="1" selected="0">
            <x v="196"/>
          </reference>
          <reference field="2" count="1" selected="0">
            <x v="40"/>
          </reference>
          <reference field="3" count="1">
            <x v="0"/>
          </reference>
        </references>
      </pivotArea>
    </format>
    <format dxfId="2076">
      <pivotArea dataOnly="0" labelOnly="1" outline="0" fieldPosition="0">
        <references count="4">
          <reference field="0" count="1" selected="0">
            <x v="241"/>
          </reference>
          <reference field="1" count="1" selected="0">
            <x v="197"/>
          </reference>
          <reference field="2" count="1" selected="0">
            <x v="195"/>
          </reference>
          <reference field="3" count="1">
            <x v="0"/>
          </reference>
        </references>
      </pivotArea>
    </format>
    <format dxfId="2075">
      <pivotArea dataOnly="0" labelOnly="1" outline="0" fieldPosition="0">
        <references count="4">
          <reference field="0" count="1" selected="0">
            <x v="242"/>
          </reference>
          <reference field="1" count="1" selected="0">
            <x v="198"/>
          </reference>
          <reference field="2" count="1" selected="0">
            <x v="132"/>
          </reference>
          <reference field="3" count="1">
            <x v="0"/>
          </reference>
        </references>
      </pivotArea>
    </format>
    <format dxfId="2074">
      <pivotArea dataOnly="0" labelOnly="1" outline="0" fieldPosition="0">
        <references count="5">
          <reference field="0" count="1" selected="0">
            <x v="0"/>
          </reference>
          <reference field="1" count="1" selected="0">
            <x v="228"/>
          </reference>
          <reference field="2" count="1" selected="0">
            <x v="153"/>
          </reference>
          <reference field="3" count="1" selected="0">
            <x v="0"/>
          </reference>
          <reference field="12" count="1">
            <x v="7"/>
          </reference>
        </references>
      </pivotArea>
    </format>
    <format dxfId="2073">
      <pivotArea dataOnly="0" labelOnly="1" outline="0" fieldPosition="0">
        <references count="5">
          <reference field="0" count="1" selected="0">
            <x v="2"/>
          </reference>
          <reference field="1" count="1" selected="0">
            <x v="230"/>
          </reference>
          <reference field="2" count="1" selected="0">
            <x v="225"/>
          </reference>
          <reference field="3" count="1" selected="0">
            <x v="0"/>
          </reference>
          <reference field="12" count="1">
            <x v="7"/>
          </reference>
        </references>
      </pivotArea>
    </format>
    <format dxfId="2072">
      <pivotArea dataOnly="0" labelOnly="1" outline="0" fieldPosition="0">
        <references count="5">
          <reference field="0" count="1" selected="0">
            <x v="3"/>
          </reference>
          <reference field="1" count="1" selected="0">
            <x v="231"/>
          </reference>
          <reference field="2" count="1" selected="0">
            <x v="88"/>
          </reference>
          <reference field="3" count="1" selected="0">
            <x v="0"/>
          </reference>
          <reference field="12" count="1">
            <x v="3"/>
          </reference>
        </references>
      </pivotArea>
    </format>
    <format dxfId="2071">
      <pivotArea dataOnly="0" labelOnly="1" outline="0" fieldPosition="0">
        <references count="5">
          <reference field="0" count="1" selected="0">
            <x v="4"/>
          </reference>
          <reference field="1" count="1" selected="0">
            <x v="232"/>
          </reference>
          <reference field="2" count="1" selected="0">
            <x v="90"/>
          </reference>
          <reference field="3" count="1" selected="0">
            <x v="0"/>
          </reference>
          <reference field="12" count="1">
            <x v="3"/>
          </reference>
        </references>
      </pivotArea>
    </format>
    <format dxfId="2070">
      <pivotArea dataOnly="0" labelOnly="1" outline="0" fieldPosition="0">
        <references count="5">
          <reference field="0" count="1" selected="0">
            <x v="5"/>
          </reference>
          <reference field="1" count="1" selected="0">
            <x v="233"/>
          </reference>
          <reference field="2" count="1" selected="0">
            <x v="224"/>
          </reference>
          <reference field="3" count="1" selected="0">
            <x v="0"/>
          </reference>
          <reference field="12" count="1">
            <x v="7"/>
          </reference>
        </references>
      </pivotArea>
    </format>
    <format dxfId="2069">
      <pivotArea dataOnly="0" labelOnly="1" outline="0" fieldPosition="0">
        <references count="5">
          <reference field="0" count="1" selected="0">
            <x v="7"/>
          </reference>
          <reference field="1" count="1" selected="0">
            <x v="118"/>
          </reference>
          <reference field="2" count="1" selected="0">
            <x v="171"/>
          </reference>
          <reference field="3" count="1" selected="0">
            <x v="0"/>
          </reference>
          <reference field="12" count="1">
            <x v="0"/>
          </reference>
        </references>
      </pivotArea>
    </format>
    <format dxfId="2068">
      <pivotArea dataOnly="0" labelOnly="1" outline="0" fieldPosition="0">
        <references count="5">
          <reference field="0" count="1" selected="0">
            <x v="9"/>
          </reference>
          <reference field="1" count="1" selected="0">
            <x v="120"/>
          </reference>
          <reference field="2" count="1" selected="0">
            <x v="168"/>
          </reference>
          <reference field="3" count="1" selected="0">
            <x v="0"/>
          </reference>
          <reference field="12" count="1">
            <x v="0"/>
          </reference>
        </references>
      </pivotArea>
    </format>
    <format dxfId="2067">
      <pivotArea dataOnly="0" labelOnly="1" outline="0" fieldPosition="0">
        <references count="5">
          <reference field="0" count="1" selected="0">
            <x v="10"/>
          </reference>
          <reference field="1" count="1" selected="0">
            <x v="121"/>
          </reference>
          <reference field="2" count="1" selected="0">
            <x v="82"/>
          </reference>
          <reference field="3" count="1" selected="0">
            <x v="0"/>
          </reference>
          <reference field="12" count="1">
            <x v="0"/>
          </reference>
        </references>
      </pivotArea>
    </format>
    <format dxfId="2066">
      <pivotArea dataOnly="0" labelOnly="1" outline="0" fieldPosition="0">
        <references count="5">
          <reference field="0" count="1" selected="0">
            <x v="11"/>
          </reference>
          <reference field="1" count="1" selected="0">
            <x v="122"/>
          </reference>
          <reference field="2" count="1" selected="0">
            <x v="26"/>
          </reference>
          <reference field="3" count="1" selected="0">
            <x v="0"/>
          </reference>
          <reference field="12" count="1">
            <x v="0"/>
          </reference>
        </references>
      </pivotArea>
    </format>
    <format dxfId="2065">
      <pivotArea dataOnly="0" labelOnly="1" outline="0" fieldPosition="0">
        <references count="5">
          <reference field="0" count="1" selected="0">
            <x v="12"/>
          </reference>
          <reference field="1" count="1" selected="0">
            <x v="123"/>
          </reference>
          <reference field="2" count="1" selected="0">
            <x v="150"/>
          </reference>
          <reference field="3" count="1" selected="0">
            <x v="0"/>
          </reference>
          <reference field="12" count="1">
            <x v="0"/>
          </reference>
        </references>
      </pivotArea>
    </format>
    <format dxfId="2064">
      <pivotArea dataOnly="0" labelOnly="1" outline="0" fieldPosition="0">
        <references count="5">
          <reference field="0" count="1" selected="0">
            <x v="16"/>
          </reference>
          <reference field="1" count="1" selected="0">
            <x v="64"/>
          </reference>
          <reference field="2" count="1" selected="0">
            <x v="157"/>
          </reference>
          <reference field="3" count="1" selected="0">
            <x v="0"/>
          </reference>
          <reference field="12" count="1">
            <x v="7"/>
          </reference>
        </references>
      </pivotArea>
    </format>
    <format dxfId="2063">
      <pivotArea dataOnly="0" labelOnly="1" outline="0" fieldPosition="0">
        <references count="5">
          <reference field="0" count="1" selected="0">
            <x v="18"/>
          </reference>
          <reference field="1" count="1" selected="0">
            <x v="66"/>
          </reference>
          <reference field="2" count="1" selected="0">
            <x v="189"/>
          </reference>
          <reference field="3" count="1" selected="0">
            <x v="0"/>
          </reference>
          <reference field="12" count="1">
            <x v="7"/>
          </reference>
        </references>
      </pivotArea>
    </format>
    <format dxfId="2062">
      <pivotArea dataOnly="0" labelOnly="1" outline="0" fieldPosition="0">
        <references count="5">
          <reference field="0" count="1" selected="0">
            <x v="22"/>
          </reference>
          <reference field="1" count="1" selected="0">
            <x v="19"/>
          </reference>
          <reference field="2" count="1" selected="0">
            <x v="39"/>
          </reference>
          <reference field="3" count="1" selected="0">
            <x v="0"/>
          </reference>
          <reference field="12" count="1">
            <x v="9"/>
          </reference>
        </references>
      </pivotArea>
    </format>
    <format dxfId="2061">
      <pivotArea dataOnly="0" labelOnly="1" outline="0" fieldPosition="0">
        <references count="5">
          <reference field="0" count="1" selected="0">
            <x v="25"/>
          </reference>
          <reference field="1" count="1" selected="0">
            <x v="22"/>
          </reference>
          <reference field="2" count="1" selected="0">
            <x v="84"/>
          </reference>
          <reference field="3" count="1" selected="0">
            <x v="0"/>
          </reference>
          <reference field="12" count="1">
            <x v="9"/>
          </reference>
        </references>
      </pivotArea>
    </format>
    <format dxfId="2060">
      <pivotArea dataOnly="0" labelOnly="1" outline="0" fieldPosition="0">
        <references count="5">
          <reference field="0" count="1" selected="0">
            <x v="26"/>
          </reference>
          <reference field="1" count="1" selected="0">
            <x v="23"/>
          </reference>
          <reference field="2" count="1" selected="0">
            <x v="217"/>
          </reference>
          <reference field="3" count="1" selected="0">
            <x v="0"/>
          </reference>
          <reference field="12" count="1">
            <x v="5"/>
          </reference>
        </references>
      </pivotArea>
    </format>
    <format dxfId="2059">
      <pivotArea dataOnly="0" labelOnly="1" outline="0" fieldPosition="0">
        <references count="5">
          <reference field="0" count="1" selected="0">
            <x v="28"/>
          </reference>
          <reference field="1" count="1" selected="0">
            <x v="25"/>
          </reference>
          <reference field="2" count="1" selected="0">
            <x v="52"/>
          </reference>
          <reference field="3" count="1" selected="0">
            <x v="0"/>
          </reference>
          <reference field="12" count="1">
            <x v="0"/>
          </reference>
        </references>
      </pivotArea>
    </format>
    <format dxfId="2058">
      <pivotArea dataOnly="0" labelOnly="1" outline="0" fieldPosition="0">
        <references count="5">
          <reference field="0" count="1" selected="0">
            <x v="29"/>
          </reference>
          <reference field="1" count="1" selected="0">
            <x v="26"/>
          </reference>
          <reference field="2" count="1" selected="0">
            <x v="62"/>
          </reference>
          <reference field="3" count="1" selected="0">
            <x v="0"/>
          </reference>
          <reference field="12" count="1">
            <x v="15"/>
          </reference>
        </references>
      </pivotArea>
    </format>
    <format dxfId="2057">
      <pivotArea dataOnly="0" labelOnly="1" outline="0" fieldPosition="0">
        <references count="5">
          <reference field="0" count="1" selected="0">
            <x v="30"/>
          </reference>
          <reference field="1" count="1" selected="0">
            <x v="27"/>
          </reference>
          <reference field="2" count="1" selected="0">
            <x v="7"/>
          </reference>
          <reference field="3" count="1" selected="0">
            <x v="0"/>
          </reference>
          <reference field="12" count="1">
            <x v="15"/>
          </reference>
        </references>
      </pivotArea>
    </format>
    <format dxfId="2056">
      <pivotArea dataOnly="0" labelOnly="1" outline="0" fieldPosition="0">
        <references count="5">
          <reference field="0" count="1" selected="0">
            <x v="31"/>
          </reference>
          <reference field="1" count="1" selected="0">
            <x v="28"/>
          </reference>
          <reference field="2" count="1" selected="0">
            <x v="53"/>
          </reference>
          <reference field="3" count="1" selected="0">
            <x v="0"/>
          </reference>
          <reference field="12" count="1">
            <x v="7"/>
          </reference>
        </references>
      </pivotArea>
    </format>
    <format dxfId="2055">
      <pivotArea dataOnly="0" labelOnly="1" outline="0" fieldPosition="0">
        <references count="5">
          <reference field="0" count="1" selected="0">
            <x v="35"/>
          </reference>
          <reference field="1" count="1" selected="0">
            <x v="32"/>
          </reference>
          <reference field="2" count="1" selected="0">
            <x v="51"/>
          </reference>
          <reference field="3" count="1" selected="0">
            <x v="0"/>
          </reference>
          <reference field="12" count="1">
            <x v="9"/>
          </reference>
        </references>
      </pivotArea>
    </format>
    <format dxfId="2054">
      <pivotArea dataOnly="0" labelOnly="1" outline="0" fieldPosition="0">
        <references count="5">
          <reference field="0" count="1" selected="0">
            <x v="36"/>
          </reference>
          <reference field="1" count="1" selected="0">
            <x v="33"/>
          </reference>
          <reference field="2" count="1" selected="0">
            <x v="130"/>
          </reference>
          <reference field="3" count="1" selected="0">
            <x v="0"/>
          </reference>
          <reference field="12" count="1">
            <x v="22"/>
          </reference>
        </references>
      </pivotArea>
    </format>
    <format dxfId="2053">
      <pivotArea dataOnly="0" labelOnly="1" outline="0" fieldPosition="0">
        <references count="5">
          <reference field="0" count="1" selected="0">
            <x v="37"/>
          </reference>
          <reference field="1" count="1" selected="0">
            <x v="34"/>
          </reference>
          <reference field="2" count="1" selected="0">
            <x v="70"/>
          </reference>
          <reference field="3" count="1" selected="0">
            <x v="0"/>
          </reference>
          <reference field="12" count="1">
            <x v="10"/>
          </reference>
        </references>
      </pivotArea>
    </format>
    <format dxfId="2052">
      <pivotArea dataOnly="0" labelOnly="1" outline="0" fieldPosition="0">
        <references count="5">
          <reference field="0" count="1" selected="0">
            <x v="38"/>
          </reference>
          <reference field="1" count="1" selected="0">
            <x v="0"/>
          </reference>
          <reference field="2" count="1" selected="0">
            <x v="45"/>
          </reference>
          <reference field="3" count="1" selected="0">
            <x v="0"/>
          </reference>
          <reference field="12" count="1">
            <x v="10"/>
          </reference>
        </references>
      </pivotArea>
    </format>
    <format dxfId="2051">
      <pivotArea dataOnly="0" labelOnly="1" outline="0" fieldPosition="0">
        <references count="5">
          <reference field="0" count="1" selected="0">
            <x v="39"/>
          </reference>
          <reference field="1" count="1" selected="0">
            <x v="1"/>
          </reference>
          <reference field="2" count="1" selected="0">
            <x v="46"/>
          </reference>
          <reference field="3" count="1" selected="0">
            <x v="0"/>
          </reference>
          <reference field="12" count="1">
            <x v="10"/>
          </reference>
        </references>
      </pivotArea>
    </format>
    <format dxfId="2050">
      <pivotArea dataOnly="0" labelOnly="1" outline="0" fieldPosition="0">
        <references count="5">
          <reference field="0" count="1" selected="0">
            <x v="42"/>
          </reference>
          <reference field="1" count="1" selected="0">
            <x v="4"/>
          </reference>
          <reference field="2" count="1" selected="0">
            <x v="64"/>
          </reference>
          <reference field="3" count="1" selected="0">
            <x v="0"/>
          </reference>
          <reference field="12" count="1">
            <x v="10"/>
          </reference>
        </references>
      </pivotArea>
    </format>
    <format dxfId="2049">
      <pivotArea dataOnly="0" labelOnly="1" outline="0" fieldPosition="0">
        <references count="5">
          <reference field="0" count="1" selected="0">
            <x v="43"/>
          </reference>
          <reference field="1" count="1" selected="0">
            <x v="5"/>
          </reference>
          <reference field="2" count="1" selected="0">
            <x v="19"/>
          </reference>
          <reference field="3" count="1" selected="0">
            <x v="0"/>
          </reference>
          <reference field="12" count="1">
            <x v="10"/>
          </reference>
        </references>
      </pivotArea>
    </format>
    <format dxfId="2048">
      <pivotArea dataOnly="0" labelOnly="1" outline="0" fieldPosition="0">
        <references count="5">
          <reference field="0" count="1" selected="0">
            <x v="44"/>
          </reference>
          <reference field="1" count="1" selected="0">
            <x v="6"/>
          </reference>
          <reference field="2" count="1" selected="0">
            <x v="23"/>
          </reference>
          <reference field="3" count="1" selected="0">
            <x v="0"/>
          </reference>
          <reference field="12" count="1">
            <x v="10"/>
          </reference>
        </references>
      </pivotArea>
    </format>
    <format dxfId="2047">
      <pivotArea dataOnly="0" labelOnly="1" outline="0" fieldPosition="0">
        <references count="5">
          <reference field="0" count="1" selected="0">
            <x v="45"/>
          </reference>
          <reference field="1" count="1" selected="0">
            <x v="7"/>
          </reference>
          <reference field="2" count="1" selected="0">
            <x v="22"/>
          </reference>
          <reference field="3" count="1" selected="0">
            <x v="0"/>
          </reference>
          <reference field="12" count="1">
            <x v="10"/>
          </reference>
        </references>
      </pivotArea>
    </format>
    <format dxfId="2046">
      <pivotArea dataOnly="0" labelOnly="1" outline="0" fieldPosition="0">
        <references count="5">
          <reference field="0" count="1" selected="0">
            <x v="46"/>
          </reference>
          <reference field="1" count="1" selected="0">
            <x v="8"/>
          </reference>
          <reference field="2" count="1" selected="0">
            <x v="135"/>
          </reference>
          <reference field="3" count="1" selected="0">
            <x v="0"/>
          </reference>
          <reference field="12" count="1">
            <x v="10"/>
          </reference>
        </references>
      </pivotArea>
    </format>
    <format dxfId="2045">
      <pivotArea dataOnly="0" labelOnly="1" outline="0" fieldPosition="0">
        <references count="5">
          <reference field="0" count="1" selected="0">
            <x v="47"/>
          </reference>
          <reference field="1" count="1" selected="0">
            <x v="9"/>
          </reference>
          <reference field="2" count="1" selected="0">
            <x v="141"/>
          </reference>
          <reference field="3" count="1" selected="0">
            <x v="0"/>
          </reference>
          <reference field="12" count="1">
            <x v="10"/>
          </reference>
        </references>
      </pivotArea>
    </format>
    <format dxfId="2044">
      <pivotArea dataOnly="0" labelOnly="1" outline="0" fieldPosition="0">
        <references count="5">
          <reference field="0" count="1" selected="0">
            <x v="49"/>
          </reference>
          <reference field="1" count="1" selected="0">
            <x v="11"/>
          </reference>
          <reference field="2" count="1" selected="0">
            <x v="127"/>
          </reference>
          <reference field="3" count="1" selected="0">
            <x v="0"/>
          </reference>
          <reference field="12" count="1">
            <x v="10"/>
          </reference>
        </references>
      </pivotArea>
    </format>
    <format dxfId="2043">
      <pivotArea dataOnly="0" labelOnly="1" outline="0" fieldPosition="0">
        <references count="5">
          <reference field="0" count="1" selected="0">
            <x v="55"/>
          </reference>
          <reference field="1" count="1" selected="0">
            <x v="35"/>
          </reference>
          <reference field="2" count="1" selected="0">
            <x v="65"/>
          </reference>
          <reference field="3" count="1" selected="0">
            <x v="0"/>
          </reference>
          <reference field="12" count="1">
            <x v="3"/>
          </reference>
        </references>
      </pivotArea>
    </format>
    <format dxfId="2042">
      <pivotArea dataOnly="0" labelOnly="1" outline="0" fieldPosition="0">
        <references count="5">
          <reference field="0" count="1" selected="0">
            <x v="56"/>
          </reference>
          <reference field="1" count="1" selected="0">
            <x v="36"/>
          </reference>
          <reference field="2" count="1" selected="0">
            <x v="183"/>
          </reference>
          <reference field="3" count="1" selected="0">
            <x v="0"/>
          </reference>
          <reference field="12" count="1">
            <x v="3"/>
          </reference>
        </references>
      </pivotArea>
    </format>
    <format dxfId="2041">
      <pivotArea dataOnly="0" labelOnly="1" outline="0" fieldPosition="0">
        <references count="5">
          <reference field="0" count="1" selected="0">
            <x v="62"/>
          </reference>
          <reference field="1" count="1" selected="0">
            <x v="42"/>
          </reference>
          <reference field="2" count="1" selected="0">
            <x v="15"/>
          </reference>
          <reference field="3" count="1" selected="0">
            <x v="0"/>
          </reference>
          <reference field="12" count="1">
            <x v="3"/>
          </reference>
        </references>
      </pivotArea>
    </format>
    <format dxfId="2040">
      <pivotArea dataOnly="0" labelOnly="1" outline="0" fieldPosition="0">
        <references count="5">
          <reference field="0" count="1" selected="0">
            <x v="63"/>
          </reference>
          <reference field="1" count="1" selected="0">
            <x v="43"/>
          </reference>
          <reference field="2" count="1" selected="0">
            <x v="152"/>
          </reference>
          <reference field="3" count="1" selected="0">
            <x v="0"/>
          </reference>
          <reference field="12" count="1">
            <x v="3"/>
          </reference>
        </references>
      </pivotArea>
    </format>
    <format dxfId="2039">
      <pivotArea dataOnly="0" labelOnly="1" outline="0" fieldPosition="0">
        <references count="5">
          <reference field="0" count="1" selected="0">
            <x v="64"/>
          </reference>
          <reference field="1" count="1" selected="0">
            <x v="44"/>
          </reference>
          <reference field="2" count="1" selected="0">
            <x v="146"/>
          </reference>
          <reference field="3" count="1" selected="0">
            <x v="0"/>
          </reference>
          <reference field="12" count="1">
            <x v="3"/>
          </reference>
        </references>
      </pivotArea>
    </format>
    <format dxfId="2038">
      <pivotArea dataOnly="0" labelOnly="1" outline="0" fieldPosition="0">
        <references count="5">
          <reference field="0" count="1" selected="0">
            <x v="65"/>
          </reference>
          <reference field="1" count="1" selected="0">
            <x v="45"/>
          </reference>
          <reference field="2" count="1" selected="0">
            <x v="204"/>
          </reference>
          <reference field="3" count="1" selected="0">
            <x v="0"/>
          </reference>
          <reference field="12" count="1">
            <x v="3"/>
          </reference>
        </references>
      </pivotArea>
    </format>
    <format dxfId="2037">
      <pivotArea dataOnly="0" labelOnly="1" outline="0" fieldPosition="0">
        <references count="5">
          <reference field="0" count="1" selected="0">
            <x v="66"/>
          </reference>
          <reference field="1" count="1" selected="0">
            <x v="46"/>
          </reference>
          <reference field="2" count="1" selected="0">
            <x v="92"/>
          </reference>
          <reference field="3" count="1" selected="0">
            <x v="0"/>
          </reference>
          <reference field="12" count="1">
            <x v="3"/>
          </reference>
        </references>
      </pivotArea>
    </format>
    <format dxfId="2036">
      <pivotArea dataOnly="0" labelOnly="1" outline="0" fieldPosition="0">
        <references count="5">
          <reference field="0" count="1" selected="0">
            <x v="67"/>
          </reference>
          <reference field="1" count="1" selected="0">
            <x v="47"/>
          </reference>
          <reference field="2" count="1" selected="0">
            <x v="181"/>
          </reference>
          <reference field="3" count="1" selected="0">
            <x v="0"/>
          </reference>
          <reference field="12" count="1">
            <x v="3"/>
          </reference>
        </references>
      </pivotArea>
    </format>
    <format dxfId="2035">
      <pivotArea dataOnly="0" labelOnly="1" outline="0" fieldPosition="0">
        <references count="5">
          <reference field="0" count="1" selected="0">
            <x v="68"/>
          </reference>
          <reference field="1" count="1" selected="0">
            <x v="48"/>
          </reference>
          <reference field="2" count="1" selected="0">
            <x v="231"/>
          </reference>
          <reference field="3" count="1" selected="0">
            <x v="0"/>
          </reference>
          <reference field="12" count="1">
            <x v="3"/>
          </reference>
        </references>
      </pivotArea>
    </format>
    <format dxfId="2034">
      <pivotArea dataOnly="0" labelOnly="1" outline="0" fieldPosition="0">
        <references count="5">
          <reference field="0" count="1" selected="0">
            <x v="79"/>
          </reference>
          <reference field="1" count="1" selected="0">
            <x v="59"/>
          </reference>
          <reference field="2" count="1" selected="0">
            <x v="21"/>
          </reference>
          <reference field="3" count="1" selected="0">
            <x v="0"/>
          </reference>
          <reference field="12" count="1">
            <x v="3"/>
          </reference>
        </references>
      </pivotArea>
    </format>
    <format dxfId="2033">
      <pivotArea dataOnly="0" labelOnly="1" outline="0" fieldPosition="0">
        <references count="5">
          <reference field="0" count="1" selected="0">
            <x v="81"/>
          </reference>
          <reference field="1" count="1" selected="0">
            <x v="68"/>
          </reference>
          <reference field="2" count="1" selected="0">
            <x v="112"/>
          </reference>
          <reference field="3" count="1" selected="0">
            <x v="0"/>
          </reference>
          <reference field="12" count="1">
            <x v="0"/>
          </reference>
        </references>
      </pivotArea>
    </format>
    <format dxfId="2032">
      <pivotArea dataOnly="0" labelOnly="1" outline="0" fieldPosition="0">
        <references count="5">
          <reference field="0" count="1" selected="0">
            <x v="82"/>
          </reference>
          <reference field="1" count="1" selected="0">
            <x v="69"/>
          </reference>
          <reference field="2" count="1" selected="0">
            <x v="226"/>
          </reference>
          <reference field="3" count="1" selected="0">
            <x v="0"/>
          </reference>
          <reference field="12" count="1">
            <x v="5"/>
          </reference>
        </references>
      </pivotArea>
    </format>
    <format dxfId="2031">
      <pivotArea dataOnly="0" labelOnly="1" outline="0" fieldPosition="0">
        <references count="5">
          <reference field="0" count="1" selected="0">
            <x v="83"/>
          </reference>
          <reference field="1" count="1" selected="0">
            <x v="70"/>
          </reference>
          <reference field="2" count="1" selected="0">
            <x v="193"/>
          </reference>
          <reference field="3" count="1" selected="0">
            <x v="0"/>
          </reference>
          <reference field="12" count="1">
            <x v="5"/>
          </reference>
        </references>
      </pivotArea>
    </format>
    <format dxfId="2030">
      <pivotArea dataOnly="0" labelOnly="1" outline="0" fieldPosition="0">
        <references count="5">
          <reference field="0" count="1" selected="0">
            <x v="84"/>
          </reference>
          <reference field="1" count="1" selected="0">
            <x v="71"/>
          </reference>
          <reference field="2" count="1" selected="0">
            <x v="192"/>
          </reference>
          <reference field="3" count="1" selected="0">
            <x v="0"/>
          </reference>
          <reference field="12" count="1">
            <x v="7"/>
          </reference>
        </references>
      </pivotArea>
    </format>
    <format dxfId="2029">
      <pivotArea dataOnly="0" labelOnly="1" outline="0" fieldPosition="0">
        <references count="5">
          <reference field="0" count="1" selected="0">
            <x v="85"/>
          </reference>
          <reference field="1" count="1" selected="0">
            <x v="72"/>
          </reference>
          <reference field="2" count="1" selected="0">
            <x v="87"/>
          </reference>
          <reference field="3" count="1" selected="0">
            <x v="0"/>
          </reference>
          <reference field="12" count="1">
            <x v="7"/>
          </reference>
        </references>
      </pivotArea>
    </format>
    <format dxfId="2028">
      <pivotArea dataOnly="0" labelOnly="1" outline="0" fieldPosition="0">
        <references count="5">
          <reference field="0" count="1" selected="0">
            <x v="86"/>
          </reference>
          <reference field="1" count="1" selected="0">
            <x v="73"/>
          </reference>
          <reference field="2" count="1" selected="0">
            <x v="154"/>
          </reference>
          <reference field="3" count="1" selected="0">
            <x v="0"/>
          </reference>
          <reference field="12" count="1">
            <x v="7"/>
          </reference>
        </references>
      </pivotArea>
    </format>
    <format dxfId="2027">
      <pivotArea dataOnly="0" labelOnly="1" outline="0" fieldPosition="0">
        <references count="5">
          <reference field="0" count="1" selected="0">
            <x v="87"/>
          </reference>
          <reference field="1" count="1" selected="0">
            <x v="74"/>
          </reference>
          <reference field="2" count="1" selected="0">
            <x v="208"/>
          </reference>
          <reference field="3" count="1" selected="0">
            <x v="0"/>
          </reference>
          <reference field="12" count="1">
            <x v="7"/>
          </reference>
        </references>
      </pivotArea>
    </format>
    <format dxfId="2026">
      <pivotArea dataOnly="0" labelOnly="1" outline="0" fieldPosition="0">
        <references count="5">
          <reference field="0" count="1" selected="0">
            <x v="88"/>
          </reference>
          <reference field="1" count="1" selected="0">
            <x v="75"/>
          </reference>
          <reference field="2" count="1" selected="0">
            <x v="38"/>
          </reference>
          <reference field="3" count="1" selected="0">
            <x v="0"/>
          </reference>
          <reference field="12" count="1">
            <x v="2"/>
          </reference>
        </references>
      </pivotArea>
    </format>
    <format dxfId="2025">
      <pivotArea dataOnly="0" labelOnly="1" outline="0" fieldPosition="0">
        <references count="5">
          <reference field="0" count="1" selected="0">
            <x v="89"/>
          </reference>
          <reference field="1" count="1" selected="0">
            <x v="76"/>
          </reference>
          <reference field="2" count="1" selected="0">
            <x v="232"/>
          </reference>
          <reference field="3" count="1" selected="0">
            <x v="0"/>
          </reference>
          <reference field="12" count="1">
            <x v="7"/>
          </reference>
        </references>
      </pivotArea>
    </format>
    <format dxfId="2024">
      <pivotArea dataOnly="0" labelOnly="1" outline="0" fieldPosition="0">
        <references count="5">
          <reference field="0" count="1" selected="0">
            <x v="90"/>
          </reference>
          <reference field="1" count="1" selected="0">
            <x v="77"/>
          </reference>
          <reference field="2" count="1" selected="0">
            <x v="43"/>
          </reference>
          <reference field="3" count="1" selected="0">
            <x v="0"/>
          </reference>
          <reference field="12" count="1">
            <x v="7"/>
          </reference>
        </references>
      </pivotArea>
    </format>
    <format dxfId="2023">
      <pivotArea dataOnly="0" labelOnly="1" outline="0" fieldPosition="0">
        <references count="5">
          <reference field="0" count="1" selected="0">
            <x v="91"/>
          </reference>
          <reference field="1" count="1" selected="0">
            <x v="78"/>
          </reference>
          <reference field="2" count="1" selected="0">
            <x v="12"/>
          </reference>
          <reference field="3" count="1" selected="0">
            <x v="0"/>
          </reference>
          <reference field="12" count="1">
            <x v="7"/>
          </reference>
        </references>
      </pivotArea>
    </format>
    <format dxfId="2022">
      <pivotArea dataOnly="0" labelOnly="1" outline="0" fieldPosition="0">
        <references count="5">
          <reference field="0" count="1" selected="0">
            <x v="93"/>
          </reference>
          <reference field="1" count="1" selected="0">
            <x v="80"/>
          </reference>
          <reference field="2" count="1" selected="0">
            <x v="180"/>
          </reference>
          <reference field="3" count="1" selected="0">
            <x v="0"/>
          </reference>
          <reference field="12" count="1">
            <x v="7"/>
          </reference>
        </references>
      </pivotArea>
    </format>
    <format dxfId="2021">
      <pivotArea dataOnly="0" labelOnly="1" outline="0" fieldPosition="0">
        <references count="5">
          <reference field="0" count="1" selected="0">
            <x v="94"/>
          </reference>
          <reference field="1" count="1" selected="0">
            <x v="81"/>
          </reference>
          <reference field="2" count="1" selected="0">
            <x v="60"/>
          </reference>
          <reference field="3" count="1" selected="0">
            <x v="0"/>
          </reference>
          <reference field="12" count="1">
            <x v="7"/>
          </reference>
        </references>
      </pivotArea>
    </format>
    <format dxfId="2020">
      <pivotArea dataOnly="0" labelOnly="1" outline="0" fieldPosition="0">
        <references count="5">
          <reference field="0" count="1" selected="0">
            <x v="95"/>
          </reference>
          <reference field="1" count="1" selected="0">
            <x v="82"/>
          </reference>
          <reference field="2" count="1" selected="0">
            <x v="5"/>
          </reference>
          <reference field="3" count="1" selected="0">
            <x v="0"/>
          </reference>
          <reference field="12" count="1">
            <x v="1"/>
          </reference>
        </references>
      </pivotArea>
    </format>
    <format dxfId="2019">
      <pivotArea dataOnly="0" labelOnly="1" outline="0" fieldPosition="0">
        <references count="5">
          <reference field="0" count="1" selected="0">
            <x v="96"/>
          </reference>
          <reference field="1" count="1" selected="0">
            <x v="83"/>
          </reference>
          <reference field="2" count="1" selected="0">
            <x v="173"/>
          </reference>
          <reference field="3" count="1" selected="0">
            <x v="0"/>
          </reference>
          <reference field="12" count="1">
            <x v="3"/>
          </reference>
        </references>
      </pivotArea>
    </format>
    <format dxfId="2018">
      <pivotArea dataOnly="0" labelOnly="1" outline="0" fieldPosition="0">
        <references count="5">
          <reference field="0" count="1" selected="0">
            <x v="97"/>
          </reference>
          <reference field="1" count="1" selected="0">
            <x v="84"/>
          </reference>
          <reference field="2" count="1" selected="0">
            <x v="6"/>
          </reference>
          <reference field="3" count="1" selected="0">
            <x v="0"/>
          </reference>
          <reference field="12" count="1">
            <x v="3"/>
          </reference>
        </references>
      </pivotArea>
    </format>
    <format dxfId="2017">
      <pivotArea dataOnly="0" labelOnly="1" outline="0" fieldPosition="0">
        <references count="5">
          <reference field="0" count="1" selected="0">
            <x v="98"/>
          </reference>
          <reference field="1" count="1" selected="0">
            <x v="85"/>
          </reference>
          <reference field="2" count="1" selected="0">
            <x v="214"/>
          </reference>
          <reference field="3" count="1" selected="0">
            <x v="0"/>
          </reference>
          <reference field="12" count="1">
            <x v="3"/>
          </reference>
        </references>
      </pivotArea>
    </format>
    <format dxfId="2016">
      <pivotArea dataOnly="0" labelOnly="1" outline="0" fieldPosition="0">
        <references count="5">
          <reference field="0" count="1" selected="0">
            <x v="99"/>
          </reference>
          <reference field="1" count="1" selected="0">
            <x v="86"/>
          </reference>
          <reference field="2" count="1" selected="0">
            <x v="66"/>
          </reference>
          <reference field="3" count="1" selected="0">
            <x v="0"/>
          </reference>
          <reference field="12" count="1">
            <x v="3"/>
          </reference>
        </references>
      </pivotArea>
    </format>
    <format dxfId="2015">
      <pivotArea dataOnly="0" labelOnly="1" outline="0" fieldPosition="0">
        <references count="5">
          <reference field="0" count="1" selected="0">
            <x v="100"/>
          </reference>
          <reference field="1" count="1" selected="0">
            <x v="87"/>
          </reference>
          <reference field="2" count="1" selected="0">
            <x v="75"/>
          </reference>
          <reference field="3" count="1" selected="0">
            <x v="0"/>
          </reference>
          <reference field="12" count="1">
            <x v="3"/>
          </reference>
        </references>
      </pivotArea>
    </format>
    <format dxfId="2014">
      <pivotArea dataOnly="0" labelOnly="1" outline="0" fieldPosition="0">
        <references count="5">
          <reference field="0" count="1" selected="0">
            <x v="101"/>
          </reference>
          <reference field="1" count="1" selected="0">
            <x v="88"/>
          </reference>
          <reference field="2" count="1" selected="0">
            <x v="29"/>
          </reference>
          <reference field="3" count="1" selected="0">
            <x v="0"/>
          </reference>
          <reference field="12" count="1">
            <x v="3"/>
          </reference>
        </references>
      </pivotArea>
    </format>
    <format dxfId="2013">
      <pivotArea dataOnly="0" labelOnly="1" outline="0" fieldPosition="0">
        <references count="5">
          <reference field="0" count="1" selected="0">
            <x v="102"/>
          </reference>
          <reference field="1" count="1" selected="0">
            <x v="89"/>
          </reference>
          <reference field="2" count="1" selected="0">
            <x v="14"/>
          </reference>
          <reference field="3" count="1" selected="0">
            <x v="0"/>
          </reference>
          <reference field="12" count="1">
            <x v="3"/>
          </reference>
        </references>
      </pivotArea>
    </format>
    <format dxfId="2012">
      <pivotArea dataOnly="0" labelOnly="1" outline="0" fieldPosition="0">
        <references count="5">
          <reference field="0" count="1" selected="0">
            <x v="103"/>
          </reference>
          <reference field="1" count="1" selected="0">
            <x v="90"/>
          </reference>
          <reference field="2" count="1" selected="0">
            <x v="73"/>
          </reference>
          <reference field="3" count="1" selected="0">
            <x v="0"/>
          </reference>
          <reference field="12" count="1">
            <x v="3"/>
          </reference>
        </references>
      </pivotArea>
    </format>
    <format dxfId="2011">
      <pivotArea dataOnly="0" labelOnly="1" outline="0" fieldPosition="0">
        <references count="5">
          <reference field="0" count="1" selected="0">
            <x v="104"/>
          </reference>
          <reference field="1" count="1" selected="0">
            <x v="91"/>
          </reference>
          <reference field="2" count="1" selected="0">
            <x v="68"/>
          </reference>
          <reference field="3" count="1" selected="0">
            <x v="0"/>
          </reference>
          <reference field="12" count="1">
            <x v="3"/>
          </reference>
        </references>
      </pivotArea>
    </format>
    <format dxfId="2010">
      <pivotArea dataOnly="0" labelOnly="1" outline="0" fieldPosition="0">
        <references count="5">
          <reference field="0" count="1" selected="0">
            <x v="105"/>
          </reference>
          <reference field="1" count="1" selected="0">
            <x v="92"/>
          </reference>
          <reference field="2" count="1" selected="0">
            <x v="134"/>
          </reference>
          <reference field="3" count="1" selected="0">
            <x v="0"/>
          </reference>
          <reference field="12" count="1">
            <x v="7"/>
          </reference>
        </references>
      </pivotArea>
    </format>
    <format dxfId="2009">
      <pivotArea dataOnly="0" labelOnly="1" outline="0" fieldPosition="0">
        <references count="5">
          <reference field="0" count="1" selected="0">
            <x v="106"/>
          </reference>
          <reference field="1" count="1" selected="0">
            <x v="93"/>
          </reference>
          <reference field="2" count="1" selected="0">
            <x v="76"/>
          </reference>
          <reference field="3" count="1" selected="0">
            <x v="0"/>
          </reference>
          <reference field="12" count="1">
            <x v="7"/>
          </reference>
        </references>
      </pivotArea>
    </format>
    <format dxfId="2008">
      <pivotArea dataOnly="0" labelOnly="1" outline="0" fieldPosition="0">
        <references count="5">
          <reference field="0" count="1" selected="0">
            <x v="107"/>
          </reference>
          <reference field="1" count="1" selected="0">
            <x v="94"/>
          </reference>
          <reference field="2" count="1" selected="0">
            <x v="190"/>
          </reference>
          <reference field="3" count="1" selected="0">
            <x v="0"/>
          </reference>
          <reference field="12" count="1">
            <x v="7"/>
          </reference>
        </references>
      </pivotArea>
    </format>
    <format dxfId="2007">
      <pivotArea dataOnly="0" labelOnly="1" outline="0" fieldPosition="0">
        <references count="5">
          <reference field="0" count="1" selected="0">
            <x v="108"/>
          </reference>
          <reference field="1" count="1" selected="0">
            <x v="95"/>
          </reference>
          <reference field="2" count="1" selected="0">
            <x v="236"/>
          </reference>
          <reference field="3" count="1" selected="0">
            <x v="0"/>
          </reference>
          <reference field="12" count="1">
            <x v="7"/>
          </reference>
        </references>
      </pivotArea>
    </format>
    <format dxfId="2006">
      <pivotArea dataOnly="0" labelOnly="1" outline="0" fieldPosition="0">
        <references count="5">
          <reference field="0" count="1" selected="0">
            <x v="110"/>
          </reference>
          <reference field="1" count="1" selected="0">
            <x v="97"/>
          </reference>
          <reference field="2" count="1" selected="0">
            <x v="123"/>
          </reference>
          <reference field="3" count="1" selected="0">
            <x v="0"/>
          </reference>
          <reference field="12" count="1">
            <x v="7"/>
          </reference>
        </references>
      </pivotArea>
    </format>
    <format dxfId="2005">
      <pivotArea dataOnly="0" labelOnly="1" outline="0" fieldPosition="0">
        <references count="5">
          <reference field="0" count="1" selected="0">
            <x v="111"/>
          </reference>
          <reference field="1" count="1" selected="0">
            <x v="98"/>
          </reference>
          <reference field="2" count="1" selected="0">
            <x v="83"/>
          </reference>
          <reference field="3" count="1" selected="0">
            <x v="0"/>
          </reference>
          <reference field="12" count="1">
            <x v="7"/>
          </reference>
        </references>
      </pivotArea>
    </format>
    <format dxfId="2004">
      <pivotArea dataOnly="0" labelOnly="1" outline="0" fieldPosition="0">
        <references count="5">
          <reference field="0" count="1" selected="0">
            <x v="113"/>
          </reference>
          <reference field="1" count="1" selected="0">
            <x v="100"/>
          </reference>
          <reference field="2" count="1" selected="0">
            <x v="124"/>
          </reference>
          <reference field="3" count="1" selected="0">
            <x v="0"/>
          </reference>
          <reference field="12" count="1">
            <x v="7"/>
          </reference>
        </references>
      </pivotArea>
    </format>
    <format dxfId="2003">
      <pivotArea dataOnly="0" labelOnly="1" outline="0" fieldPosition="0">
        <references count="5">
          <reference field="0" count="1" selected="0">
            <x v="121"/>
          </reference>
          <reference field="1" count="1" selected="0">
            <x v="108"/>
          </reference>
          <reference field="2" count="1" selected="0">
            <x v="207"/>
          </reference>
          <reference field="3" count="1" selected="0">
            <x v="0"/>
          </reference>
          <reference field="12" count="1">
            <x v="5"/>
          </reference>
        </references>
      </pivotArea>
    </format>
    <format dxfId="2002">
      <pivotArea dataOnly="0" labelOnly="1" outline="0" fieldPosition="0">
        <references count="5">
          <reference field="0" count="1" selected="0">
            <x v="122"/>
          </reference>
          <reference field="1" count="1" selected="0">
            <x v="109"/>
          </reference>
          <reference field="2" count="1" selected="0">
            <x v="35"/>
          </reference>
          <reference field="3" count="1" selected="0">
            <x v="0"/>
          </reference>
          <reference field="12" count="1">
            <x v="3"/>
          </reference>
        </references>
      </pivotArea>
    </format>
    <format dxfId="2001">
      <pivotArea dataOnly="0" labelOnly="1" outline="0" fieldPosition="0">
        <references count="5">
          <reference field="0" count="1" selected="0">
            <x v="123"/>
          </reference>
          <reference field="1" count="1" selected="0">
            <x v="110"/>
          </reference>
          <reference field="2" count="1" selected="0">
            <x v="176"/>
          </reference>
          <reference field="3" count="1" selected="0">
            <x v="0"/>
          </reference>
          <reference field="12" count="1">
            <x v="5"/>
          </reference>
        </references>
      </pivotArea>
    </format>
    <format dxfId="2000">
      <pivotArea dataOnly="0" labelOnly="1" outline="0" fieldPosition="0">
        <references count="5">
          <reference field="0" count="1" selected="0">
            <x v="124"/>
          </reference>
          <reference field="1" count="1" selected="0">
            <x v="111"/>
          </reference>
          <reference field="2" count="1" selected="0">
            <x v="218"/>
          </reference>
          <reference field="3" count="1" selected="0">
            <x v="0"/>
          </reference>
          <reference field="12" count="1">
            <x v="0"/>
          </reference>
        </references>
      </pivotArea>
    </format>
    <format dxfId="1999">
      <pivotArea dataOnly="0" labelOnly="1" outline="0" fieldPosition="0">
        <references count="5">
          <reference field="0" count="1" selected="0">
            <x v="125"/>
          </reference>
          <reference field="1" count="1" selected="0">
            <x v="112"/>
          </reference>
          <reference field="2" count="1" selected="0">
            <x v="197"/>
          </reference>
          <reference field="3" count="1" selected="0">
            <x v="0"/>
          </reference>
          <reference field="12" count="1">
            <x v="3"/>
          </reference>
        </references>
      </pivotArea>
    </format>
    <format dxfId="1998">
      <pivotArea dataOnly="0" labelOnly="1" outline="0" fieldPosition="0">
        <references count="5">
          <reference field="0" count="1" selected="0">
            <x v="126"/>
          </reference>
          <reference field="1" count="1" selected="0">
            <x v="113"/>
          </reference>
          <reference field="2" count="1" selected="0">
            <x v="191"/>
          </reference>
          <reference field="3" count="1" selected="0">
            <x v="0"/>
          </reference>
          <reference field="12" count="1">
            <x v="0"/>
          </reference>
        </references>
      </pivotArea>
    </format>
    <format dxfId="1997">
      <pivotArea dataOnly="0" labelOnly="1" outline="0" fieldPosition="0">
        <references count="5">
          <reference field="0" count="1" selected="0">
            <x v="127"/>
          </reference>
          <reference field="1" count="1" selected="0">
            <x v="114"/>
          </reference>
          <reference field="2" count="1" selected="0">
            <x v="174"/>
          </reference>
          <reference field="3" count="1" selected="0">
            <x v="0"/>
          </reference>
          <reference field="12" count="1">
            <x v="0"/>
          </reference>
        </references>
      </pivotArea>
    </format>
    <format dxfId="1996">
      <pivotArea dataOnly="0" labelOnly="1" outline="0" fieldPosition="0">
        <references count="5">
          <reference field="0" count="1" selected="0">
            <x v="128"/>
          </reference>
          <reference field="1" count="1" selected="0">
            <x v="115"/>
          </reference>
          <reference field="2" count="1" selected="0">
            <x v="59"/>
          </reference>
          <reference field="3" count="1" selected="0">
            <x v="0"/>
          </reference>
          <reference field="12" count="1">
            <x v="0"/>
          </reference>
        </references>
      </pivotArea>
    </format>
    <format dxfId="1995">
      <pivotArea dataOnly="0" labelOnly="1" outline="0" fieldPosition="0">
        <references count="5">
          <reference field="0" count="1" selected="0">
            <x v="129"/>
          </reference>
          <reference field="1" count="1" selected="0">
            <x v="116"/>
          </reference>
          <reference field="2" count="1" selected="0">
            <x v="212"/>
          </reference>
          <reference field="3" count="1" selected="0">
            <x v="0"/>
          </reference>
          <reference field="12" count="1">
            <x v="3"/>
          </reference>
        </references>
      </pivotArea>
    </format>
    <format dxfId="1994">
      <pivotArea dataOnly="0" labelOnly="1" outline="0" fieldPosition="0">
        <references count="5">
          <reference field="0" count="1" selected="0">
            <x v="130"/>
          </reference>
          <reference field="1" count="1" selected="0">
            <x v="117"/>
          </reference>
          <reference field="2" count="1" selected="0">
            <x v="118"/>
          </reference>
          <reference field="3" count="1" selected="0">
            <x v="0"/>
          </reference>
          <reference field="12" count="1">
            <x v="7"/>
          </reference>
        </references>
      </pivotArea>
    </format>
    <format dxfId="1993">
      <pivotArea dataOnly="0" labelOnly="1" outline="0" fieldPosition="0">
        <references count="5">
          <reference field="0" count="1" selected="0">
            <x v="134"/>
          </reference>
          <reference field="1" count="1" selected="0">
            <x v="127"/>
          </reference>
          <reference field="2" count="1" selected="0">
            <x v="2"/>
          </reference>
          <reference field="3" count="1" selected="0">
            <x v="0"/>
          </reference>
          <reference field="12" count="1">
            <x v="4"/>
          </reference>
        </references>
      </pivotArea>
    </format>
    <format dxfId="1992">
      <pivotArea dataOnly="0" labelOnly="1" outline="0" fieldPosition="0">
        <references count="5">
          <reference field="0" count="1" selected="0">
            <x v="135"/>
          </reference>
          <reference field="1" count="1" selected="0">
            <x v="128"/>
          </reference>
          <reference field="2" count="1" selected="0">
            <x v="151"/>
          </reference>
          <reference field="3" count="1" selected="0">
            <x v="0"/>
          </reference>
          <reference field="12" count="1">
            <x v="3"/>
          </reference>
        </references>
      </pivotArea>
    </format>
    <format dxfId="1991">
      <pivotArea dataOnly="0" labelOnly="1" outline="0" fieldPosition="0">
        <references count="5">
          <reference field="0" count="1" selected="0">
            <x v="136"/>
          </reference>
          <reference field="1" count="1" selected="0">
            <x v="129"/>
          </reference>
          <reference field="2" count="1" selected="0">
            <x v="219"/>
          </reference>
          <reference field="3" count="1" selected="0">
            <x v="0"/>
          </reference>
          <reference field="12" count="1">
            <x v="3"/>
          </reference>
        </references>
      </pivotArea>
    </format>
    <format dxfId="1990">
      <pivotArea dataOnly="0" labelOnly="1" outline="0" fieldPosition="0">
        <references count="5">
          <reference field="0" count="1" selected="0">
            <x v="144"/>
          </reference>
          <reference field="1" count="1" selected="0">
            <x v="137"/>
          </reference>
          <reference field="2" count="1" selected="0">
            <x v="79"/>
          </reference>
          <reference field="3" count="1" selected="0">
            <x v="0"/>
          </reference>
          <reference field="12" count="1">
            <x v="0"/>
          </reference>
        </references>
      </pivotArea>
    </format>
    <format dxfId="1989">
      <pivotArea dataOnly="0" labelOnly="1" outline="0" fieldPosition="0">
        <references count="5">
          <reference field="0" count="1" selected="0">
            <x v="146"/>
          </reference>
          <reference field="1" count="1" selected="0">
            <x v="139"/>
          </reference>
          <reference field="2" count="1" selected="0">
            <x v="30"/>
          </reference>
          <reference field="3" count="1" selected="0">
            <x v="0"/>
          </reference>
          <reference field="12" count="1">
            <x v="26"/>
          </reference>
        </references>
      </pivotArea>
    </format>
    <format dxfId="1988">
      <pivotArea dataOnly="0" labelOnly="1" outline="0" fieldPosition="0">
        <references count="5">
          <reference field="0" count="1" selected="0">
            <x v="147"/>
          </reference>
          <reference field="1" count="1" selected="0">
            <x v="140"/>
          </reference>
          <reference field="2" count="1" selected="0">
            <x v="211"/>
          </reference>
          <reference field="3" count="1" selected="0">
            <x v="0"/>
          </reference>
          <reference field="12" count="1">
            <x v="26"/>
          </reference>
        </references>
      </pivotArea>
    </format>
    <format dxfId="1987">
      <pivotArea dataOnly="0" labelOnly="1" outline="0" fieldPosition="0">
        <references count="5">
          <reference field="0" count="1" selected="0">
            <x v="148"/>
          </reference>
          <reference field="1" count="1" selected="0">
            <x v="141"/>
          </reference>
          <reference field="2" count="1" selected="0">
            <x v="95"/>
          </reference>
          <reference field="3" count="1" selected="0">
            <x v="0"/>
          </reference>
          <reference field="12" count="1">
            <x v="26"/>
          </reference>
        </references>
      </pivotArea>
    </format>
    <format dxfId="1986">
      <pivotArea dataOnly="0" labelOnly="1" outline="0" fieldPosition="0">
        <references count="5">
          <reference field="0" count="1" selected="0">
            <x v="149"/>
          </reference>
          <reference field="1" count="1" selected="0">
            <x v="142"/>
          </reference>
          <reference field="2" count="1" selected="0">
            <x v="165"/>
          </reference>
          <reference field="3" count="1" selected="0">
            <x v="0"/>
          </reference>
          <reference field="12" count="1">
            <x v="14"/>
          </reference>
        </references>
      </pivotArea>
    </format>
    <format dxfId="1985">
      <pivotArea dataOnly="0" labelOnly="1" outline="0" fieldPosition="0">
        <references count="5">
          <reference field="0" count="1" selected="0">
            <x v="150"/>
          </reference>
          <reference field="1" count="1" selected="0">
            <x v="143"/>
          </reference>
          <reference field="2" count="1" selected="0">
            <x v="166"/>
          </reference>
          <reference field="3" count="1" selected="0">
            <x v="0"/>
          </reference>
          <reference field="12" count="1">
            <x v="14"/>
          </reference>
        </references>
      </pivotArea>
    </format>
    <format dxfId="1984">
      <pivotArea dataOnly="0" labelOnly="1" outline="0" fieldPosition="0">
        <references count="5">
          <reference field="0" count="1" selected="0">
            <x v="151"/>
          </reference>
          <reference field="1" count="1" selected="0">
            <x v="144"/>
          </reference>
          <reference field="2" count="1" selected="0">
            <x v="85"/>
          </reference>
          <reference field="3" count="1" selected="0">
            <x v="0"/>
          </reference>
          <reference field="12" count="1">
            <x v="14"/>
          </reference>
        </references>
      </pivotArea>
    </format>
    <format dxfId="1983">
      <pivotArea dataOnly="0" labelOnly="1" outline="0" fieldPosition="0">
        <references count="5">
          <reference field="0" count="1" selected="0">
            <x v="152"/>
          </reference>
          <reference field="1" count="1" selected="0">
            <x v="145"/>
          </reference>
          <reference field="2" count="1" selected="0">
            <x v="86"/>
          </reference>
          <reference field="3" count="1" selected="0">
            <x v="0"/>
          </reference>
          <reference field="12" count="1">
            <x v="14"/>
          </reference>
        </references>
      </pivotArea>
    </format>
    <format dxfId="1982">
      <pivotArea dataOnly="0" labelOnly="1" outline="0" fieldPosition="0">
        <references count="5">
          <reference field="0" count="1" selected="0">
            <x v="153"/>
          </reference>
          <reference field="1" count="1" selected="0">
            <x v="146"/>
          </reference>
          <reference field="2" count="1" selected="0">
            <x v="54"/>
          </reference>
          <reference field="3" count="1" selected="0">
            <x v="0"/>
          </reference>
          <reference field="12" count="1">
            <x v="14"/>
          </reference>
        </references>
      </pivotArea>
    </format>
    <format dxfId="1981">
      <pivotArea dataOnly="0" labelOnly="1" outline="0" fieldPosition="0">
        <references count="5">
          <reference field="0" count="1" selected="0">
            <x v="154"/>
          </reference>
          <reference field="1" count="1" selected="0">
            <x v="147"/>
          </reference>
          <reference field="2" count="1" selected="0">
            <x v="109"/>
          </reference>
          <reference field="3" count="1" selected="0">
            <x v="0"/>
          </reference>
          <reference field="12" count="1">
            <x v="14"/>
          </reference>
        </references>
      </pivotArea>
    </format>
    <format dxfId="1980">
      <pivotArea dataOnly="0" labelOnly="1" outline="0" fieldPosition="0">
        <references count="5">
          <reference field="0" count="1" selected="0">
            <x v="155"/>
          </reference>
          <reference field="1" count="1" selected="0">
            <x v="148"/>
          </reference>
          <reference field="2" count="1" selected="0">
            <x v="3"/>
          </reference>
          <reference field="3" count="1" selected="0">
            <x v="0"/>
          </reference>
          <reference field="12" count="1">
            <x v="23"/>
          </reference>
        </references>
      </pivotArea>
    </format>
    <format dxfId="1979">
      <pivotArea dataOnly="0" labelOnly="1" outline="0" fieldPosition="0">
        <references count="5">
          <reference field="0" count="1" selected="0">
            <x v="159"/>
          </reference>
          <reference field="1" count="1" selected="0">
            <x v="183"/>
          </reference>
          <reference field="2" count="1" selected="0">
            <x v="122"/>
          </reference>
          <reference field="3" count="1" selected="0">
            <x v="0"/>
          </reference>
          <reference field="12" count="1">
            <x v="8"/>
          </reference>
        </references>
      </pivotArea>
    </format>
    <format dxfId="1978">
      <pivotArea dataOnly="0" labelOnly="1" outline="0" fieldPosition="0">
        <references count="5">
          <reference field="0" count="1" selected="0">
            <x v="160"/>
          </reference>
          <reference field="1" count="1" selected="0">
            <x v="184"/>
          </reference>
          <reference field="2" count="1" selected="0">
            <x v="187"/>
          </reference>
          <reference field="3" count="1" selected="0">
            <x v="0"/>
          </reference>
          <reference field="12" count="1">
            <x v="7"/>
          </reference>
        </references>
      </pivotArea>
    </format>
    <format dxfId="1977">
      <pivotArea dataOnly="0" labelOnly="1" outline="0" fieldPosition="0">
        <references count="5">
          <reference field="0" count="1" selected="0">
            <x v="161"/>
          </reference>
          <reference field="1" count="1" selected="0">
            <x v="185"/>
          </reference>
          <reference field="2" count="1" selected="0">
            <x v="186"/>
          </reference>
          <reference field="3" count="1" selected="0">
            <x v="0"/>
          </reference>
          <reference field="12" count="1">
            <x v="9"/>
          </reference>
        </references>
      </pivotArea>
    </format>
    <format dxfId="1976">
      <pivotArea dataOnly="0" labelOnly="1" outline="0" fieldPosition="0">
        <references count="5">
          <reference field="0" count="1" selected="0">
            <x v="162"/>
          </reference>
          <reference field="1" count="1" selected="0">
            <x v="186"/>
          </reference>
          <reference field="2" count="1" selected="0">
            <x v="125"/>
          </reference>
          <reference field="3" count="1" selected="0">
            <x v="0"/>
          </reference>
          <reference field="12" count="1">
            <x v="10"/>
          </reference>
        </references>
      </pivotArea>
    </format>
    <format dxfId="1975">
      <pivotArea dataOnly="0" labelOnly="1" outline="0" fieldPosition="0">
        <references count="5">
          <reference field="0" count="1" selected="0">
            <x v="164"/>
          </reference>
          <reference field="1" count="1" selected="0">
            <x v="188"/>
          </reference>
          <reference field="2" count="1" selected="0">
            <x v="119"/>
          </reference>
          <reference field="3" count="1" selected="0">
            <x v="0"/>
          </reference>
          <reference field="12" count="1">
            <x v="13"/>
          </reference>
        </references>
      </pivotArea>
    </format>
    <format dxfId="1974">
      <pivotArea dataOnly="0" labelOnly="1" outline="0" fieldPosition="0">
        <references count="5">
          <reference field="0" count="1" selected="0">
            <x v="165"/>
          </reference>
          <reference field="1" count="1" selected="0">
            <x v="189"/>
          </reference>
          <reference field="2" count="1" selected="0">
            <x v="156"/>
          </reference>
          <reference field="3" count="1" selected="0">
            <x v="0"/>
          </reference>
          <reference field="12" count="1">
            <x v="13"/>
          </reference>
        </references>
      </pivotArea>
    </format>
    <format dxfId="1973">
      <pivotArea dataOnly="0" labelOnly="1" outline="0" fieldPosition="0">
        <references count="5">
          <reference field="0" count="1" selected="0">
            <x v="166"/>
          </reference>
          <reference field="1" count="1" selected="0">
            <x v="190"/>
          </reference>
          <reference field="2" count="1" selected="0">
            <x v="213"/>
          </reference>
          <reference field="3" count="1" selected="0">
            <x v="0"/>
          </reference>
          <reference field="12" count="1">
            <x v="13"/>
          </reference>
        </references>
      </pivotArea>
    </format>
    <format dxfId="1972">
      <pivotArea dataOnly="0" labelOnly="1" outline="0" fieldPosition="0">
        <references count="5">
          <reference field="0" count="1" selected="0">
            <x v="167"/>
          </reference>
          <reference field="1" count="1" selected="0">
            <x v="199"/>
          </reference>
          <reference field="2" count="1" selected="0">
            <x v="56"/>
          </reference>
          <reference field="3" count="1" selected="0">
            <x v="0"/>
          </reference>
          <reference field="12" count="1">
            <x v="18"/>
          </reference>
        </references>
      </pivotArea>
    </format>
    <format dxfId="1971">
      <pivotArea dataOnly="0" labelOnly="1" outline="0" fieldPosition="0">
        <references count="5">
          <reference field="0" count="1" selected="0">
            <x v="168"/>
          </reference>
          <reference field="1" count="1" selected="0">
            <x v="200"/>
          </reference>
          <reference field="2" count="1" selected="0">
            <x v="9"/>
          </reference>
          <reference field="3" count="1" selected="0">
            <x v="0"/>
          </reference>
          <reference field="12" count="1">
            <x v="7"/>
          </reference>
        </references>
      </pivotArea>
    </format>
    <format dxfId="1970">
      <pivotArea dataOnly="0" labelOnly="1" outline="0" fieldPosition="0">
        <references count="5">
          <reference field="0" count="1" selected="0">
            <x v="171"/>
          </reference>
          <reference field="1" count="1" selected="0">
            <x v="203"/>
          </reference>
          <reference field="2" count="1" selected="0">
            <x v="10"/>
          </reference>
          <reference field="3" count="1" selected="0">
            <x v="0"/>
          </reference>
          <reference field="12" count="1">
            <x v="9"/>
          </reference>
        </references>
      </pivotArea>
    </format>
    <format dxfId="1969">
      <pivotArea dataOnly="0" labelOnly="1" outline="0" fieldPosition="0">
        <references count="5">
          <reference field="0" count="1" selected="0">
            <x v="172"/>
          </reference>
          <reference field="1" count="1" selected="0">
            <x v="204"/>
          </reference>
          <reference field="2" count="1" selected="0">
            <x v="216"/>
          </reference>
          <reference field="3" count="1" selected="0">
            <x v="0"/>
          </reference>
          <reference field="12" count="1">
            <x v="2"/>
          </reference>
        </references>
      </pivotArea>
    </format>
    <format dxfId="1968">
      <pivotArea dataOnly="0" labelOnly="1" outline="0" fieldPosition="0">
        <references count="5">
          <reference field="0" count="1" selected="0">
            <x v="173"/>
          </reference>
          <reference field="1" count="1" selected="0">
            <x v="205"/>
          </reference>
          <reference field="2" count="1" selected="0">
            <x v="94"/>
          </reference>
          <reference field="3" count="1" selected="0">
            <x v="0"/>
          </reference>
          <reference field="12" count="1">
            <x v="20"/>
          </reference>
        </references>
      </pivotArea>
    </format>
    <format dxfId="1967">
      <pivotArea dataOnly="0" labelOnly="1" outline="0" fieldPosition="0">
        <references count="5">
          <reference field="0" count="1" selected="0">
            <x v="175"/>
          </reference>
          <reference field="1" count="1" selected="0">
            <x v="207"/>
          </reference>
          <reference field="2" count="1" selected="0">
            <x v="172"/>
          </reference>
          <reference field="3" count="1" selected="0">
            <x v="0"/>
          </reference>
          <reference field="12" count="1">
            <x v="21"/>
          </reference>
        </references>
      </pivotArea>
    </format>
    <format dxfId="1966">
      <pivotArea dataOnly="0" labelOnly="1" outline="0" fieldPosition="0">
        <references count="5">
          <reference field="0" count="1" selected="0">
            <x v="176"/>
          </reference>
          <reference field="1" count="1" selected="0">
            <x v="208"/>
          </reference>
          <reference field="2" count="1" selected="0">
            <x v="215"/>
          </reference>
          <reference field="3" count="1" selected="0">
            <x v="0"/>
          </reference>
          <reference field="12" count="1">
            <x v="20"/>
          </reference>
        </references>
      </pivotArea>
    </format>
    <format dxfId="1965">
      <pivotArea dataOnly="0" labelOnly="1" outline="0" fieldPosition="0">
        <references count="5">
          <reference field="0" count="1" selected="0">
            <x v="177"/>
          </reference>
          <reference field="1" count="1" selected="0">
            <x v="209"/>
          </reference>
          <reference field="2" count="1" selected="0">
            <x v="114"/>
          </reference>
          <reference field="3" count="1" selected="0">
            <x v="0"/>
          </reference>
          <reference field="12" count="1">
            <x v="20"/>
          </reference>
        </references>
      </pivotArea>
    </format>
    <format dxfId="1964">
      <pivotArea dataOnly="0" labelOnly="1" outline="0" fieldPosition="0">
        <references count="5">
          <reference field="0" count="1" selected="0">
            <x v="178"/>
          </reference>
          <reference field="1" count="1" selected="0">
            <x v="210"/>
          </reference>
          <reference field="2" count="1" selected="0">
            <x v="11"/>
          </reference>
          <reference field="3" count="1" selected="0">
            <x v="0"/>
          </reference>
          <reference field="12" count="1">
            <x v="20"/>
          </reference>
        </references>
      </pivotArea>
    </format>
    <format dxfId="1963">
      <pivotArea dataOnly="0" labelOnly="1" outline="0" fieldPosition="0">
        <references count="5">
          <reference field="0" count="1" selected="0">
            <x v="179"/>
          </reference>
          <reference field="1" count="1" selected="0">
            <x v="211"/>
          </reference>
          <reference field="2" count="1" selected="0">
            <x v="96"/>
          </reference>
          <reference field="3" count="1" selected="0">
            <x v="0"/>
          </reference>
          <reference field="12" count="1">
            <x v="20"/>
          </reference>
        </references>
      </pivotArea>
    </format>
    <format dxfId="1962">
      <pivotArea dataOnly="0" labelOnly="1" outline="0" fieldPosition="0">
        <references count="5">
          <reference field="0" count="1" selected="0">
            <x v="180"/>
          </reference>
          <reference field="1" count="1" selected="0">
            <x v="212"/>
          </reference>
          <reference field="2" count="1" selected="0">
            <x v="97"/>
          </reference>
          <reference field="3" count="1" selected="0">
            <x v="0"/>
          </reference>
          <reference field="12" count="1">
            <x v="14"/>
          </reference>
        </references>
      </pivotArea>
    </format>
    <format dxfId="1961">
      <pivotArea dataOnly="0" labelOnly="1" outline="0" fieldPosition="0">
        <references count="5">
          <reference field="0" count="1" selected="0">
            <x v="181"/>
          </reference>
          <reference field="1" count="1" selected="0">
            <x v="213"/>
          </reference>
          <reference field="2" count="1" selected="0">
            <x v="234"/>
          </reference>
          <reference field="3" count="1" selected="0">
            <x v="0"/>
          </reference>
          <reference field="12" count="1">
            <x v="14"/>
          </reference>
        </references>
      </pivotArea>
    </format>
    <format dxfId="1960">
      <pivotArea dataOnly="0" labelOnly="1" outline="0" fieldPosition="0">
        <references count="5">
          <reference field="0" count="1" selected="0">
            <x v="182"/>
          </reference>
          <reference field="1" count="1" selected="0">
            <x v="214"/>
          </reference>
          <reference field="2" count="1" selected="0">
            <x v="235"/>
          </reference>
          <reference field="3" count="1" selected="0">
            <x v="0"/>
          </reference>
          <reference field="12" count="1">
            <x v="7"/>
          </reference>
        </references>
      </pivotArea>
    </format>
    <format dxfId="1959">
      <pivotArea dataOnly="0" labelOnly="1" outline="0" fieldPosition="0">
        <references count="5">
          <reference field="0" count="1" selected="0">
            <x v="183"/>
          </reference>
          <reference field="1" count="1" selected="0">
            <x v="215"/>
          </reference>
          <reference field="2" count="1" selected="0">
            <x v="206"/>
          </reference>
          <reference field="3" count="1" selected="0">
            <x v="0"/>
          </reference>
          <reference field="12" count="1">
            <x v="14"/>
          </reference>
        </references>
      </pivotArea>
    </format>
    <format dxfId="1958">
      <pivotArea dataOnly="0" labelOnly="1" outline="0" fieldPosition="0">
        <references count="5">
          <reference field="0" count="1" selected="0">
            <x v="184"/>
          </reference>
          <reference field="1" count="1" selected="0">
            <x v="216"/>
          </reference>
          <reference field="2" count="1" selected="0">
            <x v="111"/>
          </reference>
          <reference field="3" count="1" selected="0">
            <x v="0"/>
          </reference>
          <reference field="12" count="1">
            <x v="22"/>
          </reference>
        </references>
      </pivotArea>
    </format>
    <format dxfId="1957">
      <pivotArea dataOnly="0" labelOnly="1" outline="0" fieldPosition="0">
        <references count="5">
          <reference field="0" count="1" selected="0">
            <x v="185"/>
          </reference>
          <reference field="1" count="1" selected="0">
            <x v="217"/>
          </reference>
          <reference field="2" count="1" selected="0">
            <x v="113"/>
          </reference>
          <reference field="3" count="1" selected="0">
            <x v="0"/>
          </reference>
          <reference field="12" count="1">
            <x v="12"/>
          </reference>
        </references>
      </pivotArea>
    </format>
    <format dxfId="1956">
      <pivotArea dataOnly="0" labelOnly="1" outline="0" fieldPosition="0">
        <references count="5">
          <reference field="0" count="1" selected="0">
            <x v="186"/>
          </reference>
          <reference field="1" count="1" selected="0">
            <x v="218"/>
          </reference>
          <reference field="2" count="1" selected="0">
            <x v="93"/>
          </reference>
          <reference field="3" count="1" selected="0">
            <x v="0"/>
          </reference>
          <reference field="12" count="1">
            <x v="12"/>
          </reference>
        </references>
      </pivotArea>
    </format>
    <format dxfId="1955">
      <pivotArea dataOnly="0" labelOnly="1" outline="0" fieldPosition="0">
        <references count="5">
          <reference field="0" count="1" selected="0">
            <x v="187"/>
          </reference>
          <reference field="1" count="1" selected="0">
            <x v="219"/>
          </reference>
          <reference field="2" count="1" selected="0">
            <x v="104"/>
          </reference>
          <reference field="3" count="1" selected="0">
            <x v="0"/>
          </reference>
          <reference field="12" count="1">
            <x v="12"/>
          </reference>
        </references>
      </pivotArea>
    </format>
    <format dxfId="1954">
      <pivotArea dataOnly="0" labelOnly="1" outline="0" fieldPosition="0">
        <references count="5">
          <reference field="0" count="1" selected="0">
            <x v="188"/>
          </reference>
          <reference field="1" count="1" selected="0">
            <x v="220"/>
          </reference>
          <reference field="2" count="1" selected="0">
            <x v="196"/>
          </reference>
          <reference field="3" count="1" selected="0">
            <x v="0"/>
          </reference>
          <reference field="12" count="1">
            <x v="12"/>
          </reference>
        </references>
      </pivotArea>
    </format>
    <format dxfId="1953">
      <pivotArea dataOnly="0" labelOnly="1" outline="0" fieldPosition="0">
        <references count="5">
          <reference field="0" count="1" selected="0">
            <x v="189"/>
          </reference>
          <reference field="1" count="1" selected="0">
            <x v="221"/>
          </reference>
          <reference field="2" count="1" selected="0">
            <x v="182"/>
          </reference>
          <reference field="3" count="1" selected="0">
            <x v="0"/>
          </reference>
          <reference field="12" count="1">
            <x v="12"/>
          </reference>
        </references>
      </pivotArea>
    </format>
    <format dxfId="1952">
      <pivotArea dataOnly="0" labelOnly="1" outline="0" fieldPosition="0">
        <references count="5">
          <reference field="0" count="1" selected="0">
            <x v="192"/>
          </reference>
          <reference field="1" count="1" selected="0">
            <x v="224"/>
          </reference>
          <reference field="2" count="1" selected="0">
            <x v="80"/>
          </reference>
          <reference field="3" count="1" selected="0">
            <x v="0"/>
          </reference>
          <reference field="12" count="1">
            <x v="7"/>
          </reference>
        </references>
      </pivotArea>
    </format>
    <format dxfId="1951">
      <pivotArea dataOnly="0" labelOnly="1" outline="0" fieldPosition="0">
        <references count="5">
          <reference field="0" count="1" selected="0">
            <x v="193"/>
          </reference>
          <reference field="1" count="1" selected="0">
            <x v="225"/>
          </reference>
          <reference field="2" count="1" selected="0">
            <x v="238"/>
          </reference>
          <reference field="3" count="1" selected="0">
            <x v="0"/>
          </reference>
          <reference field="12" count="1">
            <x v="7"/>
          </reference>
        </references>
      </pivotArea>
    </format>
    <format dxfId="1950">
      <pivotArea dataOnly="0" labelOnly="1" outline="0" fieldPosition="0">
        <references count="5">
          <reference field="0" count="1" selected="0">
            <x v="197"/>
          </reference>
          <reference field="1" count="1" selected="0">
            <x v="236"/>
          </reference>
          <reference field="2" count="1" selected="0">
            <x v="102"/>
          </reference>
          <reference field="3" count="1" selected="0">
            <x v="0"/>
          </reference>
          <reference field="12" count="1">
            <x v="18"/>
          </reference>
        </references>
      </pivotArea>
    </format>
    <format dxfId="1949">
      <pivotArea dataOnly="0" labelOnly="1" outline="0" fieldPosition="0">
        <references count="5">
          <reference field="0" count="1" selected="0">
            <x v="199"/>
          </reference>
          <reference field="1" count="1" selected="0">
            <x v="238"/>
          </reference>
          <reference field="2" count="1" selected="0">
            <x v="33"/>
          </reference>
          <reference field="3" count="1" selected="0">
            <x v="0"/>
          </reference>
          <reference field="12" count="1">
            <x v="20"/>
          </reference>
        </references>
      </pivotArea>
    </format>
    <format dxfId="1948">
      <pivotArea dataOnly="0" labelOnly="1" outline="0" fieldPosition="0">
        <references count="5">
          <reference field="0" count="1" selected="0">
            <x v="200"/>
          </reference>
          <reference field="1" count="1" selected="0">
            <x v="239"/>
          </reference>
          <reference field="2" count="1" selected="0">
            <x v="34"/>
          </reference>
          <reference field="3" count="1" selected="0">
            <x v="0"/>
          </reference>
          <reference field="12" count="1">
            <x v="20"/>
          </reference>
        </references>
      </pivotArea>
    </format>
    <format dxfId="1947">
      <pivotArea dataOnly="0" labelOnly="1" outline="0" fieldPosition="0">
        <references count="5">
          <reference field="0" count="1" selected="0">
            <x v="201"/>
          </reference>
          <reference field="1" count="1" selected="0">
            <x v="240"/>
          </reference>
          <reference field="2" count="1" selected="0">
            <x v="37"/>
          </reference>
          <reference field="3" count="1" selected="0">
            <x v="0"/>
          </reference>
          <reference field="12" count="1">
            <x v="20"/>
          </reference>
        </references>
      </pivotArea>
    </format>
    <format dxfId="1946">
      <pivotArea dataOnly="0" labelOnly="1" outline="0" fieldPosition="0">
        <references count="5">
          <reference field="0" count="1" selected="0">
            <x v="204"/>
          </reference>
          <reference field="1" count="1" selected="0">
            <x v="149"/>
          </reference>
          <reference field="2" count="1" selected="0">
            <x v="117"/>
          </reference>
          <reference field="3" count="1" selected="0">
            <x v="0"/>
          </reference>
          <reference field="12" count="1">
            <x v="12"/>
          </reference>
        </references>
      </pivotArea>
    </format>
    <format dxfId="1945">
      <pivotArea dataOnly="0" labelOnly="1" outline="0" fieldPosition="0">
        <references count="5">
          <reference field="0" count="1" selected="0">
            <x v="206"/>
          </reference>
          <reference field="1" count="1" selected="0">
            <x v="151"/>
          </reference>
          <reference field="2" count="1" selected="0">
            <x v="159"/>
          </reference>
          <reference field="3" count="1" selected="0">
            <x v="0"/>
          </reference>
          <reference field="12" count="1">
            <x v="12"/>
          </reference>
        </references>
      </pivotArea>
    </format>
    <format dxfId="1944">
      <pivotArea dataOnly="0" labelOnly="1" outline="0" fieldPosition="0">
        <references count="5">
          <reference field="0" count="1" selected="0">
            <x v="207"/>
          </reference>
          <reference field="1" count="1" selected="0">
            <x v="152"/>
          </reference>
          <reference field="2" count="1" selected="0">
            <x v="81"/>
          </reference>
          <reference field="3" count="1" selected="0">
            <x v="0"/>
          </reference>
          <reference field="12" count="1">
            <x v="7"/>
          </reference>
        </references>
      </pivotArea>
    </format>
    <format dxfId="1943">
      <pivotArea dataOnly="0" labelOnly="1" outline="0" fieldPosition="0">
        <references count="5">
          <reference field="0" count="1" selected="0">
            <x v="208"/>
          </reference>
          <reference field="1" count="1" selected="0">
            <x v="153"/>
          </reference>
          <reference field="2" count="1" selected="0">
            <x v="103"/>
          </reference>
          <reference field="3" count="1" selected="0">
            <x v="0"/>
          </reference>
          <reference field="12" count="1">
            <x v="14"/>
          </reference>
        </references>
      </pivotArea>
    </format>
    <format dxfId="1942">
      <pivotArea dataOnly="0" labelOnly="1" outline="0" fieldPosition="0">
        <references count="5">
          <reference field="0" count="1" selected="0">
            <x v="209"/>
          </reference>
          <reference field="1" count="1" selected="0">
            <x v="154"/>
          </reference>
          <reference field="2" count="1" selected="0">
            <x v="98"/>
          </reference>
          <reference field="3" count="1" selected="0">
            <x v="0"/>
          </reference>
          <reference field="12" count="1">
            <x v="14"/>
          </reference>
        </references>
      </pivotArea>
    </format>
    <format dxfId="1941">
      <pivotArea dataOnly="0" labelOnly="1" outline="0" fieldPosition="0">
        <references count="5">
          <reference field="0" count="1" selected="0">
            <x v="210"/>
          </reference>
          <reference field="1" count="1" selected="0">
            <x v="155"/>
          </reference>
          <reference field="2" count="1" selected="0">
            <x v="162"/>
          </reference>
          <reference field="3" count="1" selected="0">
            <x v="0"/>
          </reference>
          <reference field="12" count="1">
            <x v="7"/>
          </reference>
        </references>
      </pivotArea>
    </format>
    <format dxfId="1940">
      <pivotArea dataOnly="0" labelOnly="1" outline="0" fieldPosition="0">
        <references count="5">
          <reference field="0" count="1" selected="0">
            <x v="211"/>
          </reference>
          <reference field="1" count="1" selected="0">
            <x v="156"/>
          </reference>
          <reference field="2" count="1" selected="0">
            <x v="164"/>
          </reference>
          <reference field="3" count="1" selected="0">
            <x v="0"/>
          </reference>
          <reference field="12" count="1">
            <x v="20"/>
          </reference>
        </references>
      </pivotArea>
    </format>
    <format dxfId="1939">
      <pivotArea dataOnly="0" labelOnly="1" outline="0" fieldPosition="0">
        <references count="5">
          <reference field="0" count="1" selected="0">
            <x v="212"/>
          </reference>
          <reference field="1" count="1" selected="0">
            <x v="157"/>
          </reference>
          <reference field="2" count="1" selected="0">
            <x v="170"/>
          </reference>
          <reference field="3" count="1" selected="0">
            <x v="0"/>
          </reference>
          <reference field="12" count="1">
            <x v="20"/>
          </reference>
        </references>
      </pivotArea>
    </format>
    <format dxfId="1938">
      <pivotArea dataOnly="0" labelOnly="1" outline="0" fieldPosition="0">
        <references count="5">
          <reference field="0" count="1" selected="0">
            <x v="214"/>
          </reference>
          <reference field="1" count="1" selected="0">
            <x v="159"/>
          </reference>
          <reference field="2" count="1" selected="0">
            <x v="139"/>
          </reference>
          <reference field="3" count="1" selected="0">
            <x v="0"/>
          </reference>
          <reference field="12" count="1">
            <x v="10"/>
          </reference>
        </references>
      </pivotArea>
    </format>
    <format dxfId="1937">
      <pivotArea dataOnly="0" labelOnly="1" outline="0" fieldPosition="0">
        <references count="5">
          <reference field="0" count="1" selected="0">
            <x v="215"/>
          </reference>
          <reference field="1" count="1" selected="0">
            <x v="160"/>
          </reference>
          <reference field="2" count="1" selected="0">
            <x v="137"/>
          </reference>
          <reference field="3" count="1" selected="0">
            <x v="0"/>
          </reference>
          <reference field="12" count="1">
            <x v="10"/>
          </reference>
        </references>
      </pivotArea>
    </format>
    <format dxfId="1936">
      <pivotArea dataOnly="0" labelOnly="1" outline="0" fieldPosition="0">
        <references count="5">
          <reference field="0" count="1" selected="0">
            <x v="216"/>
          </reference>
          <reference field="1" count="1" selected="0">
            <x v="161"/>
          </reference>
          <reference field="2" count="1" selected="0">
            <x v="136"/>
          </reference>
          <reference field="3" count="1" selected="0">
            <x v="0"/>
          </reference>
          <reference field="12" count="1">
            <x v="10"/>
          </reference>
        </references>
      </pivotArea>
    </format>
    <format dxfId="1935">
      <pivotArea dataOnly="0" labelOnly="1" outline="0" fieldPosition="0">
        <references count="5">
          <reference field="0" count="1" selected="0">
            <x v="217"/>
          </reference>
          <reference field="1" count="1" selected="0">
            <x v="162"/>
          </reference>
          <reference field="2" count="1" selected="0">
            <x v="13"/>
          </reference>
          <reference field="3" count="1" selected="0">
            <x v="0"/>
          </reference>
          <reference field="12" count="1">
            <x v="10"/>
          </reference>
        </references>
      </pivotArea>
    </format>
    <format dxfId="1934">
      <pivotArea dataOnly="0" labelOnly="1" outline="0" fieldPosition="0">
        <references count="5">
          <reference field="0" count="1" selected="0">
            <x v="218"/>
          </reference>
          <reference field="1" count="1" selected="0">
            <x v="163"/>
          </reference>
          <reference field="2" count="1" selected="0">
            <x v="179"/>
          </reference>
          <reference field="3" count="1" selected="0">
            <x v="0"/>
          </reference>
          <reference field="12" count="1">
            <x v="10"/>
          </reference>
        </references>
      </pivotArea>
    </format>
    <format dxfId="1933">
      <pivotArea dataOnly="0" labelOnly="1" outline="0" fieldPosition="0">
        <references count="5">
          <reference field="0" count="1" selected="0">
            <x v="219"/>
          </reference>
          <reference field="1" count="1" selected="0">
            <x v="164"/>
          </reference>
          <reference field="2" count="1" selected="0">
            <x v="138"/>
          </reference>
          <reference field="3" count="1" selected="0">
            <x v="0"/>
          </reference>
          <reference field="12" count="1">
            <x v="10"/>
          </reference>
        </references>
      </pivotArea>
    </format>
    <format dxfId="1932">
      <pivotArea dataOnly="0" labelOnly="1" outline="0" fieldPosition="0">
        <references count="5">
          <reference field="0" count="1" selected="0">
            <x v="220"/>
          </reference>
          <reference field="1" count="1" selected="0">
            <x v="165"/>
          </reference>
          <reference field="2" count="1" selected="0">
            <x v="142"/>
          </reference>
          <reference field="3" count="1" selected="0">
            <x v="0"/>
          </reference>
          <reference field="12" count="1">
            <x v="11"/>
          </reference>
        </references>
      </pivotArea>
    </format>
    <format dxfId="1931">
      <pivotArea dataOnly="0" labelOnly="1" outline="0" fieldPosition="0">
        <references count="5">
          <reference field="0" count="1" selected="0">
            <x v="221"/>
          </reference>
          <reference field="1" count="1" selected="0">
            <x v="166"/>
          </reference>
          <reference field="2" count="1" selected="0">
            <x v="143"/>
          </reference>
          <reference field="3" count="1" selected="0">
            <x v="0"/>
          </reference>
          <reference field="12" count="1">
            <x v="10"/>
          </reference>
        </references>
      </pivotArea>
    </format>
    <format dxfId="1930">
      <pivotArea dataOnly="0" labelOnly="1" outline="0" fieldPosition="0">
        <references count="5">
          <reference field="0" count="1" selected="0">
            <x v="223"/>
          </reference>
          <reference field="1" count="1" selected="0">
            <x v="168"/>
          </reference>
          <reference field="2" count="1" selected="0">
            <x v="71"/>
          </reference>
          <reference field="3" count="1" selected="0">
            <x v="0"/>
          </reference>
          <reference field="12" count="1">
            <x v="24"/>
          </reference>
        </references>
      </pivotArea>
    </format>
    <format dxfId="1929">
      <pivotArea dataOnly="0" labelOnly="1" outline="0" fieldPosition="0">
        <references count="5">
          <reference field="0" count="1" selected="0">
            <x v="224"/>
          </reference>
          <reference field="1" count="1" selected="0">
            <x v="169"/>
          </reference>
          <reference field="2" count="1" selected="0">
            <x v="121"/>
          </reference>
          <reference field="3" count="1" selected="0">
            <x v="0"/>
          </reference>
          <reference field="12" count="1">
            <x v="23"/>
          </reference>
        </references>
      </pivotArea>
    </format>
    <format dxfId="1928">
      <pivotArea dataOnly="0" labelOnly="1" outline="0" fieldPosition="0">
        <references count="5">
          <reference field="0" count="1" selected="0">
            <x v="225"/>
          </reference>
          <reference field="1" count="1" selected="0">
            <x v="170"/>
          </reference>
          <reference field="2" count="1" selected="0">
            <x v="120"/>
          </reference>
          <reference field="3" count="1" selected="0">
            <x v="0"/>
          </reference>
          <reference field="12" count="1">
            <x v="23"/>
          </reference>
        </references>
      </pivotArea>
    </format>
    <format dxfId="1927">
      <pivotArea dataOnly="0" labelOnly="1" outline="0" fieldPosition="0">
        <references count="5">
          <reference field="0" count="1" selected="0">
            <x v="226"/>
          </reference>
          <reference field="1" count="1" selected="0">
            <x v="171"/>
          </reference>
          <reference field="2" count="1" selected="0">
            <x v="41"/>
          </reference>
          <reference field="3" count="1" selected="0">
            <x v="0"/>
          </reference>
          <reference field="12" count="1">
            <x v="23"/>
          </reference>
        </references>
      </pivotArea>
    </format>
    <format dxfId="1926">
      <pivotArea dataOnly="0" labelOnly="1" outline="0" fieldPosition="0">
        <references count="5">
          <reference field="0" count="1" selected="0">
            <x v="227"/>
          </reference>
          <reference field="1" count="1" selected="0">
            <x v="172"/>
          </reference>
          <reference field="2" count="1" selected="0">
            <x v="42"/>
          </reference>
          <reference field="3" count="1" selected="0">
            <x v="0"/>
          </reference>
          <reference field="12" count="1">
            <x v="23"/>
          </reference>
        </references>
      </pivotArea>
    </format>
    <format dxfId="1925">
      <pivotArea dataOnly="0" labelOnly="1" outline="0" fieldPosition="0">
        <references count="5">
          <reference field="0" count="1" selected="0">
            <x v="228"/>
          </reference>
          <reference field="1" count="1" selected="0">
            <x v="173"/>
          </reference>
          <reference field="2" count="1" selected="0">
            <x v="145"/>
          </reference>
          <reference field="3" count="1" selected="0">
            <x v="0"/>
          </reference>
          <reference field="12" count="1">
            <x v="3"/>
          </reference>
        </references>
      </pivotArea>
    </format>
    <format dxfId="1924">
      <pivotArea dataOnly="0" labelOnly="1" outline="0" fieldPosition="0">
        <references count="5">
          <reference field="0" count="1" selected="0">
            <x v="229"/>
          </reference>
          <reference field="1" count="1" selected="0">
            <x v="174"/>
          </reference>
          <reference field="2" count="1" selected="0">
            <x v="91"/>
          </reference>
          <reference field="3" count="1" selected="0">
            <x v="0"/>
          </reference>
          <reference field="12" count="1">
            <x v="3"/>
          </reference>
        </references>
      </pivotArea>
    </format>
    <format dxfId="1923">
      <pivotArea dataOnly="0" labelOnly="1" outline="0" fieldPosition="0">
        <references count="5">
          <reference field="0" count="1" selected="0">
            <x v="230"/>
          </reference>
          <reference field="1" count="1" selected="0">
            <x v="175"/>
          </reference>
          <reference field="2" count="1" selected="0">
            <x v="160"/>
          </reference>
          <reference field="3" count="1" selected="0">
            <x v="0"/>
          </reference>
          <reference field="12" count="1">
            <x v="3"/>
          </reference>
        </references>
      </pivotArea>
    </format>
    <format dxfId="1922">
      <pivotArea dataOnly="0" labelOnly="1" outline="0" fieldPosition="0">
        <references count="5">
          <reference field="0" count="1" selected="0">
            <x v="231"/>
          </reference>
          <reference field="1" count="1" selected="0">
            <x v="176"/>
          </reference>
          <reference field="2" count="1" selected="0">
            <x v="42"/>
          </reference>
          <reference field="3" count="1" selected="0">
            <x v="0"/>
          </reference>
          <reference field="12" count="1">
            <x v="3"/>
          </reference>
        </references>
      </pivotArea>
    </format>
    <format dxfId="1921">
      <pivotArea dataOnly="0" labelOnly="1" outline="0" fieldPosition="0">
        <references count="5">
          <reference field="0" count="1" selected="0">
            <x v="232"/>
          </reference>
          <reference field="1" count="1" selected="0">
            <x v="177"/>
          </reference>
          <reference field="2" count="1" selected="0">
            <x v="47"/>
          </reference>
          <reference field="3" count="1" selected="0">
            <x v="0"/>
          </reference>
          <reference field="12" count="1">
            <x v="3"/>
          </reference>
        </references>
      </pivotArea>
    </format>
    <format dxfId="1920">
      <pivotArea dataOnly="0" labelOnly="1" outline="0" fieldPosition="0">
        <references count="5">
          <reference field="0" count="1" selected="0">
            <x v="233"/>
          </reference>
          <reference field="1" count="1" selected="0">
            <x v="178"/>
          </reference>
          <reference field="2" count="1" selected="0">
            <x v="32"/>
          </reference>
          <reference field="3" count="1" selected="0">
            <x v="0"/>
          </reference>
          <reference field="12" count="1">
            <x v="3"/>
          </reference>
        </references>
      </pivotArea>
    </format>
    <format dxfId="1919">
      <pivotArea dataOnly="0" labelOnly="1" outline="0" fieldPosition="0">
        <references count="5">
          <reference field="0" count="1" selected="0">
            <x v="234"/>
          </reference>
          <reference field="1" count="1" selected="0">
            <x v="179"/>
          </reference>
          <reference field="2" count="1" selected="0">
            <x v="163"/>
          </reference>
          <reference field="3" count="1" selected="0">
            <x v="0"/>
          </reference>
          <reference field="12" count="1">
            <x v="28"/>
          </reference>
        </references>
      </pivotArea>
    </format>
    <format dxfId="1918">
      <pivotArea dataOnly="0" labelOnly="1" outline="0" fieldPosition="0">
        <references count="5">
          <reference field="0" count="1" selected="0">
            <x v="235"/>
          </reference>
          <reference field="1" count="1" selected="0">
            <x v="191"/>
          </reference>
          <reference field="2" count="1" selected="0">
            <x v="155"/>
          </reference>
          <reference field="3" count="1" selected="0">
            <x v="0"/>
          </reference>
          <reference field="12" count="1">
            <x v="3"/>
          </reference>
        </references>
      </pivotArea>
    </format>
    <format dxfId="1917">
      <pivotArea dataOnly="0" labelOnly="1" outline="0" fieldPosition="0">
        <references count="5">
          <reference field="0" count="1" selected="0">
            <x v="236"/>
          </reference>
          <reference field="1" count="1" selected="0">
            <x v="192"/>
          </reference>
          <reference field="2" count="1" selected="0">
            <x v="27"/>
          </reference>
          <reference field="3" count="1" selected="0">
            <x v="0"/>
          </reference>
          <reference field="12" count="1">
            <x v="3"/>
          </reference>
        </references>
      </pivotArea>
    </format>
    <format dxfId="1916">
      <pivotArea dataOnly="0" labelOnly="1" outline="0" fieldPosition="0">
        <references count="5">
          <reference field="0" count="1" selected="0">
            <x v="237"/>
          </reference>
          <reference field="1" count="1" selected="0">
            <x v="193"/>
          </reference>
          <reference field="2" count="1" selected="0">
            <x v="89"/>
          </reference>
          <reference field="3" count="1" selected="0">
            <x v="0"/>
          </reference>
          <reference field="12" count="1">
            <x v="3"/>
          </reference>
        </references>
      </pivotArea>
    </format>
    <format dxfId="1915">
      <pivotArea dataOnly="0" labelOnly="1" outline="0" fieldPosition="0">
        <references count="5">
          <reference field="0" count="1" selected="0">
            <x v="238"/>
          </reference>
          <reference field="1" count="1" selected="0">
            <x v="194"/>
          </reference>
          <reference field="2" count="1" selected="0">
            <x v="25"/>
          </reference>
          <reference field="3" count="1" selected="0">
            <x v="0"/>
          </reference>
          <reference field="12" count="1">
            <x v="0"/>
          </reference>
        </references>
      </pivotArea>
    </format>
    <format dxfId="1914">
      <pivotArea dataOnly="0" labelOnly="1" outline="0" fieldPosition="0">
        <references count="5">
          <reference field="0" count="1" selected="0">
            <x v="239"/>
          </reference>
          <reference field="1" count="1" selected="0">
            <x v="195"/>
          </reference>
          <reference field="2" count="1" selected="0">
            <x v="28"/>
          </reference>
          <reference field="3" count="1" selected="0">
            <x v="0"/>
          </reference>
          <reference field="12" count="1">
            <x v="0"/>
          </reference>
        </references>
      </pivotArea>
    </format>
    <format dxfId="1913">
      <pivotArea dataOnly="0" labelOnly="1" outline="0" fieldPosition="0">
        <references count="5">
          <reference field="0" count="1" selected="0">
            <x v="240"/>
          </reference>
          <reference field="1" count="1" selected="0">
            <x v="196"/>
          </reference>
          <reference field="2" count="1" selected="0">
            <x v="40"/>
          </reference>
          <reference field="3" count="1" selected="0">
            <x v="0"/>
          </reference>
          <reference field="12" count="1">
            <x v="3"/>
          </reference>
        </references>
      </pivotArea>
    </format>
    <format dxfId="1912">
      <pivotArea dataOnly="0" labelOnly="1" outline="0" fieldPosition="0">
        <references count="5">
          <reference field="0" count="1" selected="0">
            <x v="241"/>
          </reference>
          <reference field="1" count="1" selected="0">
            <x v="197"/>
          </reference>
          <reference field="2" count="1" selected="0">
            <x v="195"/>
          </reference>
          <reference field="3" count="1" selected="0">
            <x v="0"/>
          </reference>
          <reference field="12" count="1">
            <x v="0"/>
          </reference>
        </references>
      </pivotArea>
    </format>
    <format dxfId="1911">
      <pivotArea dataOnly="0" labelOnly="1" outline="0" fieldPosition="0">
        <references count="5">
          <reference field="0" count="1" selected="0">
            <x v="242"/>
          </reference>
          <reference field="1" count="1" selected="0">
            <x v="198"/>
          </reference>
          <reference field="2" count="1" selected="0">
            <x v="132"/>
          </reference>
          <reference field="3" count="1" selected="0">
            <x v="0"/>
          </reference>
          <reference field="12" count="1">
            <x v="6"/>
          </reference>
        </references>
      </pivotArea>
    </format>
    <format dxfId="1910">
      <pivotArea dataOnly="0" labelOnly="1" outline="0" fieldPosition="0">
        <references count="6">
          <reference field="0" count="1" selected="0">
            <x v="0"/>
          </reference>
          <reference field="1" count="1" selected="0">
            <x v="228"/>
          </reference>
          <reference field="2" count="1" selected="0">
            <x v="153"/>
          </reference>
          <reference field="3" count="1" selected="0">
            <x v="0"/>
          </reference>
          <reference field="12" count="1" selected="0">
            <x v="7"/>
          </reference>
          <reference field="13" count="1">
            <x v="24"/>
          </reference>
        </references>
      </pivotArea>
    </format>
    <format dxfId="1909">
      <pivotArea dataOnly="0" labelOnly="1" outline="0" fieldPosition="0">
        <references count="6">
          <reference field="0" count="1" selected="0">
            <x v="2"/>
          </reference>
          <reference field="1" count="1" selected="0">
            <x v="230"/>
          </reference>
          <reference field="2" count="1" selected="0">
            <x v="225"/>
          </reference>
          <reference field="3" count="1" selected="0">
            <x v="0"/>
          </reference>
          <reference field="12" count="1" selected="0">
            <x v="7"/>
          </reference>
          <reference field="13" count="1">
            <x v="0"/>
          </reference>
        </references>
      </pivotArea>
    </format>
    <format dxfId="1908">
      <pivotArea dataOnly="0" labelOnly="1" outline="0" fieldPosition="0">
        <references count="6">
          <reference field="0" count="1" selected="0">
            <x v="3"/>
          </reference>
          <reference field="1" count="1" selected="0">
            <x v="231"/>
          </reference>
          <reference field="2" count="1" selected="0">
            <x v="88"/>
          </reference>
          <reference field="3" count="1" selected="0">
            <x v="0"/>
          </reference>
          <reference field="12" count="1" selected="0">
            <x v="3"/>
          </reference>
          <reference field="13" count="1">
            <x v="0"/>
          </reference>
        </references>
      </pivotArea>
    </format>
    <format dxfId="1907">
      <pivotArea dataOnly="0" labelOnly="1" outline="0" fieldPosition="0">
        <references count="6">
          <reference field="0" count="1" selected="0">
            <x v="4"/>
          </reference>
          <reference field="1" count="1" selected="0">
            <x v="232"/>
          </reference>
          <reference field="2" count="1" selected="0">
            <x v="90"/>
          </reference>
          <reference field="3" count="1" selected="0">
            <x v="0"/>
          </reference>
          <reference field="12" count="1" selected="0">
            <x v="3"/>
          </reference>
          <reference field="13" count="1">
            <x v="0"/>
          </reference>
        </references>
      </pivotArea>
    </format>
    <format dxfId="1906">
      <pivotArea dataOnly="0" labelOnly="1" outline="0" fieldPosition="0">
        <references count="6">
          <reference field="0" count="1" selected="0">
            <x v="5"/>
          </reference>
          <reference field="1" count="1" selected="0">
            <x v="233"/>
          </reference>
          <reference field="2" count="1" selected="0">
            <x v="224"/>
          </reference>
          <reference field="3" count="1" selected="0">
            <x v="0"/>
          </reference>
          <reference field="12" count="1" selected="0">
            <x v="7"/>
          </reference>
          <reference field="13" count="1">
            <x v="0"/>
          </reference>
        </references>
      </pivotArea>
    </format>
    <format dxfId="1905">
      <pivotArea dataOnly="0" labelOnly="1" outline="0" fieldPosition="0">
        <references count="6">
          <reference field="0" count="1" selected="0">
            <x v="7"/>
          </reference>
          <reference field="1" count="1" selected="0">
            <x v="118"/>
          </reference>
          <reference field="2" count="1" selected="0">
            <x v="171"/>
          </reference>
          <reference field="3" count="1" selected="0">
            <x v="0"/>
          </reference>
          <reference field="12" count="1" selected="0">
            <x v="0"/>
          </reference>
          <reference field="13" count="1">
            <x v="0"/>
          </reference>
        </references>
      </pivotArea>
    </format>
    <format dxfId="1904">
      <pivotArea dataOnly="0" labelOnly="1" outline="0" fieldPosition="0">
        <references count="6">
          <reference field="0" count="1" selected="0">
            <x v="9"/>
          </reference>
          <reference field="1" count="1" selected="0">
            <x v="120"/>
          </reference>
          <reference field="2" count="1" selected="0">
            <x v="168"/>
          </reference>
          <reference field="3" count="1" selected="0">
            <x v="0"/>
          </reference>
          <reference field="12" count="1" selected="0">
            <x v="0"/>
          </reference>
          <reference field="13" count="1">
            <x v="0"/>
          </reference>
        </references>
      </pivotArea>
    </format>
    <format dxfId="1903">
      <pivotArea dataOnly="0" labelOnly="1" outline="0" fieldPosition="0">
        <references count="6">
          <reference field="0" count="1" selected="0">
            <x v="10"/>
          </reference>
          <reference field="1" count="1" selected="0">
            <x v="121"/>
          </reference>
          <reference field="2" count="1" selected="0">
            <x v="82"/>
          </reference>
          <reference field="3" count="1" selected="0">
            <x v="0"/>
          </reference>
          <reference field="12" count="1" selected="0">
            <x v="0"/>
          </reference>
          <reference field="13" count="1">
            <x v="0"/>
          </reference>
        </references>
      </pivotArea>
    </format>
    <format dxfId="1902">
      <pivotArea dataOnly="0" labelOnly="1" outline="0" fieldPosition="0">
        <references count="6">
          <reference field="0" count="1" selected="0">
            <x v="11"/>
          </reference>
          <reference field="1" count="1" selected="0">
            <x v="122"/>
          </reference>
          <reference field="2" count="1" selected="0">
            <x v="26"/>
          </reference>
          <reference field="3" count="1" selected="0">
            <x v="0"/>
          </reference>
          <reference field="12" count="1" selected="0">
            <x v="0"/>
          </reference>
          <reference field="13" count="1">
            <x v="0"/>
          </reference>
        </references>
      </pivotArea>
    </format>
    <format dxfId="1901">
      <pivotArea dataOnly="0" labelOnly="1" outline="0" fieldPosition="0">
        <references count="6">
          <reference field="0" count="1" selected="0">
            <x v="12"/>
          </reference>
          <reference field="1" count="1" selected="0">
            <x v="123"/>
          </reference>
          <reference field="2" count="1" selected="0">
            <x v="150"/>
          </reference>
          <reference field="3" count="1" selected="0">
            <x v="0"/>
          </reference>
          <reference field="12" count="1" selected="0">
            <x v="0"/>
          </reference>
          <reference field="13" count="1">
            <x v="2"/>
          </reference>
        </references>
      </pivotArea>
    </format>
    <format dxfId="1900">
      <pivotArea dataOnly="0" labelOnly="1" outline="0" fieldPosition="0">
        <references count="6">
          <reference field="0" count="1" selected="0">
            <x v="16"/>
          </reference>
          <reference field="1" count="1" selected="0">
            <x v="64"/>
          </reference>
          <reference field="2" count="1" selected="0">
            <x v="157"/>
          </reference>
          <reference field="3" count="1" selected="0">
            <x v="0"/>
          </reference>
          <reference field="12" count="1" selected="0">
            <x v="7"/>
          </reference>
          <reference field="13" count="1">
            <x v="0"/>
          </reference>
        </references>
      </pivotArea>
    </format>
    <format dxfId="1899">
      <pivotArea dataOnly="0" labelOnly="1" outline="0" fieldPosition="0">
        <references count="6">
          <reference field="0" count="1" selected="0">
            <x v="18"/>
          </reference>
          <reference field="1" count="1" selected="0">
            <x v="66"/>
          </reference>
          <reference field="2" count="1" selected="0">
            <x v="189"/>
          </reference>
          <reference field="3" count="1" selected="0">
            <x v="0"/>
          </reference>
          <reference field="12" count="1" selected="0">
            <x v="7"/>
          </reference>
          <reference field="13" count="1">
            <x v="0"/>
          </reference>
        </references>
      </pivotArea>
    </format>
    <format dxfId="1898">
      <pivotArea dataOnly="0" labelOnly="1" outline="0" fieldPosition="0">
        <references count="6">
          <reference field="0" count="1" selected="0">
            <x v="22"/>
          </reference>
          <reference field="1" count="1" selected="0">
            <x v="19"/>
          </reference>
          <reference field="2" count="1" selected="0">
            <x v="39"/>
          </reference>
          <reference field="3" count="1" selected="0">
            <x v="0"/>
          </reference>
          <reference field="12" count="1" selected="0">
            <x v="9"/>
          </reference>
          <reference field="13" count="1">
            <x v="0"/>
          </reference>
        </references>
      </pivotArea>
    </format>
    <format dxfId="1897">
      <pivotArea dataOnly="0" labelOnly="1" outline="0" fieldPosition="0">
        <references count="6">
          <reference field="0" count="1" selected="0">
            <x v="25"/>
          </reference>
          <reference field="1" count="1" selected="0">
            <x v="22"/>
          </reference>
          <reference field="2" count="1" selected="0">
            <x v="84"/>
          </reference>
          <reference field="3" count="1" selected="0">
            <x v="0"/>
          </reference>
          <reference field="12" count="1" selected="0">
            <x v="9"/>
          </reference>
          <reference field="13" count="1">
            <x v="0"/>
          </reference>
        </references>
      </pivotArea>
    </format>
    <format dxfId="1896">
      <pivotArea dataOnly="0" labelOnly="1" outline="0" fieldPosition="0">
        <references count="6">
          <reference field="0" count="1" selected="0">
            <x v="26"/>
          </reference>
          <reference field="1" count="1" selected="0">
            <x v="23"/>
          </reference>
          <reference field="2" count="1" selected="0">
            <x v="217"/>
          </reference>
          <reference field="3" count="1" selected="0">
            <x v="0"/>
          </reference>
          <reference field="12" count="1" selected="0">
            <x v="5"/>
          </reference>
          <reference field="13" count="1">
            <x v="0"/>
          </reference>
        </references>
      </pivotArea>
    </format>
    <format dxfId="1895">
      <pivotArea dataOnly="0" labelOnly="1" outline="0" fieldPosition="0">
        <references count="6">
          <reference field="0" count="1" selected="0">
            <x v="28"/>
          </reference>
          <reference field="1" count="1" selected="0">
            <x v="25"/>
          </reference>
          <reference field="2" count="1" selected="0">
            <x v="52"/>
          </reference>
          <reference field="3" count="1" selected="0">
            <x v="0"/>
          </reference>
          <reference field="12" count="1" selected="0">
            <x v="0"/>
          </reference>
          <reference field="13" count="1">
            <x v="0"/>
          </reference>
        </references>
      </pivotArea>
    </format>
    <format dxfId="1894">
      <pivotArea dataOnly="0" labelOnly="1" outline="0" fieldPosition="0">
        <references count="6">
          <reference field="0" count="1" selected="0">
            <x v="29"/>
          </reference>
          <reference field="1" count="1" selected="0">
            <x v="26"/>
          </reference>
          <reference field="2" count="1" selected="0">
            <x v="62"/>
          </reference>
          <reference field="3" count="1" selected="0">
            <x v="0"/>
          </reference>
          <reference field="12" count="1" selected="0">
            <x v="15"/>
          </reference>
          <reference field="13" count="1">
            <x v="0"/>
          </reference>
        </references>
      </pivotArea>
    </format>
    <format dxfId="1893">
      <pivotArea dataOnly="0" labelOnly="1" outline="0" fieldPosition="0">
        <references count="6">
          <reference field="0" count="1" selected="0">
            <x v="30"/>
          </reference>
          <reference field="1" count="1" selected="0">
            <x v="27"/>
          </reference>
          <reference field="2" count="1" selected="0">
            <x v="7"/>
          </reference>
          <reference field="3" count="1" selected="0">
            <x v="0"/>
          </reference>
          <reference field="12" count="1" selected="0">
            <x v="15"/>
          </reference>
          <reference field="13" count="1">
            <x v="0"/>
          </reference>
        </references>
      </pivotArea>
    </format>
    <format dxfId="1892">
      <pivotArea dataOnly="0" labelOnly="1" outline="0" fieldPosition="0">
        <references count="6">
          <reference field="0" count="1" selected="0">
            <x v="31"/>
          </reference>
          <reference field="1" count="1" selected="0">
            <x v="28"/>
          </reference>
          <reference field="2" count="1" selected="0">
            <x v="53"/>
          </reference>
          <reference field="3" count="1" selected="0">
            <x v="0"/>
          </reference>
          <reference field="12" count="1" selected="0">
            <x v="7"/>
          </reference>
          <reference field="13" count="1">
            <x v="0"/>
          </reference>
        </references>
      </pivotArea>
    </format>
    <format dxfId="1891">
      <pivotArea dataOnly="0" labelOnly="1" outline="0" fieldPosition="0">
        <references count="6">
          <reference field="0" count="1" selected="0">
            <x v="35"/>
          </reference>
          <reference field="1" count="1" selected="0">
            <x v="32"/>
          </reference>
          <reference field="2" count="1" selected="0">
            <x v="51"/>
          </reference>
          <reference field="3" count="1" selected="0">
            <x v="0"/>
          </reference>
          <reference field="12" count="1" selected="0">
            <x v="9"/>
          </reference>
          <reference field="13" count="1">
            <x v="0"/>
          </reference>
        </references>
      </pivotArea>
    </format>
    <format dxfId="1890">
      <pivotArea dataOnly="0" labelOnly="1" outline="0" fieldPosition="0">
        <references count="6">
          <reference field="0" count="1" selected="0">
            <x v="36"/>
          </reference>
          <reference field="1" count="1" selected="0">
            <x v="33"/>
          </reference>
          <reference field="2" count="1" selected="0">
            <x v="130"/>
          </reference>
          <reference field="3" count="1" selected="0">
            <x v="0"/>
          </reference>
          <reference field="12" count="1" selected="0">
            <x v="22"/>
          </reference>
          <reference field="13" count="1">
            <x v="0"/>
          </reference>
        </references>
      </pivotArea>
    </format>
    <format dxfId="1889">
      <pivotArea dataOnly="0" labelOnly="1" outline="0" fieldPosition="0">
        <references count="6">
          <reference field="0" count="1" selected="0">
            <x v="37"/>
          </reference>
          <reference field="1" count="1" selected="0">
            <x v="34"/>
          </reference>
          <reference field="2" count="1" selected="0">
            <x v="70"/>
          </reference>
          <reference field="3" count="1" selected="0">
            <x v="0"/>
          </reference>
          <reference field="12" count="1" selected="0">
            <x v="10"/>
          </reference>
          <reference field="13" count="1">
            <x v="0"/>
          </reference>
        </references>
      </pivotArea>
    </format>
    <format dxfId="1888">
      <pivotArea dataOnly="0" labelOnly="1" outline="0" fieldPosition="0">
        <references count="6">
          <reference field="0" count="1" selected="0">
            <x v="38"/>
          </reference>
          <reference field="1" count="1" selected="0">
            <x v="0"/>
          </reference>
          <reference field="2" count="1" selected="0">
            <x v="45"/>
          </reference>
          <reference field="3" count="1" selected="0">
            <x v="0"/>
          </reference>
          <reference field="12" count="1" selected="0">
            <x v="10"/>
          </reference>
          <reference field="13" count="1">
            <x v="0"/>
          </reference>
        </references>
      </pivotArea>
    </format>
    <format dxfId="1887">
      <pivotArea dataOnly="0" labelOnly="1" outline="0" fieldPosition="0">
        <references count="6">
          <reference field="0" count="1" selected="0">
            <x v="39"/>
          </reference>
          <reference field="1" count="1" selected="0">
            <x v="1"/>
          </reference>
          <reference field="2" count="1" selected="0">
            <x v="46"/>
          </reference>
          <reference field="3" count="1" selected="0">
            <x v="0"/>
          </reference>
          <reference field="12" count="1" selected="0">
            <x v="10"/>
          </reference>
          <reference field="13" count="1">
            <x v="0"/>
          </reference>
        </references>
      </pivotArea>
    </format>
    <format dxfId="1886">
      <pivotArea dataOnly="0" labelOnly="1" outline="0" fieldPosition="0">
        <references count="6">
          <reference field="0" count="1" selected="0">
            <x v="42"/>
          </reference>
          <reference field="1" count="1" selected="0">
            <x v="4"/>
          </reference>
          <reference field="2" count="1" selected="0">
            <x v="64"/>
          </reference>
          <reference field="3" count="1" selected="0">
            <x v="0"/>
          </reference>
          <reference field="12" count="1" selected="0">
            <x v="10"/>
          </reference>
          <reference field="13" count="1">
            <x v="0"/>
          </reference>
        </references>
      </pivotArea>
    </format>
    <format dxfId="1885">
      <pivotArea dataOnly="0" labelOnly="1" outline="0" fieldPosition="0">
        <references count="6">
          <reference field="0" count="1" selected="0">
            <x v="43"/>
          </reference>
          <reference field="1" count="1" selected="0">
            <x v="5"/>
          </reference>
          <reference field="2" count="1" selected="0">
            <x v="19"/>
          </reference>
          <reference field="3" count="1" selected="0">
            <x v="0"/>
          </reference>
          <reference field="12" count="1" selected="0">
            <x v="10"/>
          </reference>
          <reference field="13" count="1">
            <x v="0"/>
          </reference>
        </references>
      </pivotArea>
    </format>
    <format dxfId="1884">
      <pivotArea dataOnly="0" labelOnly="1" outline="0" fieldPosition="0">
        <references count="6">
          <reference field="0" count="1" selected="0">
            <x v="44"/>
          </reference>
          <reference field="1" count="1" selected="0">
            <x v="6"/>
          </reference>
          <reference field="2" count="1" selected="0">
            <x v="23"/>
          </reference>
          <reference field="3" count="1" selected="0">
            <x v="0"/>
          </reference>
          <reference field="12" count="1" selected="0">
            <x v="10"/>
          </reference>
          <reference field="13" count="1">
            <x v="0"/>
          </reference>
        </references>
      </pivotArea>
    </format>
    <format dxfId="1883">
      <pivotArea dataOnly="0" labelOnly="1" outline="0" fieldPosition="0">
        <references count="6">
          <reference field="0" count="1" selected="0">
            <x v="45"/>
          </reference>
          <reference field="1" count="1" selected="0">
            <x v="7"/>
          </reference>
          <reference field="2" count="1" selected="0">
            <x v="22"/>
          </reference>
          <reference field="3" count="1" selected="0">
            <x v="0"/>
          </reference>
          <reference field="12" count="1" selected="0">
            <x v="10"/>
          </reference>
          <reference field="13" count="1">
            <x v="0"/>
          </reference>
        </references>
      </pivotArea>
    </format>
    <format dxfId="1882">
      <pivotArea dataOnly="0" labelOnly="1" outline="0" fieldPosition="0">
        <references count="6">
          <reference field="0" count="1" selected="0">
            <x v="46"/>
          </reference>
          <reference field="1" count="1" selected="0">
            <x v="8"/>
          </reference>
          <reference field="2" count="1" selected="0">
            <x v="135"/>
          </reference>
          <reference field="3" count="1" selected="0">
            <x v="0"/>
          </reference>
          <reference field="12" count="1" selected="0">
            <x v="10"/>
          </reference>
          <reference field="13" count="1">
            <x v="0"/>
          </reference>
        </references>
      </pivotArea>
    </format>
    <format dxfId="1881">
      <pivotArea dataOnly="0" labelOnly="1" outline="0" fieldPosition="0">
        <references count="6">
          <reference field="0" count="1" selected="0">
            <x v="47"/>
          </reference>
          <reference field="1" count="1" selected="0">
            <x v="9"/>
          </reference>
          <reference field="2" count="1" selected="0">
            <x v="141"/>
          </reference>
          <reference field="3" count="1" selected="0">
            <x v="0"/>
          </reference>
          <reference field="12" count="1" selected="0">
            <x v="10"/>
          </reference>
          <reference field="13" count="1">
            <x v="0"/>
          </reference>
        </references>
      </pivotArea>
    </format>
    <format dxfId="1880">
      <pivotArea dataOnly="0" labelOnly="1" outline="0" fieldPosition="0">
        <references count="6">
          <reference field="0" count="1" selected="0">
            <x v="49"/>
          </reference>
          <reference field="1" count="1" selected="0">
            <x v="11"/>
          </reference>
          <reference field="2" count="1" selected="0">
            <x v="127"/>
          </reference>
          <reference field="3" count="1" selected="0">
            <x v="0"/>
          </reference>
          <reference field="12" count="1" selected="0">
            <x v="10"/>
          </reference>
          <reference field="13" count="1">
            <x v="0"/>
          </reference>
        </references>
      </pivotArea>
    </format>
    <format dxfId="1879">
      <pivotArea dataOnly="0" labelOnly="1" outline="0" fieldPosition="0">
        <references count="6">
          <reference field="0" count="1" selected="0">
            <x v="55"/>
          </reference>
          <reference field="1" count="1" selected="0">
            <x v="35"/>
          </reference>
          <reference field="2" count="1" selected="0">
            <x v="65"/>
          </reference>
          <reference field="3" count="1" selected="0">
            <x v="0"/>
          </reference>
          <reference field="12" count="1" selected="0">
            <x v="3"/>
          </reference>
          <reference field="13" count="1">
            <x v="0"/>
          </reference>
        </references>
      </pivotArea>
    </format>
    <format dxfId="1878">
      <pivotArea dataOnly="0" labelOnly="1" outline="0" fieldPosition="0">
        <references count="6">
          <reference field="0" count="1" selected="0">
            <x v="56"/>
          </reference>
          <reference field="1" count="1" selected="0">
            <x v="36"/>
          </reference>
          <reference field="2" count="1" selected="0">
            <x v="183"/>
          </reference>
          <reference field="3" count="1" selected="0">
            <x v="0"/>
          </reference>
          <reference field="12" count="1" selected="0">
            <x v="3"/>
          </reference>
          <reference field="13" count="1">
            <x v="0"/>
          </reference>
        </references>
      </pivotArea>
    </format>
    <format dxfId="1877">
      <pivotArea dataOnly="0" labelOnly="1" outline="0" fieldPosition="0">
        <references count="6">
          <reference field="0" count="1" selected="0">
            <x v="62"/>
          </reference>
          <reference field="1" count="1" selected="0">
            <x v="42"/>
          </reference>
          <reference field="2" count="1" selected="0">
            <x v="15"/>
          </reference>
          <reference field="3" count="1" selected="0">
            <x v="0"/>
          </reference>
          <reference field="12" count="1" selected="0">
            <x v="3"/>
          </reference>
          <reference field="13" count="1">
            <x v="0"/>
          </reference>
        </references>
      </pivotArea>
    </format>
    <format dxfId="1876">
      <pivotArea dataOnly="0" labelOnly="1" outline="0" fieldPosition="0">
        <references count="6">
          <reference field="0" count="1" selected="0">
            <x v="63"/>
          </reference>
          <reference field="1" count="1" selected="0">
            <x v="43"/>
          </reference>
          <reference field="2" count="1" selected="0">
            <x v="152"/>
          </reference>
          <reference field="3" count="1" selected="0">
            <x v="0"/>
          </reference>
          <reference field="12" count="1" selected="0">
            <x v="3"/>
          </reference>
          <reference field="13" count="1">
            <x v="0"/>
          </reference>
        </references>
      </pivotArea>
    </format>
    <format dxfId="1875">
      <pivotArea dataOnly="0" labelOnly="1" outline="0" fieldPosition="0">
        <references count="6">
          <reference field="0" count="1" selected="0">
            <x v="64"/>
          </reference>
          <reference field="1" count="1" selected="0">
            <x v="44"/>
          </reference>
          <reference field="2" count="1" selected="0">
            <x v="146"/>
          </reference>
          <reference field="3" count="1" selected="0">
            <x v="0"/>
          </reference>
          <reference field="12" count="1" selected="0">
            <x v="3"/>
          </reference>
          <reference field="13" count="1">
            <x v="0"/>
          </reference>
        </references>
      </pivotArea>
    </format>
    <format dxfId="1874">
      <pivotArea dataOnly="0" labelOnly="1" outline="0" fieldPosition="0">
        <references count="6">
          <reference field="0" count="1" selected="0">
            <x v="65"/>
          </reference>
          <reference field="1" count="1" selected="0">
            <x v="45"/>
          </reference>
          <reference field="2" count="1" selected="0">
            <x v="204"/>
          </reference>
          <reference field="3" count="1" selected="0">
            <x v="0"/>
          </reference>
          <reference field="12" count="1" selected="0">
            <x v="3"/>
          </reference>
          <reference field="13" count="1">
            <x v="0"/>
          </reference>
        </references>
      </pivotArea>
    </format>
    <format dxfId="1873">
      <pivotArea dataOnly="0" labelOnly="1" outline="0" fieldPosition="0">
        <references count="6">
          <reference field="0" count="1" selected="0">
            <x v="66"/>
          </reference>
          <reference field="1" count="1" selected="0">
            <x v="46"/>
          </reference>
          <reference field="2" count="1" selected="0">
            <x v="92"/>
          </reference>
          <reference field="3" count="1" selected="0">
            <x v="0"/>
          </reference>
          <reference field="12" count="1" selected="0">
            <x v="3"/>
          </reference>
          <reference field="13" count="1">
            <x v="0"/>
          </reference>
        </references>
      </pivotArea>
    </format>
    <format dxfId="1872">
      <pivotArea dataOnly="0" labelOnly="1" outline="0" fieldPosition="0">
        <references count="6">
          <reference field="0" count="1" selected="0">
            <x v="67"/>
          </reference>
          <reference field="1" count="1" selected="0">
            <x v="47"/>
          </reference>
          <reference field="2" count="1" selected="0">
            <x v="181"/>
          </reference>
          <reference field="3" count="1" selected="0">
            <x v="0"/>
          </reference>
          <reference field="12" count="1" selected="0">
            <x v="3"/>
          </reference>
          <reference field="13" count="1">
            <x v="0"/>
          </reference>
        </references>
      </pivotArea>
    </format>
    <format dxfId="1871">
      <pivotArea dataOnly="0" labelOnly="1" outline="0" fieldPosition="0">
        <references count="6">
          <reference field="0" count="1" selected="0">
            <x v="68"/>
          </reference>
          <reference field="1" count="1" selected="0">
            <x v="48"/>
          </reference>
          <reference field="2" count="1" selected="0">
            <x v="231"/>
          </reference>
          <reference field="3" count="1" selected="0">
            <x v="0"/>
          </reference>
          <reference field="12" count="1" selected="0">
            <x v="3"/>
          </reference>
          <reference field="13" count="1">
            <x v="0"/>
          </reference>
        </references>
      </pivotArea>
    </format>
    <format dxfId="1870">
      <pivotArea dataOnly="0" labelOnly="1" outline="0" fieldPosition="0">
        <references count="6">
          <reference field="0" count="1" selected="0">
            <x v="79"/>
          </reference>
          <reference field="1" count="1" selected="0">
            <x v="59"/>
          </reference>
          <reference field="2" count="1" selected="0">
            <x v="21"/>
          </reference>
          <reference field="3" count="1" selected="0">
            <x v="0"/>
          </reference>
          <reference field="12" count="1" selected="0">
            <x v="3"/>
          </reference>
          <reference field="13" count="1">
            <x v="0"/>
          </reference>
        </references>
      </pivotArea>
    </format>
    <format dxfId="1869">
      <pivotArea dataOnly="0" labelOnly="1" outline="0" fieldPosition="0">
        <references count="6">
          <reference field="0" count="1" selected="0">
            <x v="81"/>
          </reference>
          <reference field="1" count="1" selected="0">
            <x v="68"/>
          </reference>
          <reference field="2" count="1" selected="0">
            <x v="112"/>
          </reference>
          <reference field="3" count="1" selected="0">
            <x v="0"/>
          </reference>
          <reference field="12" count="1" selected="0">
            <x v="0"/>
          </reference>
          <reference field="13" count="1">
            <x v="0"/>
          </reference>
        </references>
      </pivotArea>
    </format>
    <format dxfId="1868">
      <pivotArea dataOnly="0" labelOnly="1" outline="0" fieldPosition="0">
        <references count="6">
          <reference field="0" count="1" selected="0">
            <x v="82"/>
          </reference>
          <reference field="1" count="1" selected="0">
            <x v="69"/>
          </reference>
          <reference field="2" count="1" selected="0">
            <x v="226"/>
          </reference>
          <reference field="3" count="1" selected="0">
            <x v="0"/>
          </reference>
          <reference field="12" count="1" selected="0">
            <x v="5"/>
          </reference>
          <reference field="13" count="1">
            <x v="0"/>
          </reference>
        </references>
      </pivotArea>
    </format>
    <format dxfId="1867">
      <pivotArea dataOnly="0" labelOnly="1" outline="0" fieldPosition="0">
        <references count="6">
          <reference field="0" count="1" selected="0">
            <x v="83"/>
          </reference>
          <reference field="1" count="1" selected="0">
            <x v="70"/>
          </reference>
          <reference field="2" count="1" selected="0">
            <x v="193"/>
          </reference>
          <reference field="3" count="1" selected="0">
            <x v="0"/>
          </reference>
          <reference field="12" count="1" selected="0">
            <x v="5"/>
          </reference>
          <reference field="13" count="1">
            <x v="0"/>
          </reference>
        </references>
      </pivotArea>
    </format>
    <format dxfId="1866">
      <pivotArea dataOnly="0" labelOnly="1" outline="0" fieldPosition="0">
        <references count="6">
          <reference field="0" count="1" selected="0">
            <x v="84"/>
          </reference>
          <reference field="1" count="1" selected="0">
            <x v="71"/>
          </reference>
          <reference field="2" count="1" selected="0">
            <x v="192"/>
          </reference>
          <reference field="3" count="1" selected="0">
            <x v="0"/>
          </reference>
          <reference field="12" count="1" selected="0">
            <x v="7"/>
          </reference>
          <reference field="13" count="1">
            <x v="0"/>
          </reference>
        </references>
      </pivotArea>
    </format>
    <format dxfId="1865">
      <pivotArea dataOnly="0" labelOnly="1" outline="0" fieldPosition="0">
        <references count="6">
          <reference field="0" count="1" selected="0">
            <x v="85"/>
          </reference>
          <reference field="1" count="1" selected="0">
            <x v="72"/>
          </reference>
          <reference field="2" count="1" selected="0">
            <x v="87"/>
          </reference>
          <reference field="3" count="1" selected="0">
            <x v="0"/>
          </reference>
          <reference field="12" count="1" selected="0">
            <x v="7"/>
          </reference>
          <reference field="13" count="1">
            <x v="0"/>
          </reference>
        </references>
      </pivotArea>
    </format>
    <format dxfId="1864">
      <pivotArea dataOnly="0" labelOnly="1" outline="0" fieldPosition="0">
        <references count="6">
          <reference field="0" count="1" selected="0">
            <x v="86"/>
          </reference>
          <reference field="1" count="1" selected="0">
            <x v="73"/>
          </reference>
          <reference field="2" count="1" selected="0">
            <x v="154"/>
          </reference>
          <reference field="3" count="1" selected="0">
            <x v="0"/>
          </reference>
          <reference field="12" count="1" selected="0">
            <x v="7"/>
          </reference>
          <reference field="13" count="1">
            <x v="0"/>
          </reference>
        </references>
      </pivotArea>
    </format>
    <format dxfId="1863">
      <pivotArea dataOnly="0" labelOnly="1" outline="0" fieldPosition="0">
        <references count="6">
          <reference field="0" count="1" selected="0">
            <x v="87"/>
          </reference>
          <reference field="1" count="1" selected="0">
            <x v="74"/>
          </reference>
          <reference field="2" count="1" selected="0">
            <x v="208"/>
          </reference>
          <reference field="3" count="1" selected="0">
            <x v="0"/>
          </reference>
          <reference field="12" count="1" selected="0">
            <x v="7"/>
          </reference>
          <reference field="13" count="1">
            <x v="0"/>
          </reference>
        </references>
      </pivotArea>
    </format>
    <format dxfId="1862">
      <pivotArea dataOnly="0" labelOnly="1" outline="0" fieldPosition="0">
        <references count="6">
          <reference field="0" count="1" selected="0">
            <x v="88"/>
          </reference>
          <reference field="1" count="1" selected="0">
            <x v="75"/>
          </reference>
          <reference field="2" count="1" selected="0">
            <x v="38"/>
          </reference>
          <reference field="3" count="1" selected="0">
            <x v="0"/>
          </reference>
          <reference field="12" count="1" selected="0">
            <x v="2"/>
          </reference>
          <reference field="13" count="1">
            <x v="0"/>
          </reference>
        </references>
      </pivotArea>
    </format>
    <format dxfId="1861">
      <pivotArea dataOnly="0" labelOnly="1" outline="0" fieldPosition="0">
        <references count="6">
          <reference field="0" count="1" selected="0">
            <x v="89"/>
          </reference>
          <reference field="1" count="1" selected="0">
            <x v="76"/>
          </reference>
          <reference field="2" count="1" selected="0">
            <x v="232"/>
          </reference>
          <reference field="3" count="1" selected="0">
            <x v="0"/>
          </reference>
          <reference field="12" count="1" selected="0">
            <x v="7"/>
          </reference>
          <reference field="13" count="1">
            <x v="0"/>
          </reference>
        </references>
      </pivotArea>
    </format>
    <format dxfId="1860">
      <pivotArea dataOnly="0" labelOnly="1" outline="0" fieldPosition="0">
        <references count="6">
          <reference field="0" count="1" selected="0">
            <x v="90"/>
          </reference>
          <reference field="1" count="1" selected="0">
            <x v="77"/>
          </reference>
          <reference field="2" count="1" selected="0">
            <x v="43"/>
          </reference>
          <reference field="3" count="1" selected="0">
            <x v="0"/>
          </reference>
          <reference field="12" count="1" selected="0">
            <x v="7"/>
          </reference>
          <reference field="13" count="1">
            <x v="0"/>
          </reference>
        </references>
      </pivotArea>
    </format>
    <format dxfId="1859">
      <pivotArea dataOnly="0" labelOnly="1" outline="0" fieldPosition="0">
        <references count="6">
          <reference field="0" count="1" selected="0">
            <x v="91"/>
          </reference>
          <reference field="1" count="1" selected="0">
            <x v="78"/>
          </reference>
          <reference field="2" count="1" selected="0">
            <x v="12"/>
          </reference>
          <reference field="3" count="1" selected="0">
            <x v="0"/>
          </reference>
          <reference field="12" count="1" selected="0">
            <x v="7"/>
          </reference>
          <reference field="13" count="1">
            <x v="0"/>
          </reference>
        </references>
      </pivotArea>
    </format>
    <format dxfId="1858">
      <pivotArea dataOnly="0" labelOnly="1" outline="0" fieldPosition="0">
        <references count="6">
          <reference field="0" count="1" selected="0">
            <x v="93"/>
          </reference>
          <reference field="1" count="1" selected="0">
            <x v="80"/>
          </reference>
          <reference field="2" count="1" selected="0">
            <x v="180"/>
          </reference>
          <reference field="3" count="1" selected="0">
            <x v="0"/>
          </reference>
          <reference field="12" count="1" selected="0">
            <x v="7"/>
          </reference>
          <reference field="13" count="1">
            <x v="0"/>
          </reference>
        </references>
      </pivotArea>
    </format>
    <format dxfId="1857">
      <pivotArea dataOnly="0" labelOnly="1" outline="0" fieldPosition="0">
        <references count="6">
          <reference field="0" count="1" selected="0">
            <x v="94"/>
          </reference>
          <reference field="1" count="1" selected="0">
            <x v="81"/>
          </reference>
          <reference field="2" count="1" selected="0">
            <x v="60"/>
          </reference>
          <reference field="3" count="1" selected="0">
            <x v="0"/>
          </reference>
          <reference field="12" count="1" selected="0">
            <x v="7"/>
          </reference>
          <reference field="13" count="1">
            <x v="0"/>
          </reference>
        </references>
      </pivotArea>
    </format>
    <format dxfId="1856">
      <pivotArea dataOnly="0" labelOnly="1" outline="0" fieldPosition="0">
        <references count="6">
          <reference field="0" count="1" selected="0">
            <x v="95"/>
          </reference>
          <reference field="1" count="1" selected="0">
            <x v="82"/>
          </reference>
          <reference field="2" count="1" selected="0">
            <x v="5"/>
          </reference>
          <reference field="3" count="1" selected="0">
            <x v="0"/>
          </reference>
          <reference field="12" count="1" selected="0">
            <x v="1"/>
          </reference>
          <reference field="13" count="1">
            <x v="0"/>
          </reference>
        </references>
      </pivotArea>
    </format>
    <format dxfId="1855">
      <pivotArea dataOnly="0" labelOnly="1" outline="0" fieldPosition="0">
        <references count="6">
          <reference field="0" count="1" selected="0">
            <x v="96"/>
          </reference>
          <reference field="1" count="1" selected="0">
            <x v="83"/>
          </reference>
          <reference field="2" count="1" selected="0">
            <x v="173"/>
          </reference>
          <reference field="3" count="1" selected="0">
            <x v="0"/>
          </reference>
          <reference field="12" count="1" selected="0">
            <x v="3"/>
          </reference>
          <reference field="13" count="1">
            <x v="0"/>
          </reference>
        </references>
      </pivotArea>
    </format>
    <format dxfId="1854">
      <pivotArea dataOnly="0" labelOnly="1" outline="0" fieldPosition="0">
        <references count="6">
          <reference field="0" count="1" selected="0">
            <x v="97"/>
          </reference>
          <reference field="1" count="1" selected="0">
            <x v="84"/>
          </reference>
          <reference field="2" count="1" selected="0">
            <x v="6"/>
          </reference>
          <reference field="3" count="1" selected="0">
            <x v="0"/>
          </reference>
          <reference field="12" count="1" selected="0">
            <x v="3"/>
          </reference>
          <reference field="13" count="1">
            <x v="0"/>
          </reference>
        </references>
      </pivotArea>
    </format>
    <format dxfId="1853">
      <pivotArea dataOnly="0" labelOnly="1" outline="0" fieldPosition="0">
        <references count="6">
          <reference field="0" count="1" selected="0">
            <x v="98"/>
          </reference>
          <reference field="1" count="1" selected="0">
            <x v="85"/>
          </reference>
          <reference field="2" count="1" selected="0">
            <x v="214"/>
          </reference>
          <reference field="3" count="1" selected="0">
            <x v="0"/>
          </reference>
          <reference field="12" count="1" selected="0">
            <x v="3"/>
          </reference>
          <reference field="13" count="1">
            <x v="0"/>
          </reference>
        </references>
      </pivotArea>
    </format>
    <format dxfId="1852">
      <pivotArea dataOnly="0" labelOnly="1" outline="0" fieldPosition="0">
        <references count="6">
          <reference field="0" count="1" selected="0">
            <x v="99"/>
          </reference>
          <reference field="1" count="1" selected="0">
            <x v="86"/>
          </reference>
          <reference field="2" count="1" selected="0">
            <x v="66"/>
          </reference>
          <reference field="3" count="1" selected="0">
            <x v="0"/>
          </reference>
          <reference field="12" count="1" selected="0">
            <x v="3"/>
          </reference>
          <reference field="13" count="1">
            <x v="0"/>
          </reference>
        </references>
      </pivotArea>
    </format>
    <format dxfId="1851">
      <pivotArea dataOnly="0" labelOnly="1" outline="0" fieldPosition="0">
        <references count="6">
          <reference field="0" count="1" selected="0">
            <x v="100"/>
          </reference>
          <reference field="1" count="1" selected="0">
            <x v="87"/>
          </reference>
          <reference field="2" count="1" selected="0">
            <x v="75"/>
          </reference>
          <reference field="3" count="1" selected="0">
            <x v="0"/>
          </reference>
          <reference field="12" count="1" selected="0">
            <x v="3"/>
          </reference>
          <reference field="13" count="1">
            <x v="0"/>
          </reference>
        </references>
      </pivotArea>
    </format>
    <format dxfId="1850">
      <pivotArea dataOnly="0" labelOnly="1" outline="0" fieldPosition="0">
        <references count="6">
          <reference field="0" count="1" selected="0">
            <x v="101"/>
          </reference>
          <reference field="1" count="1" selected="0">
            <x v="88"/>
          </reference>
          <reference field="2" count="1" selected="0">
            <x v="29"/>
          </reference>
          <reference field="3" count="1" selected="0">
            <x v="0"/>
          </reference>
          <reference field="12" count="1" selected="0">
            <x v="3"/>
          </reference>
          <reference field="13" count="1">
            <x v="0"/>
          </reference>
        </references>
      </pivotArea>
    </format>
    <format dxfId="1849">
      <pivotArea dataOnly="0" labelOnly="1" outline="0" fieldPosition="0">
        <references count="6">
          <reference field="0" count="1" selected="0">
            <x v="102"/>
          </reference>
          <reference field="1" count="1" selected="0">
            <x v="89"/>
          </reference>
          <reference field="2" count="1" selected="0">
            <x v="14"/>
          </reference>
          <reference field="3" count="1" selected="0">
            <x v="0"/>
          </reference>
          <reference field="12" count="1" selected="0">
            <x v="3"/>
          </reference>
          <reference field="13" count="1">
            <x v="0"/>
          </reference>
        </references>
      </pivotArea>
    </format>
    <format dxfId="1848">
      <pivotArea dataOnly="0" labelOnly="1" outline="0" fieldPosition="0">
        <references count="6">
          <reference field="0" count="1" selected="0">
            <x v="103"/>
          </reference>
          <reference field="1" count="1" selected="0">
            <x v="90"/>
          </reference>
          <reference field="2" count="1" selected="0">
            <x v="73"/>
          </reference>
          <reference field="3" count="1" selected="0">
            <x v="0"/>
          </reference>
          <reference field="12" count="1" selected="0">
            <x v="3"/>
          </reference>
          <reference field="13" count="1">
            <x v="0"/>
          </reference>
        </references>
      </pivotArea>
    </format>
    <format dxfId="1847">
      <pivotArea dataOnly="0" labelOnly="1" outline="0" fieldPosition="0">
        <references count="6">
          <reference field="0" count="1" selected="0">
            <x v="104"/>
          </reference>
          <reference field="1" count="1" selected="0">
            <x v="91"/>
          </reference>
          <reference field="2" count="1" selected="0">
            <x v="68"/>
          </reference>
          <reference field="3" count="1" selected="0">
            <x v="0"/>
          </reference>
          <reference field="12" count="1" selected="0">
            <x v="3"/>
          </reference>
          <reference field="13" count="1">
            <x v="0"/>
          </reference>
        </references>
      </pivotArea>
    </format>
    <format dxfId="1846">
      <pivotArea dataOnly="0" labelOnly="1" outline="0" fieldPosition="0">
        <references count="6">
          <reference field="0" count="1" selected="0">
            <x v="105"/>
          </reference>
          <reference field="1" count="1" selected="0">
            <x v="92"/>
          </reference>
          <reference field="2" count="1" selected="0">
            <x v="134"/>
          </reference>
          <reference field="3" count="1" selected="0">
            <x v="0"/>
          </reference>
          <reference field="12" count="1" selected="0">
            <x v="7"/>
          </reference>
          <reference field="13" count="1">
            <x v="0"/>
          </reference>
        </references>
      </pivotArea>
    </format>
    <format dxfId="1845">
      <pivotArea dataOnly="0" labelOnly="1" outline="0" fieldPosition="0">
        <references count="6">
          <reference field="0" count="1" selected="0">
            <x v="106"/>
          </reference>
          <reference field="1" count="1" selected="0">
            <x v="93"/>
          </reference>
          <reference field="2" count="1" selected="0">
            <x v="76"/>
          </reference>
          <reference field="3" count="1" selected="0">
            <x v="0"/>
          </reference>
          <reference field="12" count="1" selected="0">
            <x v="7"/>
          </reference>
          <reference field="13" count="1">
            <x v="0"/>
          </reference>
        </references>
      </pivotArea>
    </format>
    <format dxfId="1844">
      <pivotArea dataOnly="0" labelOnly="1" outline="0" fieldPosition="0">
        <references count="6">
          <reference field="0" count="1" selected="0">
            <x v="107"/>
          </reference>
          <reference field="1" count="1" selected="0">
            <x v="94"/>
          </reference>
          <reference field="2" count="1" selected="0">
            <x v="190"/>
          </reference>
          <reference field="3" count="1" selected="0">
            <x v="0"/>
          </reference>
          <reference field="12" count="1" selected="0">
            <x v="7"/>
          </reference>
          <reference field="13" count="1">
            <x v="0"/>
          </reference>
        </references>
      </pivotArea>
    </format>
    <format dxfId="1843">
      <pivotArea dataOnly="0" labelOnly="1" outline="0" fieldPosition="0">
        <references count="6">
          <reference field="0" count="1" selected="0">
            <x v="108"/>
          </reference>
          <reference field="1" count="1" selected="0">
            <x v="95"/>
          </reference>
          <reference field="2" count="1" selected="0">
            <x v="236"/>
          </reference>
          <reference field="3" count="1" selected="0">
            <x v="0"/>
          </reference>
          <reference field="12" count="1" selected="0">
            <x v="7"/>
          </reference>
          <reference field="13" count="1">
            <x v="0"/>
          </reference>
        </references>
      </pivotArea>
    </format>
    <format dxfId="1842">
      <pivotArea dataOnly="0" labelOnly="1" outline="0" fieldPosition="0">
        <references count="6">
          <reference field="0" count="1" selected="0">
            <x v="110"/>
          </reference>
          <reference field="1" count="1" selected="0">
            <x v="97"/>
          </reference>
          <reference field="2" count="1" selected="0">
            <x v="123"/>
          </reference>
          <reference field="3" count="1" selected="0">
            <x v="0"/>
          </reference>
          <reference field="12" count="1" selected="0">
            <x v="7"/>
          </reference>
          <reference field="13" count="1">
            <x v="0"/>
          </reference>
        </references>
      </pivotArea>
    </format>
    <format dxfId="1841">
      <pivotArea dataOnly="0" labelOnly="1" outline="0" fieldPosition="0">
        <references count="6">
          <reference field="0" count="1" selected="0">
            <x v="111"/>
          </reference>
          <reference field="1" count="1" selected="0">
            <x v="98"/>
          </reference>
          <reference field="2" count="1" selected="0">
            <x v="83"/>
          </reference>
          <reference field="3" count="1" selected="0">
            <x v="0"/>
          </reference>
          <reference field="12" count="1" selected="0">
            <x v="7"/>
          </reference>
          <reference field="13" count="1">
            <x v="0"/>
          </reference>
        </references>
      </pivotArea>
    </format>
    <format dxfId="1840">
      <pivotArea dataOnly="0" labelOnly="1" outline="0" fieldPosition="0">
        <references count="6">
          <reference field="0" count="1" selected="0">
            <x v="113"/>
          </reference>
          <reference field="1" count="1" selected="0">
            <x v="100"/>
          </reference>
          <reference field="2" count="1" selected="0">
            <x v="124"/>
          </reference>
          <reference field="3" count="1" selected="0">
            <x v="0"/>
          </reference>
          <reference field="12" count="1" selected="0">
            <x v="7"/>
          </reference>
          <reference field="13" count="1">
            <x v="0"/>
          </reference>
        </references>
      </pivotArea>
    </format>
    <format dxfId="1839">
      <pivotArea dataOnly="0" labelOnly="1" outline="0" fieldPosition="0">
        <references count="6">
          <reference field="0" count="1" selected="0">
            <x v="121"/>
          </reference>
          <reference field="1" count="1" selected="0">
            <x v="108"/>
          </reference>
          <reference field="2" count="1" selected="0">
            <x v="207"/>
          </reference>
          <reference field="3" count="1" selected="0">
            <x v="0"/>
          </reference>
          <reference field="12" count="1" selected="0">
            <x v="5"/>
          </reference>
          <reference field="13" count="1">
            <x v="0"/>
          </reference>
        </references>
      </pivotArea>
    </format>
    <format dxfId="1838">
      <pivotArea dataOnly="0" labelOnly="1" outline="0" fieldPosition="0">
        <references count="6">
          <reference field="0" count="1" selected="0">
            <x v="122"/>
          </reference>
          <reference field="1" count="1" selected="0">
            <x v="109"/>
          </reference>
          <reference field="2" count="1" selected="0">
            <x v="35"/>
          </reference>
          <reference field="3" count="1" selected="0">
            <x v="0"/>
          </reference>
          <reference field="12" count="1" selected="0">
            <x v="3"/>
          </reference>
          <reference field="13" count="1">
            <x v="0"/>
          </reference>
        </references>
      </pivotArea>
    </format>
    <format dxfId="1837">
      <pivotArea dataOnly="0" labelOnly="1" outline="0" fieldPosition="0">
        <references count="6">
          <reference field="0" count="1" selected="0">
            <x v="123"/>
          </reference>
          <reference field="1" count="1" selected="0">
            <x v="110"/>
          </reference>
          <reference field="2" count="1" selected="0">
            <x v="176"/>
          </reference>
          <reference field="3" count="1" selected="0">
            <x v="0"/>
          </reference>
          <reference field="12" count="1" selected="0">
            <x v="5"/>
          </reference>
          <reference field="13" count="1">
            <x v="0"/>
          </reference>
        </references>
      </pivotArea>
    </format>
    <format dxfId="1836">
      <pivotArea dataOnly="0" labelOnly="1" outline="0" fieldPosition="0">
        <references count="6">
          <reference field="0" count="1" selected="0">
            <x v="124"/>
          </reference>
          <reference field="1" count="1" selected="0">
            <x v="111"/>
          </reference>
          <reference field="2" count="1" selected="0">
            <x v="218"/>
          </reference>
          <reference field="3" count="1" selected="0">
            <x v="0"/>
          </reference>
          <reference field="12" count="1" selected="0">
            <x v="0"/>
          </reference>
          <reference field="13" count="1">
            <x v="0"/>
          </reference>
        </references>
      </pivotArea>
    </format>
    <format dxfId="1835">
      <pivotArea dataOnly="0" labelOnly="1" outline="0" fieldPosition="0">
        <references count="6">
          <reference field="0" count="1" selected="0">
            <x v="125"/>
          </reference>
          <reference field="1" count="1" selected="0">
            <x v="112"/>
          </reference>
          <reference field="2" count="1" selected="0">
            <x v="197"/>
          </reference>
          <reference field="3" count="1" selected="0">
            <x v="0"/>
          </reference>
          <reference field="12" count="1" selected="0">
            <x v="3"/>
          </reference>
          <reference field="13" count="1">
            <x v="0"/>
          </reference>
        </references>
      </pivotArea>
    </format>
    <format dxfId="1834">
      <pivotArea dataOnly="0" labelOnly="1" outline="0" fieldPosition="0">
        <references count="6">
          <reference field="0" count="1" selected="0">
            <x v="126"/>
          </reference>
          <reference field="1" count="1" selected="0">
            <x v="113"/>
          </reference>
          <reference field="2" count="1" selected="0">
            <x v="191"/>
          </reference>
          <reference field="3" count="1" selected="0">
            <x v="0"/>
          </reference>
          <reference field="12" count="1" selected="0">
            <x v="0"/>
          </reference>
          <reference field="13" count="1">
            <x v="0"/>
          </reference>
        </references>
      </pivotArea>
    </format>
    <format dxfId="1833">
      <pivotArea dataOnly="0" labelOnly="1" outline="0" fieldPosition="0">
        <references count="6">
          <reference field="0" count="1" selected="0">
            <x v="127"/>
          </reference>
          <reference field="1" count="1" selected="0">
            <x v="114"/>
          </reference>
          <reference field="2" count="1" selected="0">
            <x v="174"/>
          </reference>
          <reference field="3" count="1" selected="0">
            <x v="0"/>
          </reference>
          <reference field="12" count="1" selected="0">
            <x v="0"/>
          </reference>
          <reference field="13" count="1">
            <x v="0"/>
          </reference>
        </references>
      </pivotArea>
    </format>
    <format dxfId="1832">
      <pivotArea dataOnly="0" labelOnly="1" outline="0" fieldPosition="0">
        <references count="6">
          <reference field="0" count="1" selected="0">
            <x v="128"/>
          </reference>
          <reference field="1" count="1" selected="0">
            <x v="115"/>
          </reference>
          <reference field="2" count="1" selected="0">
            <x v="59"/>
          </reference>
          <reference field="3" count="1" selected="0">
            <x v="0"/>
          </reference>
          <reference field="12" count="1" selected="0">
            <x v="0"/>
          </reference>
          <reference field="13" count="1">
            <x v="0"/>
          </reference>
        </references>
      </pivotArea>
    </format>
    <format dxfId="1831">
      <pivotArea dataOnly="0" labelOnly="1" outline="0" fieldPosition="0">
        <references count="6">
          <reference field="0" count="1" selected="0">
            <x v="129"/>
          </reference>
          <reference field="1" count="1" selected="0">
            <x v="116"/>
          </reference>
          <reference field="2" count="1" selected="0">
            <x v="212"/>
          </reference>
          <reference field="3" count="1" selected="0">
            <x v="0"/>
          </reference>
          <reference field="12" count="1" selected="0">
            <x v="3"/>
          </reference>
          <reference field="13" count="1">
            <x v="0"/>
          </reference>
        </references>
      </pivotArea>
    </format>
    <format dxfId="1830">
      <pivotArea dataOnly="0" labelOnly="1" outline="0" fieldPosition="0">
        <references count="6">
          <reference field="0" count="1" selected="0">
            <x v="130"/>
          </reference>
          <reference field="1" count="1" selected="0">
            <x v="117"/>
          </reference>
          <reference field="2" count="1" selected="0">
            <x v="118"/>
          </reference>
          <reference field="3" count="1" selected="0">
            <x v="0"/>
          </reference>
          <reference field="12" count="1" selected="0">
            <x v="7"/>
          </reference>
          <reference field="13" count="1">
            <x v="0"/>
          </reference>
        </references>
      </pivotArea>
    </format>
    <format dxfId="1829">
      <pivotArea dataOnly="0" labelOnly="1" outline="0" fieldPosition="0">
        <references count="6">
          <reference field="0" count="1" selected="0">
            <x v="134"/>
          </reference>
          <reference field="1" count="1" selected="0">
            <x v="127"/>
          </reference>
          <reference field="2" count="1" selected="0">
            <x v="2"/>
          </reference>
          <reference field="3" count="1" selected="0">
            <x v="0"/>
          </reference>
          <reference field="12" count="1" selected="0">
            <x v="4"/>
          </reference>
          <reference field="13" count="1">
            <x v="0"/>
          </reference>
        </references>
      </pivotArea>
    </format>
    <format dxfId="1828">
      <pivotArea dataOnly="0" labelOnly="1" outline="0" fieldPosition="0">
        <references count="6">
          <reference field="0" count="1" selected="0">
            <x v="135"/>
          </reference>
          <reference field="1" count="1" selected="0">
            <x v="128"/>
          </reference>
          <reference field="2" count="1" selected="0">
            <x v="151"/>
          </reference>
          <reference field="3" count="1" selected="0">
            <x v="0"/>
          </reference>
          <reference field="12" count="1" selected="0">
            <x v="3"/>
          </reference>
          <reference field="13" count="1">
            <x v="0"/>
          </reference>
        </references>
      </pivotArea>
    </format>
    <format dxfId="1827">
      <pivotArea dataOnly="0" labelOnly="1" outline="0" fieldPosition="0">
        <references count="6">
          <reference field="0" count="1" selected="0">
            <x v="136"/>
          </reference>
          <reference field="1" count="1" selected="0">
            <x v="129"/>
          </reference>
          <reference field="2" count="1" selected="0">
            <x v="219"/>
          </reference>
          <reference field="3" count="1" selected="0">
            <x v="0"/>
          </reference>
          <reference field="12" count="1" selected="0">
            <x v="3"/>
          </reference>
          <reference field="13" count="1">
            <x v="0"/>
          </reference>
        </references>
      </pivotArea>
    </format>
    <format dxfId="1826">
      <pivotArea dataOnly="0" labelOnly="1" outline="0" fieldPosition="0">
        <references count="6">
          <reference field="0" count="1" selected="0">
            <x v="144"/>
          </reference>
          <reference field="1" count="1" selected="0">
            <x v="137"/>
          </reference>
          <reference field="2" count="1" selected="0">
            <x v="79"/>
          </reference>
          <reference field="3" count="1" selected="0">
            <x v="0"/>
          </reference>
          <reference field="12" count="1" selected="0">
            <x v="0"/>
          </reference>
          <reference field="13" count="1">
            <x v="0"/>
          </reference>
        </references>
      </pivotArea>
    </format>
    <format dxfId="1825">
      <pivotArea dataOnly="0" labelOnly="1" outline="0" fieldPosition="0">
        <references count="6">
          <reference field="0" count="1" selected="0">
            <x v="146"/>
          </reference>
          <reference field="1" count="1" selected="0">
            <x v="139"/>
          </reference>
          <reference field="2" count="1" selected="0">
            <x v="30"/>
          </reference>
          <reference field="3" count="1" selected="0">
            <x v="0"/>
          </reference>
          <reference field="12" count="1" selected="0">
            <x v="26"/>
          </reference>
          <reference field="13" count="1">
            <x v="0"/>
          </reference>
        </references>
      </pivotArea>
    </format>
    <format dxfId="1824">
      <pivotArea dataOnly="0" labelOnly="1" outline="0" fieldPosition="0">
        <references count="6">
          <reference field="0" count="1" selected="0">
            <x v="147"/>
          </reference>
          <reference field="1" count="1" selected="0">
            <x v="140"/>
          </reference>
          <reference field="2" count="1" selected="0">
            <x v="211"/>
          </reference>
          <reference field="3" count="1" selected="0">
            <x v="0"/>
          </reference>
          <reference field="12" count="1" selected="0">
            <x v="26"/>
          </reference>
          <reference field="13" count="1">
            <x v="0"/>
          </reference>
        </references>
      </pivotArea>
    </format>
    <format dxfId="1823">
      <pivotArea dataOnly="0" labelOnly="1" outline="0" fieldPosition="0">
        <references count="6">
          <reference field="0" count="1" selected="0">
            <x v="148"/>
          </reference>
          <reference field="1" count="1" selected="0">
            <x v="141"/>
          </reference>
          <reference field="2" count="1" selected="0">
            <x v="95"/>
          </reference>
          <reference field="3" count="1" selected="0">
            <x v="0"/>
          </reference>
          <reference field="12" count="1" selected="0">
            <x v="26"/>
          </reference>
          <reference field="13" count="1">
            <x v="0"/>
          </reference>
        </references>
      </pivotArea>
    </format>
    <format dxfId="1822">
      <pivotArea dataOnly="0" labelOnly="1" outline="0" fieldPosition="0">
        <references count="6">
          <reference field="0" count="1" selected="0">
            <x v="149"/>
          </reference>
          <reference field="1" count="1" selected="0">
            <x v="142"/>
          </reference>
          <reference field="2" count="1" selected="0">
            <x v="165"/>
          </reference>
          <reference field="3" count="1" selected="0">
            <x v="0"/>
          </reference>
          <reference field="12" count="1" selected="0">
            <x v="14"/>
          </reference>
          <reference field="13" count="1">
            <x v="0"/>
          </reference>
        </references>
      </pivotArea>
    </format>
    <format dxfId="1821">
      <pivotArea dataOnly="0" labelOnly="1" outline="0" fieldPosition="0">
        <references count="6">
          <reference field="0" count="1" selected="0">
            <x v="150"/>
          </reference>
          <reference field="1" count="1" selected="0">
            <x v="143"/>
          </reference>
          <reference field="2" count="1" selected="0">
            <x v="166"/>
          </reference>
          <reference field="3" count="1" selected="0">
            <x v="0"/>
          </reference>
          <reference field="12" count="1" selected="0">
            <x v="14"/>
          </reference>
          <reference field="13" count="1">
            <x v="0"/>
          </reference>
        </references>
      </pivotArea>
    </format>
    <format dxfId="1820">
      <pivotArea dataOnly="0" labelOnly="1" outline="0" fieldPosition="0">
        <references count="6">
          <reference field="0" count="1" selected="0">
            <x v="151"/>
          </reference>
          <reference field="1" count="1" selected="0">
            <x v="144"/>
          </reference>
          <reference field="2" count="1" selected="0">
            <x v="85"/>
          </reference>
          <reference field="3" count="1" selected="0">
            <x v="0"/>
          </reference>
          <reference field="12" count="1" selected="0">
            <x v="14"/>
          </reference>
          <reference field="13" count="1">
            <x v="0"/>
          </reference>
        </references>
      </pivotArea>
    </format>
    <format dxfId="1819">
      <pivotArea dataOnly="0" labelOnly="1" outline="0" fieldPosition="0">
        <references count="6">
          <reference field="0" count="1" selected="0">
            <x v="152"/>
          </reference>
          <reference field="1" count="1" selected="0">
            <x v="145"/>
          </reference>
          <reference field="2" count="1" selected="0">
            <x v="86"/>
          </reference>
          <reference field="3" count="1" selected="0">
            <x v="0"/>
          </reference>
          <reference field="12" count="1" selected="0">
            <x v="14"/>
          </reference>
          <reference field="13" count="1">
            <x v="0"/>
          </reference>
        </references>
      </pivotArea>
    </format>
    <format dxfId="1818">
      <pivotArea dataOnly="0" labelOnly="1" outline="0" fieldPosition="0">
        <references count="6">
          <reference field="0" count="1" selected="0">
            <x v="153"/>
          </reference>
          <reference field="1" count="1" selected="0">
            <x v="146"/>
          </reference>
          <reference field="2" count="1" selected="0">
            <x v="54"/>
          </reference>
          <reference field="3" count="1" selected="0">
            <x v="0"/>
          </reference>
          <reference field="12" count="1" selected="0">
            <x v="14"/>
          </reference>
          <reference field="13" count="1">
            <x v="0"/>
          </reference>
        </references>
      </pivotArea>
    </format>
    <format dxfId="1817">
      <pivotArea dataOnly="0" labelOnly="1" outline="0" fieldPosition="0">
        <references count="6">
          <reference field="0" count="1" selected="0">
            <x v="154"/>
          </reference>
          <reference field="1" count="1" selected="0">
            <x v="147"/>
          </reference>
          <reference field="2" count="1" selected="0">
            <x v="109"/>
          </reference>
          <reference field="3" count="1" selected="0">
            <x v="0"/>
          </reference>
          <reference field="12" count="1" selected="0">
            <x v="14"/>
          </reference>
          <reference field="13" count="1">
            <x v="0"/>
          </reference>
        </references>
      </pivotArea>
    </format>
    <format dxfId="1816">
      <pivotArea dataOnly="0" labelOnly="1" outline="0" fieldPosition="0">
        <references count="6">
          <reference field="0" count="1" selected="0">
            <x v="155"/>
          </reference>
          <reference field="1" count="1" selected="0">
            <x v="148"/>
          </reference>
          <reference field="2" count="1" selected="0">
            <x v="3"/>
          </reference>
          <reference field="3" count="1" selected="0">
            <x v="0"/>
          </reference>
          <reference field="12" count="1" selected="0">
            <x v="23"/>
          </reference>
          <reference field="13" count="1">
            <x v="0"/>
          </reference>
        </references>
      </pivotArea>
    </format>
    <format dxfId="1815">
      <pivotArea dataOnly="0" labelOnly="1" outline="0" fieldPosition="0">
        <references count="6">
          <reference field="0" count="1" selected="0">
            <x v="159"/>
          </reference>
          <reference field="1" count="1" selected="0">
            <x v="183"/>
          </reference>
          <reference field="2" count="1" selected="0">
            <x v="122"/>
          </reference>
          <reference field="3" count="1" selected="0">
            <x v="0"/>
          </reference>
          <reference field="12" count="1" selected="0">
            <x v="8"/>
          </reference>
          <reference field="13" count="1">
            <x v="0"/>
          </reference>
        </references>
      </pivotArea>
    </format>
    <format dxfId="1814">
      <pivotArea dataOnly="0" labelOnly="1" outline="0" fieldPosition="0">
        <references count="6">
          <reference field="0" count="1" selected="0">
            <x v="160"/>
          </reference>
          <reference field="1" count="1" selected="0">
            <x v="184"/>
          </reference>
          <reference field="2" count="1" selected="0">
            <x v="187"/>
          </reference>
          <reference field="3" count="1" selected="0">
            <x v="0"/>
          </reference>
          <reference field="12" count="1" selected="0">
            <x v="7"/>
          </reference>
          <reference field="13" count="1">
            <x v="0"/>
          </reference>
        </references>
      </pivotArea>
    </format>
    <format dxfId="1813">
      <pivotArea dataOnly="0" labelOnly="1" outline="0" fieldPosition="0">
        <references count="6">
          <reference field="0" count="1" selected="0">
            <x v="161"/>
          </reference>
          <reference field="1" count="1" selected="0">
            <x v="185"/>
          </reference>
          <reference field="2" count="1" selected="0">
            <x v="186"/>
          </reference>
          <reference field="3" count="1" selected="0">
            <x v="0"/>
          </reference>
          <reference field="12" count="1" selected="0">
            <x v="9"/>
          </reference>
          <reference field="13" count="1">
            <x v="0"/>
          </reference>
        </references>
      </pivotArea>
    </format>
    <format dxfId="1812">
      <pivotArea dataOnly="0" labelOnly="1" outline="0" fieldPosition="0">
        <references count="6">
          <reference field="0" count="1" selected="0">
            <x v="162"/>
          </reference>
          <reference field="1" count="1" selected="0">
            <x v="186"/>
          </reference>
          <reference field="2" count="1" selected="0">
            <x v="125"/>
          </reference>
          <reference field="3" count="1" selected="0">
            <x v="0"/>
          </reference>
          <reference field="12" count="1" selected="0">
            <x v="10"/>
          </reference>
          <reference field="13" count="1">
            <x v="0"/>
          </reference>
        </references>
      </pivotArea>
    </format>
    <format dxfId="1811">
      <pivotArea dataOnly="0" labelOnly="1" outline="0" fieldPosition="0">
        <references count="6">
          <reference field="0" count="1" selected="0">
            <x v="164"/>
          </reference>
          <reference field="1" count="1" selected="0">
            <x v="188"/>
          </reference>
          <reference field="2" count="1" selected="0">
            <x v="119"/>
          </reference>
          <reference field="3" count="1" selected="0">
            <x v="0"/>
          </reference>
          <reference field="12" count="1" selected="0">
            <x v="13"/>
          </reference>
          <reference field="13" count="1">
            <x v="0"/>
          </reference>
        </references>
      </pivotArea>
    </format>
    <format dxfId="1810">
      <pivotArea dataOnly="0" labelOnly="1" outline="0" fieldPosition="0">
        <references count="6">
          <reference field="0" count="1" selected="0">
            <x v="165"/>
          </reference>
          <reference field="1" count="1" selected="0">
            <x v="189"/>
          </reference>
          <reference field="2" count="1" selected="0">
            <x v="156"/>
          </reference>
          <reference field="3" count="1" selected="0">
            <x v="0"/>
          </reference>
          <reference field="12" count="1" selected="0">
            <x v="13"/>
          </reference>
          <reference field="13" count="1">
            <x v="0"/>
          </reference>
        </references>
      </pivotArea>
    </format>
    <format dxfId="1809">
      <pivotArea dataOnly="0" labelOnly="1" outline="0" fieldPosition="0">
        <references count="6">
          <reference field="0" count="1" selected="0">
            <x v="166"/>
          </reference>
          <reference field="1" count="1" selected="0">
            <x v="190"/>
          </reference>
          <reference field="2" count="1" selected="0">
            <x v="213"/>
          </reference>
          <reference field="3" count="1" selected="0">
            <x v="0"/>
          </reference>
          <reference field="12" count="1" selected="0">
            <x v="13"/>
          </reference>
          <reference field="13" count="1">
            <x v="0"/>
          </reference>
        </references>
      </pivotArea>
    </format>
    <format dxfId="1808">
      <pivotArea dataOnly="0" labelOnly="1" outline="0" fieldPosition="0">
        <references count="6">
          <reference field="0" count="1" selected="0">
            <x v="167"/>
          </reference>
          <reference field="1" count="1" selected="0">
            <x v="199"/>
          </reference>
          <reference field="2" count="1" selected="0">
            <x v="56"/>
          </reference>
          <reference field="3" count="1" selected="0">
            <x v="0"/>
          </reference>
          <reference field="12" count="1" selected="0">
            <x v="18"/>
          </reference>
          <reference field="13" count="1">
            <x v="0"/>
          </reference>
        </references>
      </pivotArea>
    </format>
    <format dxfId="1807">
      <pivotArea dataOnly="0" labelOnly="1" outline="0" fieldPosition="0">
        <references count="6">
          <reference field="0" count="1" selected="0">
            <x v="168"/>
          </reference>
          <reference field="1" count="1" selected="0">
            <x v="200"/>
          </reference>
          <reference field="2" count="1" selected="0">
            <x v="9"/>
          </reference>
          <reference field="3" count="1" selected="0">
            <x v="0"/>
          </reference>
          <reference field="12" count="1" selected="0">
            <x v="7"/>
          </reference>
          <reference field="13" count="1">
            <x v="0"/>
          </reference>
        </references>
      </pivotArea>
    </format>
    <format dxfId="1806">
      <pivotArea dataOnly="0" labelOnly="1" outline="0" fieldPosition="0">
        <references count="6">
          <reference field="0" count="1" selected="0">
            <x v="171"/>
          </reference>
          <reference field="1" count="1" selected="0">
            <x v="203"/>
          </reference>
          <reference field="2" count="1" selected="0">
            <x v="10"/>
          </reference>
          <reference field="3" count="1" selected="0">
            <x v="0"/>
          </reference>
          <reference field="12" count="1" selected="0">
            <x v="9"/>
          </reference>
          <reference field="13" count="1">
            <x v="0"/>
          </reference>
        </references>
      </pivotArea>
    </format>
    <format dxfId="1805">
      <pivotArea dataOnly="0" labelOnly="1" outline="0" fieldPosition="0">
        <references count="6">
          <reference field="0" count="1" selected="0">
            <x v="172"/>
          </reference>
          <reference field="1" count="1" selected="0">
            <x v="204"/>
          </reference>
          <reference field="2" count="1" selected="0">
            <x v="216"/>
          </reference>
          <reference field="3" count="1" selected="0">
            <x v="0"/>
          </reference>
          <reference field="12" count="1" selected="0">
            <x v="2"/>
          </reference>
          <reference field="13" count="1">
            <x v="0"/>
          </reference>
        </references>
      </pivotArea>
    </format>
    <format dxfId="1804">
      <pivotArea dataOnly="0" labelOnly="1" outline="0" fieldPosition="0">
        <references count="6">
          <reference field="0" count="1" selected="0">
            <x v="173"/>
          </reference>
          <reference field="1" count="1" selected="0">
            <x v="205"/>
          </reference>
          <reference field="2" count="1" selected="0">
            <x v="94"/>
          </reference>
          <reference field="3" count="1" selected="0">
            <x v="0"/>
          </reference>
          <reference field="12" count="1" selected="0">
            <x v="20"/>
          </reference>
          <reference field="13" count="1">
            <x v="0"/>
          </reference>
        </references>
      </pivotArea>
    </format>
    <format dxfId="1803">
      <pivotArea dataOnly="0" labelOnly="1" outline="0" fieldPosition="0">
        <references count="6">
          <reference field="0" count="1" selected="0">
            <x v="175"/>
          </reference>
          <reference field="1" count="1" selected="0">
            <x v="207"/>
          </reference>
          <reference field="2" count="1" selected="0">
            <x v="172"/>
          </reference>
          <reference field="3" count="1" selected="0">
            <x v="0"/>
          </reference>
          <reference field="12" count="1" selected="0">
            <x v="21"/>
          </reference>
          <reference field="13" count="1">
            <x v="0"/>
          </reference>
        </references>
      </pivotArea>
    </format>
    <format dxfId="1802">
      <pivotArea dataOnly="0" labelOnly="1" outline="0" fieldPosition="0">
        <references count="6">
          <reference field="0" count="1" selected="0">
            <x v="176"/>
          </reference>
          <reference field="1" count="1" selected="0">
            <x v="208"/>
          </reference>
          <reference field="2" count="1" selected="0">
            <x v="215"/>
          </reference>
          <reference field="3" count="1" selected="0">
            <x v="0"/>
          </reference>
          <reference field="12" count="1" selected="0">
            <x v="20"/>
          </reference>
          <reference field="13" count="1">
            <x v="0"/>
          </reference>
        </references>
      </pivotArea>
    </format>
    <format dxfId="1801">
      <pivotArea dataOnly="0" labelOnly="1" outline="0" fieldPosition="0">
        <references count="6">
          <reference field="0" count="1" selected="0">
            <x v="177"/>
          </reference>
          <reference field="1" count="1" selected="0">
            <x v="209"/>
          </reference>
          <reference field="2" count="1" selected="0">
            <x v="114"/>
          </reference>
          <reference field="3" count="1" selected="0">
            <x v="0"/>
          </reference>
          <reference field="12" count="1" selected="0">
            <x v="20"/>
          </reference>
          <reference field="13" count="1">
            <x v="0"/>
          </reference>
        </references>
      </pivotArea>
    </format>
    <format dxfId="1800">
      <pivotArea dataOnly="0" labelOnly="1" outline="0" fieldPosition="0">
        <references count="6">
          <reference field="0" count="1" selected="0">
            <x v="178"/>
          </reference>
          <reference field="1" count="1" selected="0">
            <x v="210"/>
          </reference>
          <reference field="2" count="1" selected="0">
            <x v="11"/>
          </reference>
          <reference field="3" count="1" selected="0">
            <x v="0"/>
          </reference>
          <reference field="12" count="1" selected="0">
            <x v="20"/>
          </reference>
          <reference field="13" count="1">
            <x v="0"/>
          </reference>
        </references>
      </pivotArea>
    </format>
    <format dxfId="1799">
      <pivotArea dataOnly="0" labelOnly="1" outline="0" fieldPosition="0">
        <references count="6">
          <reference field="0" count="1" selected="0">
            <x v="179"/>
          </reference>
          <reference field="1" count="1" selected="0">
            <x v="211"/>
          </reference>
          <reference field="2" count="1" selected="0">
            <x v="96"/>
          </reference>
          <reference field="3" count="1" selected="0">
            <x v="0"/>
          </reference>
          <reference field="12" count="1" selected="0">
            <x v="20"/>
          </reference>
          <reference field="13" count="1">
            <x v="0"/>
          </reference>
        </references>
      </pivotArea>
    </format>
    <format dxfId="1798">
      <pivotArea dataOnly="0" labelOnly="1" outline="0" fieldPosition="0">
        <references count="6">
          <reference field="0" count="1" selected="0">
            <x v="180"/>
          </reference>
          <reference field="1" count="1" selected="0">
            <x v="212"/>
          </reference>
          <reference field="2" count="1" selected="0">
            <x v="97"/>
          </reference>
          <reference field="3" count="1" selected="0">
            <x v="0"/>
          </reference>
          <reference field="12" count="1" selected="0">
            <x v="14"/>
          </reference>
          <reference field="13" count="1">
            <x v="0"/>
          </reference>
        </references>
      </pivotArea>
    </format>
    <format dxfId="1797">
      <pivotArea dataOnly="0" labelOnly="1" outline="0" fieldPosition="0">
        <references count="6">
          <reference field="0" count="1" selected="0">
            <x v="181"/>
          </reference>
          <reference field="1" count="1" selected="0">
            <x v="213"/>
          </reference>
          <reference field="2" count="1" selected="0">
            <x v="234"/>
          </reference>
          <reference field="3" count="1" selected="0">
            <x v="0"/>
          </reference>
          <reference field="12" count="1" selected="0">
            <x v="14"/>
          </reference>
          <reference field="13" count="1">
            <x v="0"/>
          </reference>
        </references>
      </pivotArea>
    </format>
    <format dxfId="1796">
      <pivotArea dataOnly="0" labelOnly="1" outline="0" fieldPosition="0">
        <references count="6">
          <reference field="0" count="1" selected="0">
            <x v="182"/>
          </reference>
          <reference field="1" count="1" selected="0">
            <x v="214"/>
          </reference>
          <reference field="2" count="1" selected="0">
            <x v="235"/>
          </reference>
          <reference field="3" count="1" selected="0">
            <x v="0"/>
          </reference>
          <reference field="12" count="1" selected="0">
            <x v="7"/>
          </reference>
          <reference field="13" count="1">
            <x v="0"/>
          </reference>
        </references>
      </pivotArea>
    </format>
    <format dxfId="1795">
      <pivotArea dataOnly="0" labelOnly="1" outline="0" fieldPosition="0">
        <references count="6">
          <reference field="0" count="1" selected="0">
            <x v="183"/>
          </reference>
          <reference field="1" count="1" selected="0">
            <x v="215"/>
          </reference>
          <reference field="2" count="1" selected="0">
            <x v="206"/>
          </reference>
          <reference field="3" count="1" selected="0">
            <x v="0"/>
          </reference>
          <reference field="12" count="1" selected="0">
            <x v="14"/>
          </reference>
          <reference field="13" count="1">
            <x v="0"/>
          </reference>
        </references>
      </pivotArea>
    </format>
    <format dxfId="1794">
      <pivotArea dataOnly="0" labelOnly="1" outline="0" fieldPosition="0">
        <references count="6">
          <reference field="0" count="1" selected="0">
            <x v="184"/>
          </reference>
          <reference field="1" count="1" selected="0">
            <x v="216"/>
          </reference>
          <reference field="2" count="1" selected="0">
            <x v="111"/>
          </reference>
          <reference field="3" count="1" selected="0">
            <x v="0"/>
          </reference>
          <reference field="12" count="1" selected="0">
            <x v="22"/>
          </reference>
          <reference field="13" count="1">
            <x v="0"/>
          </reference>
        </references>
      </pivotArea>
    </format>
    <format dxfId="1793">
      <pivotArea dataOnly="0" labelOnly="1" outline="0" fieldPosition="0">
        <references count="6">
          <reference field="0" count="1" selected="0">
            <x v="185"/>
          </reference>
          <reference field="1" count="1" selected="0">
            <x v="217"/>
          </reference>
          <reference field="2" count="1" selected="0">
            <x v="113"/>
          </reference>
          <reference field="3" count="1" selected="0">
            <x v="0"/>
          </reference>
          <reference field="12" count="1" selected="0">
            <x v="12"/>
          </reference>
          <reference field="13" count="1">
            <x v="0"/>
          </reference>
        </references>
      </pivotArea>
    </format>
    <format dxfId="1792">
      <pivotArea dataOnly="0" labelOnly="1" outline="0" fieldPosition="0">
        <references count="6">
          <reference field="0" count="1" selected="0">
            <x v="186"/>
          </reference>
          <reference field="1" count="1" selected="0">
            <x v="218"/>
          </reference>
          <reference field="2" count="1" selected="0">
            <x v="93"/>
          </reference>
          <reference field="3" count="1" selected="0">
            <x v="0"/>
          </reference>
          <reference field="12" count="1" selected="0">
            <x v="12"/>
          </reference>
          <reference field="13" count="1">
            <x v="2"/>
          </reference>
        </references>
      </pivotArea>
    </format>
    <format dxfId="1791">
      <pivotArea dataOnly="0" labelOnly="1" outline="0" fieldPosition="0">
        <references count="6">
          <reference field="0" count="1" selected="0">
            <x v="187"/>
          </reference>
          <reference field="1" count="1" selected="0">
            <x v="219"/>
          </reference>
          <reference field="2" count="1" selected="0">
            <x v="104"/>
          </reference>
          <reference field="3" count="1" selected="0">
            <x v="0"/>
          </reference>
          <reference field="12" count="1" selected="0">
            <x v="12"/>
          </reference>
          <reference field="13" count="1">
            <x v="14"/>
          </reference>
        </references>
      </pivotArea>
    </format>
    <format dxfId="1790">
      <pivotArea dataOnly="0" labelOnly="1" outline="0" fieldPosition="0">
        <references count="6">
          <reference field="0" count="1" selected="0">
            <x v="188"/>
          </reference>
          <reference field="1" count="1" selected="0">
            <x v="220"/>
          </reference>
          <reference field="2" count="1" selected="0">
            <x v="196"/>
          </reference>
          <reference field="3" count="1" selected="0">
            <x v="0"/>
          </reference>
          <reference field="12" count="1" selected="0">
            <x v="12"/>
          </reference>
          <reference field="13" count="1">
            <x v="14"/>
          </reference>
        </references>
      </pivotArea>
    </format>
    <format dxfId="1789">
      <pivotArea dataOnly="0" labelOnly="1" outline="0" fieldPosition="0">
        <references count="6">
          <reference field="0" count="1" selected="0">
            <x v="189"/>
          </reference>
          <reference field="1" count="1" selected="0">
            <x v="221"/>
          </reference>
          <reference field="2" count="1" selected="0">
            <x v="182"/>
          </reference>
          <reference field="3" count="1" selected="0">
            <x v="0"/>
          </reference>
          <reference field="12" count="1" selected="0">
            <x v="12"/>
          </reference>
          <reference field="13" count="1">
            <x v="0"/>
          </reference>
        </references>
      </pivotArea>
    </format>
    <format dxfId="1788">
      <pivotArea dataOnly="0" labelOnly="1" outline="0" fieldPosition="0">
        <references count="6">
          <reference field="0" count="1" selected="0">
            <x v="192"/>
          </reference>
          <reference field="1" count="1" selected="0">
            <x v="224"/>
          </reference>
          <reference field="2" count="1" selected="0">
            <x v="80"/>
          </reference>
          <reference field="3" count="1" selected="0">
            <x v="0"/>
          </reference>
          <reference field="12" count="1" selected="0">
            <x v="7"/>
          </reference>
          <reference field="13" count="1">
            <x v="0"/>
          </reference>
        </references>
      </pivotArea>
    </format>
    <format dxfId="1787">
      <pivotArea dataOnly="0" labelOnly="1" outline="0" fieldPosition="0">
        <references count="6">
          <reference field="0" count="1" selected="0">
            <x v="193"/>
          </reference>
          <reference field="1" count="1" selected="0">
            <x v="225"/>
          </reference>
          <reference field="2" count="1" selected="0">
            <x v="238"/>
          </reference>
          <reference field="3" count="1" selected="0">
            <x v="0"/>
          </reference>
          <reference field="12" count="1" selected="0">
            <x v="7"/>
          </reference>
          <reference field="13" count="1">
            <x v="0"/>
          </reference>
        </references>
      </pivotArea>
    </format>
    <format dxfId="1786">
      <pivotArea dataOnly="0" labelOnly="1" outline="0" fieldPosition="0">
        <references count="6">
          <reference field="0" count="1" selected="0">
            <x v="197"/>
          </reference>
          <reference field="1" count="1" selected="0">
            <x v="236"/>
          </reference>
          <reference field="2" count="1" selected="0">
            <x v="102"/>
          </reference>
          <reference field="3" count="1" selected="0">
            <x v="0"/>
          </reference>
          <reference field="12" count="1" selected="0">
            <x v="18"/>
          </reference>
          <reference field="13" count="1">
            <x v="0"/>
          </reference>
        </references>
      </pivotArea>
    </format>
    <format dxfId="1785">
      <pivotArea dataOnly="0" labelOnly="1" outline="0" fieldPosition="0">
        <references count="6">
          <reference field="0" count="1" selected="0">
            <x v="199"/>
          </reference>
          <reference field="1" count="1" selected="0">
            <x v="238"/>
          </reference>
          <reference field="2" count="1" selected="0">
            <x v="33"/>
          </reference>
          <reference field="3" count="1" selected="0">
            <x v="0"/>
          </reference>
          <reference field="12" count="1" selected="0">
            <x v="20"/>
          </reference>
          <reference field="13" count="1">
            <x v="0"/>
          </reference>
        </references>
      </pivotArea>
    </format>
    <format dxfId="1784">
      <pivotArea dataOnly="0" labelOnly="1" outline="0" fieldPosition="0">
        <references count="6">
          <reference field="0" count="1" selected="0">
            <x v="200"/>
          </reference>
          <reference field="1" count="1" selected="0">
            <x v="239"/>
          </reference>
          <reference field="2" count="1" selected="0">
            <x v="34"/>
          </reference>
          <reference field="3" count="1" selected="0">
            <x v="0"/>
          </reference>
          <reference field="12" count="1" selected="0">
            <x v="20"/>
          </reference>
          <reference field="13" count="1">
            <x v="0"/>
          </reference>
        </references>
      </pivotArea>
    </format>
    <format dxfId="1783">
      <pivotArea dataOnly="0" labelOnly="1" outline="0" fieldPosition="0">
        <references count="6">
          <reference field="0" count="1" selected="0">
            <x v="201"/>
          </reference>
          <reference field="1" count="1" selected="0">
            <x v="240"/>
          </reference>
          <reference field="2" count="1" selected="0">
            <x v="37"/>
          </reference>
          <reference field="3" count="1" selected="0">
            <x v="0"/>
          </reference>
          <reference field="12" count="1" selected="0">
            <x v="20"/>
          </reference>
          <reference field="13" count="1">
            <x v="0"/>
          </reference>
        </references>
      </pivotArea>
    </format>
    <format dxfId="1782">
      <pivotArea dataOnly="0" labelOnly="1" outline="0" fieldPosition="0">
        <references count="6">
          <reference field="0" count="1" selected="0">
            <x v="204"/>
          </reference>
          <reference field="1" count="1" selected="0">
            <x v="149"/>
          </reference>
          <reference field="2" count="1" selected="0">
            <x v="117"/>
          </reference>
          <reference field="3" count="1" selected="0">
            <x v="0"/>
          </reference>
          <reference field="12" count="1" selected="0">
            <x v="12"/>
          </reference>
          <reference field="13" count="1">
            <x v="14"/>
          </reference>
        </references>
      </pivotArea>
    </format>
    <format dxfId="1781">
      <pivotArea dataOnly="0" labelOnly="1" outline="0" fieldPosition="0">
        <references count="6">
          <reference field="0" count="1" selected="0">
            <x v="206"/>
          </reference>
          <reference field="1" count="1" selected="0">
            <x v="151"/>
          </reference>
          <reference field="2" count="1" selected="0">
            <x v="159"/>
          </reference>
          <reference field="3" count="1" selected="0">
            <x v="0"/>
          </reference>
          <reference field="12" count="1" selected="0">
            <x v="12"/>
          </reference>
          <reference field="13" count="1">
            <x v="5"/>
          </reference>
        </references>
      </pivotArea>
    </format>
    <format dxfId="1780">
      <pivotArea dataOnly="0" labelOnly="1" outline="0" fieldPosition="0">
        <references count="6">
          <reference field="0" count="1" selected="0">
            <x v="207"/>
          </reference>
          <reference field="1" count="1" selected="0">
            <x v="152"/>
          </reference>
          <reference field="2" count="1" selected="0">
            <x v="81"/>
          </reference>
          <reference field="3" count="1" selected="0">
            <x v="0"/>
          </reference>
          <reference field="12" count="1" selected="0">
            <x v="7"/>
          </reference>
          <reference field="13" count="1">
            <x v="0"/>
          </reference>
        </references>
      </pivotArea>
    </format>
    <format dxfId="1779">
      <pivotArea dataOnly="0" labelOnly="1" outline="0" fieldPosition="0">
        <references count="6">
          <reference field="0" count="1" selected="0">
            <x v="208"/>
          </reference>
          <reference field="1" count="1" selected="0">
            <x v="153"/>
          </reference>
          <reference field="2" count="1" selected="0">
            <x v="103"/>
          </reference>
          <reference field="3" count="1" selected="0">
            <x v="0"/>
          </reference>
          <reference field="12" count="1" selected="0">
            <x v="14"/>
          </reference>
          <reference field="13" count="1">
            <x v="16"/>
          </reference>
        </references>
      </pivotArea>
    </format>
    <format dxfId="1778">
      <pivotArea dataOnly="0" labelOnly="1" outline="0" fieldPosition="0">
        <references count="6">
          <reference field="0" count="1" selected="0">
            <x v="209"/>
          </reference>
          <reference field="1" count="1" selected="0">
            <x v="154"/>
          </reference>
          <reference field="2" count="1" selected="0">
            <x v="98"/>
          </reference>
          <reference field="3" count="1" selected="0">
            <x v="0"/>
          </reference>
          <reference field="12" count="1" selected="0">
            <x v="14"/>
          </reference>
          <reference field="13" count="1">
            <x v="17"/>
          </reference>
        </references>
      </pivotArea>
    </format>
    <format dxfId="1777">
      <pivotArea dataOnly="0" labelOnly="1" outline="0" fieldPosition="0">
        <references count="6">
          <reference field="0" count="1" selected="0">
            <x v="210"/>
          </reference>
          <reference field="1" count="1" selected="0">
            <x v="155"/>
          </reference>
          <reference field="2" count="1" selected="0">
            <x v="162"/>
          </reference>
          <reference field="3" count="1" selected="0">
            <x v="0"/>
          </reference>
          <reference field="12" count="1" selected="0">
            <x v="7"/>
          </reference>
          <reference field="13" count="1">
            <x v="2"/>
          </reference>
        </references>
      </pivotArea>
    </format>
    <format dxfId="1776">
      <pivotArea dataOnly="0" labelOnly="1" outline="0" fieldPosition="0">
        <references count="6">
          <reference field="0" count="1" selected="0">
            <x v="211"/>
          </reference>
          <reference field="1" count="1" selected="0">
            <x v="156"/>
          </reference>
          <reference field="2" count="1" selected="0">
            <x v="164"/>
          </reference>
          <reference field="3" count="1" selected="0">
            <x v="0"/>
          </reference>
          <reference field="12" count="1" selected="0">
            <x v="20"/>
          </reference>
          <reference field="13" count="1">
            <x v="3"/>
          </reference>
        </references>
      </pivotArea>
    </format>
    <format dxfId="1775">
      <pivotArea dataOnly="0" labelOnly="1" outline="0" fieldPosition="0">
        <references count="6">
          <reference field="0" count="1" selected="0">
            <x v="212"/>
          </reference>
          <reference field="1" count="1" selected="0">
            <x v="157"/>
          </reference>
          <reference field="2" count="1" selected="0">
            <x v="170"/>
          </reference>
          <reference field="3" count="1" selected="0">
            <x v="0"/>
          </reference>
          <reference field="12" count="1" selected="0">
            <x v="20"/>
          </reference>
          <reference field="13" count="1">
            <x v="4"/>
          </reference>
        </references>
      </pivotArea>
    </format>
    <format dxfId="1774">
      <pivotArea dataOnly="0" labelOnly="1" outline="0" fieldPosition="0">
        <references count="6">
          <reference field="0" count="1" selected="0">
            <x v="214"/>
          </reference>
          <reference field="1" count="1" selected="0">
            <x v="159"/>
          </reference>
          <reference field="2" count="1" selected="0">
            <x v="139"/>
          </reference>
          <reference field="3" count="1" selected="0">
            <x v="0"/>
          </reference>
          <reference field="12" count="1" selected="0">
            <x v="10"/>
          </reference>
          <reference field="13" count="1">
            <x v="15"/>
          </reference>
        </references>
      </pivotArea>
    </format>
    <format dxfId="1773">
      <pivotArea dataOnly="0" labelOnly="1" outline="0" fieldPosition="0">
        <references count="6">
          <reference field="0" count="1" selected="0">
            <x v="215"/>
          </reference>
          <reference field="1" count="1" selected="0">
            <x v="160"/>
          </reference>
          <reference field="2" count="1" selected="0">
            <x v="137"/>
          </reference>
          <reference field="3" count="1" selected="0">
            <x v="0"/>
          </reference>
          <reference field="12" count="1" selected="0">
            <x v="10"/>
          </reference>
          <reference field="13" count="1">
            <x v="11"/>
          </reference>
        </references>
      </pivotArea>
    </format>
    <format dxfId="1772">
      <pivotArea dataOnly="0" labelOnly="1" outline="0" fieldPosition="0">
        <references count="6">
          <reference field="0" count="1" selected="0">
            <x v="216"/>
          </reference>
          <reference field="1" count="1" selected="0">
            <x v="161"/>
          </reference>
          <reference field="2" count="1" selected="0">
            <x v="136"/>
          </reference>
          <reference field="3" count="1" selected="0">
            <x v="0"/>
          </reference>
          <reference field="12" count="1" selected="0">
            <x v="10"/>
          </reference>
          <reference field="13" count="1">
            <x v="13"/>
          </reference>
        </references>
      </pivotArea>
    </format>
    <format dxfId="1771">
      <pivotArea dataOnly="0" labelOnly="1" outline="0" fieldPosition="0">
        <references count="6">
          <reference field="0" count="1" selected="0">
            <x v="217"/>
          </reference>
          <reference field="1" count="1" selected="0">
            <x v="162"/>
          </reference>
          <reference field="2" count="1" selected="0">
            <x v="13"/>
          </reference>
          <reference field="3" count="1" selected="0">
            <x v="0"/>
          </reference>
          <reference field="12" count="1" selected="0">
            <x v="10"/>
          </reference>
          <reference field="13" count="1">
            <x v="10"/>
          </reference>
        </references>
      </pivotArea>
    </format>
    <format dxfId="1770">
      <pivotArea dataOnly="0" labelOnly="1" outline="0" fieldPosition="0">
        <references count="6">
          <reference field="0" count="1" selected="0">
            <x v="218"/>
          </reference>
          <reference field="1" count="1" selected="0">
            <x v="163"/>
          </reference>
          <reference field="2" count="1" selected="0">
            <x v="179"/>
          </reference>
          <reference field="3" count="1" selected="0">
            <x v="0"/>
          </reference>
          <reference field="12" count="1" selected="0">
            <x v="10"/>
          </reference>
          <reference field="13" count="1">
            <x v="10"/>
          </reference>
        </references>
      </pivotArea>
    </format>
    <format dxfId="1769">
      <pivotArea dataOnly="0" labelOnly="1" outline="0" fieldPosition="0">
        <references count="6">
          <reference field="0" count="1" selected="0">
            <x v="219"/>
          </reference>
          <reference field="1" count="1" selected="0">
            <x v="164"/>
          </reference>
          <reference field="2" count="1" selected="0">
            <x v="138"/>
          </reference>
          <reference field="3" count="1" selected="0">
            <x v="0"/>
          </reference>
          <reference field="12" count="1" selected="0">
            <x v="10"/>
          </reference>
          <reference field="13" count="1">
            <x v="8"/>
          </reference>
        </references>
      </pivotArea>
    </format>
    <format dxfId="1768">
      <pivotArea dataOnly="0" labelOnly="1" outline="0" fieldPosition="0">
        <references count="6">
          <reference field="0" count="1" selected="0">
            <x v="220"/>
          </reference>
          <reference field="1" count="1" selected="0">
            <x v="165"/>
          </reference>
          <reference field="2" count="1" selected="0">
            <x v="142"/>
          </reference>
          <reference field="3" count="1" selected="0">
            <x v="0"/>
          </reference>
          <reference field="12" count="1" selected="0">
            <x v="11"/>
          </reference>
          <reference field="13" count="1">
            <x v="12"/>
          </reference>
        </references>
      </pivotArea>
    </format>
    <format dxfId="1767">
      <pivotArea dataOnly="0" labelOnly="1" outline="0" fieldPosition="0">
        <references count="6">
          <reference field="0" count="1" selected="0">
            <x v="221"/>
          </reference>
          <reference field="1" count="1" selected="0">
            <x v="166"/>
          </reference>
          <reference field="2" count="1" selected="0">
            <x v="143"/>
          </reference>
          <reference field="3" count="1" selected="0">
            <x v="0"/>
          </reference>
          <reference field="12" count="1" selected="0">
            <x v="10"/>
          </reference>
          <reference field="13" count="1">
            <x v="9"/>
          </reference>
        </references>
      </pivotArea>
    </format>
    <format dxfId="1766">
      <pivotArea dataOnly="0" labelOnly="1" outline="0" fieldPosition="0">
        <references count="6">
          <reference field="0" count="1" selected="0">
            <x v="223"/>
          </reference>
          <reference field="1" count="1" selected="0">
            <x v="168"/>
          </reference>
          <reference field="2" count="1" selected="0">
            <x v="71"/>
          </reference>
          <reference field="3" count="1" selected="0">
            <x v="0"/>
          </reference>
          <reference field="12" count="1" selected="0">
            <x v="24"/>
          </reference>
          <reference field="13" count="1">
            <x v="7"/>
          </reference>
        </references>
      </pivotArea>
    </format>
    <format dxfId="1765">
      <pivotArea dataOnly="0" labelOnly="1" outline="0" fieldPosition="0">
        <references count="6">
          <reference field="0" count="1" selected="0">
            <x v="224"/>
          </reference>
          <reference field="1" count="1" selected="0">
            <x v="169"/>
          </reference>
          <reference field="2" count="1" selected="0">
            <x v="121"/>
          </reference>
          <reference field="3" count="1" selected="0">
            <x v="0"/>
          </reference>
          <reference field="12" count="1" selected="0">
            <x v="23"/>
          </reference>
          <reference field="13" count="1">
            <x v="1"/>
          </reference>
        </references>
      </pivotArea>
    </format>
    <format dxfId="1764">
      <pivotArea dataOnly="0" labelOnly="1" outline="0" fieldPosition="0">
        <references count="6">
          <reference field="0" count="1" selected="0">
            <x v="225"/>
          </reference>
          <reference field="1" count="1" selected="0">
            <x v="170"/>
          </reference>
          <reference field="2" count="1" selected="0">
            <x v="120"/>
          </reference>
          <reference field="3" count="1" selected="0">
            <x v="0"/>
          </reference>
          <reference field="12" count="1" selected="0">
            <x v="23"/>
          </reference>
          <reference field="13" count="1">
            <x v="22"/>
          </reference>
        </references>
      </pivotArea>
    </format>
    <format dxfId="1763">
      <pivotArea dataOnly="0" labelOnly="1" outline="0" fieldPosition="0">
        <references count="6">
          <reference field="0" count="1" selected="0">
            <x v="226"/>
          </reference>
          <reference field="1" count="1" selected="0">
            <x v="171"/>
          </reference>
          <reference field="2" count="1" selected="0">
            <x v="41"/>
          </reference>
          <reference field="3" count="1" selected="0">
            <x v="0"/>
          </reference>
          <reference field="12" count="1" selected="0">
            <x v="23"/>
          </reference>
          <reference field="13" count="1">
            <x v="22"/>
          </reference>
        </references>
      </pivotArea>
    </format>
    <format dxfId="1762">
      <pivotArea dataOnly="0" labelOnly="1" outline="0" fieldPosition="0">
        <references count="6">
          <reference field="0" count="1" selected="0">
            <x v="227"/>
          </reference>
          <reference field="1" count="1" selected="0">
            <x v="172"/>
          </reference>
          <reference field="2" count="1" selected="0">
            <x v="42"/>
          </reference>
          <reference field="3" count="1" selected="0">
            <x v="0"/>
          </reference>
          <reference field="12" count="1" selected="0">
            <x v="23"/>
          </reference>
          <reference field="13" count="1">
            <x v="22"/>
          </reference>
        </references>
      </pivotArea>
    </format>
    <format dxfId="1761">
      <pivotArea dataOnly="0" labelOnly="1" outline="0" fieldPosition="0">
        <references count="6">
          <reference field="0" count="1" selected="0">
            <x v="228"/>
          </reference>
          <reference field="1" count="1" selected="0">
            <x v="173"/>
          </reference>
          <reference field="2" count="1" selected="0">
            <x v="145"/>
          </reference>
          <reference field="3" count="1" selected="0">
            <x v="0"/>
          </reference>
          <reference field="12" count="1" selected="0">
            <x v="3"/>
          </reference>
          <reference field="13" count="1">
            <x v="21"/>
          </reference>
        </references>
      </pivotArea>
    </format>
    <format dxfId="1760">
      <pivotArea dataOnly="0" labelOnly="1" outline="0" fieldPosition="0">
        <references count="6">
          <reference field="0" count="1" selected="0">
            <x v="229"/>
          </reference>
          <reference field="1" count="1" selected="0">
            <x v="174"/>
          </reference>
          <reference field="2" count="1" selected="0">
            <x v="91"/>
          </reference>
          <reference field="3" count="1" selected="0">
            <x v="0"/>
          </reference>
          <reference field="12" count="1" selected="0">
            <x v="3"/>
          </reference>
          <reference field="13" count="1">
            <x v="18"/>
          </reference>
        </references>
      </pivotArea>
    </format>
    <format dxfId="1759">
      <pivotArea dataOnly="0" labelOnly="1" outline="0" fieldPosition="0">
        <references count="6">
          <reference field="0" count="1" selected="0">
            <x v="230"/>
          </reference>
          <reference field="1" count="1" selected="0">
            <x v="175"/>
          </reference>
          <reference field="2" count="1" selected="0">
            <x v="160"/>
          </reference>
          <reference field="3" count="1" selected="0">
            <x v="0"/>
          </reference>
          <reference field="12" count="1" selected="0">
            <x v="3"/>
          </reference>
          <reference field="13" count="1">
            <x v="18"/>
          </reference>
        </references>
      </pivotArea>
    </format>
    <format dxfId="1758">
      <pivotArea dataOnly="0" labelOnly="1" outline="0" fieldPosition="0">
        <references count="6">
          <reference field="0" count="1" selected="0">
            <x v="231"/>
          </reference>
          <reference field="1" count="1" selected="0">
            <x v="176"/>
          </reference>
          <reference field="2" count="1" selected="0">
            <x v="42"/>
          </reference>
          <reference field="3" count="1" selected="0">
            <x v="0"/>
          </reference>
          <reference field="12" count="1" selected="0">
            <x v="3"/>
          </reference>
          <reference field="13" count="1">
            <x v="20"/>
          </reference>
        </references>
      </pivotArea>
    </format>
    <format dxfId="1757">
      <pivotArea dataOnly="0" labelOnly="1" outline="0" fieldPosition="0">
        <references count="6">
          <reference field="0" count="1" selected="0">
            <x v="232"/>
          </reference>
          <reference field="1" count="1" selected="0">
            <x v="177"/>
          </reference>
          <reference field="2" count="1" selected="0">
            <x v="47"/>
          </reference>
          <reference field="3" count="1" selected="0">
            <x v="0"/>
          </reference>
          <reference field="12" count="1" selected="0">
            <x v="3"/>
          </reference>
          <reference field="13" count="1">
            <x v="19"/>
          </reference>
        </references>
      </pivotArea>
    </format>
    <format dxfId="1756">
      <pivotArea dataOnly="0" labelOnly="1" outline="0" fieldPosition="0">
        <references count="6">
          <reference field="0" count="1" selected="0">
            <x v="233"/>
          </reference>
          <reference field="1" count="1" selected="0">
            <x v="178"/>
          </reference>
          <reference field="2" count="1" selected="0">
            <x v="32"/>
          </reference>
          <reference field="3" count="1" selected="0">
            <x v="0"/>
          </reference>
          <reference field="12" count="1" selected="0">
            <x v="3"/>
          </reference>
          <reference field="13" count="1">
            <x v="6"/>
          </reference>
        </references>
      </pivotArea>
    </format>
    <format dxfId="1755">
      <pivotArea dataOnly="0" labelOnly="1" outline="0" fieldPosition="0">
        <references count="6">
          <reference field="0" count="1" selected="0">
            <x v="234"/>
          </reference>
          <reference field="1" count="1" selected="0">
            <x v="179"/>
          </reference>
          <reference field="2" count="1" selected="0">
            <x v="163"/>
          </reference>
          <reference field="3" count="1" selected="0">
            <x v="0"/>
          </reference>
          <reference field="12" count="1" selected="0">
            <x v="28"/>
          </reference>
          <reference field="13" count="1">
            <x v="25"/>
          </reference>
        </references>
      </pivotArea>
    </format>
    <format dxfId="1754">
      <pivotArea dataOnly="0" labelOnly="1" outline="0" fieldPosition="0">
        <references count="6">
          <reference field="0" count="1" selected="0">
            <x v="235"/>
          </reference>
          <reference field="1" count="1" selected="0">
            <x v="191"/>
          </reference>
          <reference field="2" count="1" selected="0">
            <x v="155"/>
          </reference>
          <reference field="3" count="1" selected="0">
            <x v="0"/>
          </reference>
          <reference field="12" count="1" selected="0">
            <x v="3"/>
          </reference>
          <reference field="13" count="1">
            <x v="0"/>
          </reference>
        </references>
      </pivotArea>
    </format>
    <format dxfId="1753">
      <pivotArea dataOnly="0" labelOnly="1" outline="0" fieldPosition="0">
        <references count="6">
          <reference field="0" count="1" selected="0">
            <x v="236"/>
          </reference>
          <reference field="1" count="1" selected="0">
            <x v="192"/>
          </reference>
          <reference field="2" count="1" selected="0">
            <x v="27"/>
          </reference>
          <reference field="3" count="1" selected="0">
            <x v="0"/>
          </reference>
          <reference field="12" count="1" selected="0">
            <x v="3"/>
          </reference>
          <reference field="13" count="1">
            <x v="0"/>
          </reference>
        </references>
      </pivotArea>
    </format>
    <format dxfId="1752">
      <pivotArea dataOnly="0" labelOnly="1" outline="0" fieldPosition="0">
        <references count="6">
          <reference field="0" count="1" selected="0">
            <x v="237"/>
          </reference>
          <reference field="1" count="1" selected="0">
            <x v="193"/>
          </reference>
          <reference field="2" count="1" selected="0">
            <x v="89"/>
          </reference>
          <reference field="3" count="1" selected="0">
            <x v="0"/>
          </reference>
          <reference field="12" count="1" selected="0">
            <x v="3"/>
          </reference>
          <reference field="13" count="1">
            <x v="0"/>
          </reference>
        </references>
      </pivotArea>
    </format>
    <format dxfId="1751">
      <pivotArea dataOnly="0" labelOnly="1" outline="0" fieldPosition="0">
        <references count="6">
          <reference field="0" count="1" selected="0">
            <x v="238"/>
          </reference>
          <reference field="1" count="1" selected="0">
            <x v="194"/>
          </reference>
          <reference field="2" count="1" selected="0">
            <x v="25"/>
          </reference>
          <reference field="3" count="1" selected="0">
            <x v="0"/>
          </reference>
          <reference field="12" count="1" selected="0">
            <x v="0"/>
          </reference>
          <reference field="13" count="1">
            <x v="0"/>
          </reference>
        </references>
      </pivotArea>
    </format>
    <format dxfId="1750">
      <pivotArea dataOnly="0" labelOnly="1" outline="0" fieldPosition="0">
        <references count="6">
          <reference field="0" count="1" selected="0">
            <x v="239"/>
          </reference>
          <reference field="1" count="1" selected="0">
            <x v="195"/>
          </reference>
          <reference field="2" count="1" selected="0">
            <x v="28"/>
          </reference>
          <reference field="3" count="1" selected="0">
            <x v="0"/>
          </reference>
          <reference field="12" count="1" selected="0">
            <x v="0"/>
          </reference>
          <reference field="13" count="1">
            <x v="0"/>
          </reference>
        </references>
      </pivotArea>
    </format>
    <format dxfId="1749">
      <pivotArea dataOnly="0" labelOnly="1" outline="0" fieldPosition="0">
        <references count="6">
          <reference field="0" count="1" selected="0">
            <x v="240"/>
          </reference>
          <reference field="1" count="1" selected="0">
            <x v="196"/>
          </reference>
          <reference field="2" count="1" selected="0">
            <x v="40"/>
          </reference>
          <reference field="3" count="1" selected="0">
            <x v="0"/>
          </reference>
          <reference field="12" count="1" selected="0">
            <x v="3"/>
          </reference>
          <reference field="13" count="1">
            <x v="0"/>
          </reference>
        </references>
      </pivotArea>
    </format>
    <format dxfId="1748">
      <pivotArea dataOnly="0" labelOnly="1" outline="0" fieldPosition="0">
        <references count="6">
          <reference field="0" count="1" selected="0">
            <x v="241"/>
          </reference>
          <reference field="1" count="1" selected="0">
            <x v="197"/>
          </reference>
          <reference field="2" count="1" selected="0">
            <x v="195"/>
          </reference>
          <reference field="3" count="1" selected="0">
            <x v="0"/>
          </reference>
          <reference field="12" count="1" selected="0">
            <x v="0"/>
          </reference>
          <reference field="13" count="1">
            <x v="0"/>
          </reference>
        </references>
      </pivotArea>
    </format>
    <format dxfId="1747">
      <pivotArea dataOnly="0" labelOnly="1" outline="0" fieldPosition="0">
        <references count="6">
          <reference field="0" count="1" selected="0">
            <x v="242"/>
          </reference>
          <reference field="1" count="1" selected="0">
            <x v="198"/>
          </reference>
          <reference field="2" count="1" selected="0">
            <x v="132"/>
          </reference>
          <reference field="3" count="1" selected="0">
            <x v="0"/>
          </reference>
          <reference field="12" count="1" selected="0">
            <x v="6"/>
          </reference>
          <reference field="13" count="1">
            <x v="0"/>
          </reference>
        </references>
      </pivotArea>
    </format>
    <format dxfId="1746">
      <pivotArea dataOnly="0" labelOnly="1" outline="0" fieldPosition="0">
        <references count="7">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x v="38"/>
          </reference>
        </references>
      </pivotArea>
    </format>
    <format dxfId="1745">
      <pivotArea dataOnly="0" labelOnly="1" outline="0" fieldPosition="0">
        <references count="7">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x v="0"/>
          </reference>
        </references>
      </pivotArea>
    </format>
    <format dxfId="1744">
      <pivotArea dataOnly="0" labelOnly="1" outline="0" fieldPosition="0">
        <references count="7">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x v="35"/>
          </reference>
        </references>
      </pivotArea>
    </format>
    <format dxfId="1743">
      <pivotArea dataOnly="0" labelOnly="1" outline="0" fieldPosition="0">
        <references count="7">
          <reference field="0" count="1" selected="0">
            <x v="4"/>
          </reference>
          <reference field="1" count="1" selected="0">
            <x v="232"/>
          </reference>
          <reference field="2" count="1" selected="0">
            <x v="90"/>
          </reference>
          <reference field="3" count="1" selected="0">
            <x v="0"/>
          </reference>
          <reference field="12" count="1" selected="0">
            <x v="3"/>
          </reference>
          <reference field="13" count="1" selected="0">
            <x v="0"/>
          </reference>
          <reference field="14" count="1">
            <x v="35"/>
          </reference>
        </references>
      </pivotArea>
    </format>
    <format dxfId="1742">
      <pivotArea dataOnly="0" labelOnly="1" outline="0" fieldPosition="0">
        <references count="7">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x v="38"/>
          </reference>
        </references>
      </pivotArea>
    </format>
    <format dxfId="1741">
      <pivotArea dataOnly="0" labelOnly="1" outline="0" fieldPosition="0">
        <references count="7">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x v="28"/>
          </reference>
        </references>
      </pivotArea>
    </format>
    <format dxfId="1740">
      <pivotArea dataOnly="0" labelOnly="1" outline="0" fieldPosition="0">
        <references count="7">
          <reference field="0" count="1" selected="0">
            <x v="9"/>
          </reference>
          <reference field="1" count="1" selected="0">
            <x v="120"/>
          </reference>
          <reference field="2" count="1" selected="0">
            <x v="168"/>
          </reference>
          <reference field="3" count="1" selected="0">
            <x v="0"/>
          </reference>
          <reference field="12" count="1" selected="0">
            <x v="0"/>
          </reference>
          <reference field="13" count="1" selected="0">
            <x v="0"/>
          </reference>
          <reference field="14" count="1">
            <x v="28"/>
          </reference>
        </references>
      </pivotArea>
    </format>
    <format dxfId="1739">
      <pivotArea dataOnly="0" labelOnly="1" outline="0" fieldPosition="0">
        <references count="7">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x v="38"/>
          </reference>
        </references>
      </pivotArea>
    </format>
    <format dxfId="1738">
      <pivotArea dataOnly="0" labelOnly="1" outline="0" fieldPosition="0">
        <references count="7">
          <reference field="0" count="1" selected="0">
            <x v="11"/>
          </reference>
          <reference field="1" count="1" selected="0">
            <x v="122"/>
          </reference>
          <reference field="2" count="1" selected="0">
            <x v="26"/>
          </reference>
          <reference field="3" count="1" selected="0">
            <x v="0"/>
          </reference>
          <reference field="12" count="1" selected="0">
            <x v="0"/>
          </reference>
          <reference field="13" count="1" selected="0">
            <x v="0"/>
          </reference>
          <reference field="14" count="1">
            <x v="38"/>
          </reference>
        </references>
      </pivotArea>
    </format>
    <format dxfId="1737">
      <pivotArea dataOnly="0" labelOnly="1" outline="0" fieldPosition="0">
        <references count="7">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x v="40"/>
          </reference>
        </references>
      </pivotArea>
    </format>
    <format dxfId="1736">
      <pivotArea dataOnly="0" labelOnly="1" outline="0" fieldPosition="0">
        <references count="7">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x v="38"/>
          </reference>
        </references>
      </pivotArea>
    </format>
    <format dxfId="1735">
      <pivotArea dataOnly="0" labelOnly="1" outline="0" fieldPosition="0">
        <references count="7">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x v="1"/>
          </reference>
        </references>
      </pivotArea>
    </format>
    <format dxfId="1734">
      <pivotArea dataOnly="0" labelOnly="1" outline="0" fieldPosition="0">
        <references count="7">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x v="1"/>
          </reference>
        </references>
      </pivotArea>
    </format>
    <format dxfId="1733">
      <pivotArea dataOnly="0" labelOnly="1" outline="0" fieldPosition="0">
        <references count="7">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x v="3"/>
          </reference>
        </references>
      </pivotArea>
    </format>
    <format dxfId="1732">
      <pivotArea dataOnly="0" labelOnly="1" outline="0" fieldPosition="0">
        <references count="7">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x v="19"/>
          </reference>
        </references>
      </pivotArea>
    </format>
    <format dxfId="1731">
      <pivotArea dataOnly="0" labelOnly="1" outline="0" fieldPosition="0">
        <references count="7">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x v="13"/>
          </reference>
        </references>
      </pivotArea>
    </format>
    <format dxfId="1730">
      <pivotArea dataOnly="0" labelOnly="1" outline="0" fieldPosition="0">
        <references count="7">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x v="15"/>
          </reference>
        </references>
      </pivotArea>
    </format>
    <format dxfId="1729">
      <pivotArea dataOnly="0" labelOnly="1" outline="0" fieldPosition="0">
        <references count="7">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x v="61"/>
          </reference>
        </references>
      </pivotArea>
    </format>
    <format dxfId="1728">
      <pivotArea dataOnly="0" labelOnly="1" outline="0" fieldPosition="0">
        <references count="7">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x v="2"/>
          </reference>
        </references>
      </pivotArea>
    </format>
    <format dxfId="1727">
      <pivotArea dataOnly="0" labelOnly="1" outline="0" fieldPosition="0">
        <references count="7">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x v="62"/>
          </reference>
        </references>
      </pivotArea>
    </format>
    <format dxfId="1726">
      <pivotArea dataOnly="0" labelOnly="1" outline="0" fieldPosition="0">
        <references count="7">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x v="62"/>
          </reference>
        </references>
      </pivotArea>
    </format>
    <format dxfId="1725">
      <pivotArea dataOnly="0" labelOnly="1" outline="0" fieldPosition="0">
        <references count="7">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x v="58"/>
          </reference>
        </references>
      </pivotArea>
    </format>
    <format dxfId="1724">
      <pivotArea dataOnly="0" labelOnly="1" outline="0" fieldPosition="0">
        <references count="7">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x v="56"/>
          </reference>
        </references>
      </pivotArea>
    </format>
    <format dxfId="1723">
      <pivotArea dataOnly="0" labelOnly="1" outline="0" fieldPosition="0">
        <references count="7">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x v="56"/>
          </reference>
        </references>
      </pivotArea>
    </format>
    <format dxfId="1722">
      <pivotArea dataOnly="0" labelOnly="1" outline="0" fieldPosition="0">
        <references count="7">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x v="56"/>
          </reference>
        </references>
      </pivotArea>
    </format>
    <format dxfId="1721">
      <pivotArea dataOnly="0" labelOnly="1" outline="0" fieldPosition="0">
        <references count="7">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x v="56"/>
          </reference>
        </references>
      </pivotArea>
    </format>
    <format dxfId="1720">
      <pivotArea dataOnly="0" labelOnly="1" outline="0" fieldPosition="0">
        <references count="7">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x v="56"/>
          </reference>
        </references>
      </pivotArea>
    </format>
    <format dxfId="1719">
      <pivotArea dataOnly="0" labelOnly="1" outline="0" fieldPosition="0">
        <references count="7">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x v="66"/>
          </reference>
        </references>
      </pivotArea>
    </format>
    <format dxfId="1718">
      <pivotArea dataOnly="0" labelOnly="1" outline="0" fieldPosition="0">
        <references count="7">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x v="34"/>
          </reference>
        </references>
      </pivotArea>
    </format>
    <format dxfId="1717">
      <pivotArea dataOnly="0" labelOnly="1" outline="0" fieldPosition="0">
        <references count="7">
          <reference field="0" count="1" selected="0">
            <x v="56"/>
          </reference>
          <reference field="1" count="1" selected="0">
            <x v="36"/>
          </reference>
          <reference field="2" count="1" selected="0">
            <x v="183"/>
          </reference>
          <reference field="3" count="1" selected="0">
            <x v="0"/>
          </reference>
          <reference field="12" count="1" selected="0">
            <x v="3"/>
          </reference>
          <reference field="13" count="1" selected="0">
            <x v="0"/>
          </reference>
          <reference field="14" count="1">
            <x v="34"/>
          </reference>
        </references>
      </pivotArea>
    </format>
    <format dxfId="1716">
      <pivotArea dataOnly="0" labelOnly="1" outline="0" fieldPosition="0">
        <references count="7">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x v="47"/>
          </reference>
        </references>
      </pivotArea>
    </format>
    <format dxfId="1715">
      <pivotArea dataOnly="0" labelOnly="1" outline="0" fieldPosition="0">
        <references count="7">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x v="37"/>
          </reference>
        </references>
      </pivotArea>
    </format>
    <format dxfId="1714">
      <pivotArea dataOnly="0" labelOnly="1" outline="0" fieldPosition="0">
        <references count="7">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x v="36"/>
          </reference>
        </references>
      </pivotArea>
    </format>
    <format dxfId="1713">
      <pivotArea dataOnly="0" labelOnly="1" outline="0" fieldPosition="0">
        <references count="7">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x v="0"/>
          </reference>
        </references>
      </pivotArea>
    </format>
    <format dxfId="1712">
      <pivotArea dataOnly="0" labelOnly="1" outline="0" fieldPosition="0">
        <references count="7">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x v="14"/>
          </reference>
        </references>
      </pivotArea>
    </format>
    <format dxfId="1711">
      <pivotArea dataOnly="0" labelOnly="1" outline="0" fieldPosition="0">
        <references count="7">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x v="14"/>
          </reference>
        </references>
      </pivotArea>
    </format>
    <format dxfId="1710">
      <pivotArea dataOnly="0" labelOnly="1" outline="0" fieldPosition="0">
        <references count="7">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x v="14"/>
          </reference>
        </references>
      </pivotArea>
    </format>
    <format dxfId="1709">
      <pivotArea dataOnly="0" labelOnly="1" outline="0" fieldPosition="0">
        <references count="7">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x v="0"/>
          </reference>
        </references>
      </pivotArea>
    </format>
    <format dxfId="1708">
      <pivotArea dataOnly="0" labelOnly="1" outline="0" fieldPosition="0">
        <references count="7">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x v="0"/>
          </reference>
        </references>
      </pivotArea>
    </format>
    <format dxfId="1707">
      <pivotArea dataOnly="0" labelOnly="1" outline="0" fieldPosition="0">
        <references count="7">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x v="0"/>
          </reference>
        </references>
      </pivotArea>
    </format>
    <format dxfId="1706">
      <pivotArea dataOnly="0" labelOnly="1" outline="0" fieldPosition="0">
        <references count="7">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x v="4"/>
          </reference>
        </references>
      </pivotArea>
    </format>
    <format dxfId="1705">
      <pivotArea dataOnly="0" labelOnly="1" outline="0" fieldPosition="0">
        <references count="7">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x v="53"/>
          </reference>
        </references>
      </pivotArea>
    </format>
    <format dxfId="1704">
      <pivotArea dataOnly="0" labelOnly="1" outline="0" fieldPosition="0">
        <references count="7">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x v="53"/>
          </reference>
        </references>
      </pivotArea>
    </format>
    <format dxfId="1703">
      <pivotArea dataOnly="0" labelOnly="1" outline="0" fieldPosition="0">
        <references count="7">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x v="25"/>
          </reference>
        </references>
      </pivotArea>
    </format>
    <format dxfId="1702">
      <pivotArea dataOnly="0" labelOnly="1" outline="0" fieldPosition="0">
        <references count="7">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x v="0"/>
          </reference>
        </references>
      </pivotArea>
    </format>
    <format dxfId="1701">
      <pivotArea dataOnly="0" labelOnly="1" outline="0" fieldPosition="0">
        <references count="7">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x v="50"/>
          </reference>
        </references>
      </pivotArea>
    </format>
    <format dxfId="1700">
      <pivotArea dataOnly="0" labelOnly="1" outline="0" fieldPosition="0">
        <references count="7">
          <reference field="0" count="1" selected="0">
            <x v="90"/>
          </reference>
          <reference field="1" count="1" selected="0">
            <x v="77"/>
          </reference>
          <reference field="2" count="1" selected="0">
            <x v="43"/>
          </reference>
          <reference field="3" count="1" selected="0">
            <x v="0"/>
          </reference>
          <reference field="12" count="1" selected="0">
            <x v="7"/>
          </reference>
          <reference field="13" count="1" selected="0">
            <x v="0"/>
          </reference>
          <reference field="14" count="1">
            <x v="50"/>
          </reference>
        </references>
      </pivotArea>
    </format>
    <format dxfId="1699">
      <pivotArea dataOnly="0" labelOnly="1" outline="0" fieldPosition="0">
        <references count="7">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x v="50"/>
          </reference>
        </references>
      </pivotArea>
    </format>
    <format dxfId="1698">
      <pivotArea dataOnly="0" labelOnly="1" outline="0" fieldPosition="0">
        <references count="7">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x v="49"/>
          </reference>
        </references>
      </pivotArea>
    </format>
    <format dxfId="1697">
      <pivotArea dataOnly="0" labelOnly="1" outline="0" fieldPosition="0">
        <references count="7">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x v="49"/>
          </reference>
        </references>
      </pivotArea>
    </format>
    <format dxfId="1696">
      <pivotArea dataOnly="0" labelOnly="1" outline="0" fieldPosition="0">
        <references count="7">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x v="49"/>
          </reference>
        </references>
      </pivotArea>
    </format>
    <format dxfId="1695">
      <pivotArea dataOnly="0" labelOnly="1" outline="0" fieldPosition="0">
        <references count="7">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x v="16"/>
          </reference>
        </references>
      </pivotArea>
    </format>
    <format dxfId="1694">
      <pivotArea dataOnly="0" labelOnly="1" outline="0" fieldPosition="0">
        <references count="7">
          <reference field="0" count="1" selected="0">
            <x v="97"/>
          </reference>
          <reference field="1" count="1" selected="0">
            <x v="84"/>
          </reference>
          <reference field="2" count="1" selected="0">
            <x v="6"/>
          </reference>
          <reference field="3" count="1" selected="0">
            <x v="0"/>
          </reference>
          <reference field="12" count="1" selected="0">
            <x v="3"/>
          </reference>
          <reference field="13" count="1" selected="0">
            <x v="0"/>
          </reference>
          <reference field="14" count="1">
            <x v="16"/>
          </reference>
        </references>
      </pivotArea>
    </format>
    <format dxfId="1693">
      <pivotArea dataOnly="0" labelOnly="1" outline="0" fieldPosition="0">
        <references count="7">
          <reference field="0" count="1" selected="0">
            <x v="98"/>
          </reference>
          <reference field="1" count="1" selected="0">
            <x v="85"/>
          </reference>
          <reference field="2" count="1" selected="0">
            <x v="214"/>
          </reference>
          <reference field="3" count="1" selected="0">
            <x v="0"/>
          </reference>
          <reference field="12" count="1" selected="0">
            <x v="3"/>
          </reference>
          <reference field="13" count="1" selected="0">
            <x v="0"/>
          </reference>
          <reference field="14" count="1">
            <x v="16"/>
          </reference>
        </references>
      </pivotArea>
    </format>
    <format dxfId="1692">
      <pivotArea dataOnly="0" labelOnly="1" outline="0" fieldPosition="0">
        <references count="7">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x v="16"/>
          </reference>
        </references>
      </pivotArea>
    </format>
    <format dxfId="1691">
      <pivotArea dataOnly="0" labelOnly="1" outline="0" fieldPosition="0">
        <references count="7">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x v="16"/>
          </reference>
        </references>
      </pivotArea>
    </format>
    <format dxfId="1690">
      <pivotArea dataOnly="0" labelOnly="1" outline="0" fieldPosition="0">
        <references count="7">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x v="6"/>
          </reference>
        </references>
      </pivotArea>
    </format>
    <format dxfId="1689">
      <pivotArea dataOnly="0" labelOnly="1" outline="0" fieldPosition="0">
        <references count="7">
          <reference field="0" count="1" selected="0">
            <x v="102"/>
          </reference>
          <reference field="1" count="1" selected="0">
            <x v="89"/>
          </reference>
          <reference field="2" count="1" selected="0">
            <x v="14"/>
          </reference>
          <reference field="3" count="1" selected="0">
            <x v="0"/>
          </reference>
          <reference field="12" count="1" selected="0">
            <x v="3"/>
          </reference>
          <reference field="13" count="1" selected="0">
            <x v="0"/>
          </reference>
          <reference field="14" count="1">
            <x v="16"/>
          </reference>
        </references>
      </pivotArea>
    </format>
    <format dxfId="1688">
      <pivotArea dataOnly="0" labelOnly="1" outline="0" fieldPosition="0">
        <references count="7">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x v="16"/>
          </reference>
        </references>
      </pivotArea>
    </format>
    <format dxfId="1687">
      <pivotArea dataOnly="0" labelOnly="1" outline="0" fieldPosition="0">
        <references count="7">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x v="16"/>
          </reference>
        </references>
      </pivotArea>
    </format>
    <format dxfId="1686">
      <pivotArea dataOnly="0" labelOnly="1" outline="0" fieldPosition="0">
        <references count="7">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x v="16"/>
          </reference>
        </references>
      </pivotArea>
    </format>
    <format dxfId="1685">
      <pivotArea dataOnly="0" labelOnly="1" outline="0" fieldPosition="0">
        <references count="7">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x v="54"/>
          </reference>
        </references>
      </pivotArea>
    </format>
    <format dxfId="1684">
      <pivotArea dataOnly="0" labelOnly="1" outline="0" fieldPosition="0">
        <references count="7">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x v="55"/>
          </reference>
        </references>
      </pivotArea>
    </format>
    <format dxfId="1683">
      <pivotArea dataOnly="0" labelOnly="1" outline="0" fieldPosition="0">
        <references count="7">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x v="55"/>
          </reference>
        </references>
      </pivotArea>
    </format>
    <format dxfId="1682">
      <pivotArea dataOnly="0" labelOnly="1" outline="0" fieldPosition="0">
        <references count="7">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x v="4"/>
          </reference>
        </references>
      </pivotArea>
    </format>
    <format dxfId="1681">
      <pivotArea dataOnly="0" labelOnly="1" outline="0" fieldPosition="0">
        <references count="7">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x v="4"/>
          </reference>
        </references>
      </pivotArea>
    </format>
    <format dxfId="1680">
      <pivotArea dataOnly="0" labelOnly="1" outline="0" fieldPosition="0">
        <references count="7">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x v="7"/>
          </reference>
        </references>
      </pivotArea>
    </format>
    <format dxfId="1679">
      <pivotArea dataOnly="0" labelOnly="1" outline="0" fieldPosition="0">
        <references count="7">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x v="11"/>
          </reference>
        </references>
      </pivotArea>
    </format>
    <format dxfId="1678">
      <pivotArea dataOnly="0" labelOnly="1" outline="0" fieldPosition="0">
        <references count="7">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x v="38"/>
          </reference>
        </references>
      </pivotArea>
    </format>
    <format dxfId="1677">
      <pivotArea dataOnly="0" labelOnly="1" outline="0" fieldPosition="0">
        <references count="7">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x v="34"/>
          </reference>
        </references>
      </pivotArea>
    </format>
    <format dxfId="1676">
      <pivotArea dataOnly="0" labelOnly="1" outline="0" fieldPosition="0">
        <references count="7">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x v="34"/>
          </reference>
        </references>
      </pivotArea>
    </format>
    <format dxfId="1675">
      <pivotArea dataOnly="0" labelOnly="1" outline="0" fieldPosition="0">
        <references count="7">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x v="37"/>
          </reference>
        </references>
      </pivotArea>
    </format>
    <format dxfId="1674">
      <pivotArea dataOnly="0" labelOnly="1" outline="0" fieldPosition="0">
        <references count="7">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x v="36"/>
          </reference>
        </references>
      </pivotArea>
    </format>
    <format dxfId="1673">
      <pivotArea dataOnly="0" labelOnly="1" outline="0" fieldPosition="0">
        <references count="7">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x v="37"/>
          </reference>
        </references>
      </pivotArea>
    </format>
    <format dxfId="1672">
      <pivotArea dataOnly="0" labelOnly="1" outline="0" fieldPosition="0">
        <references count="7">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x v="37"/>
          </reference>
        </references>
      </pivotArea>
    </format>
    <format dxfId="1671">
      <pivotArea dataOnly="0" labelOnly="1" outline="0" fieldPosition="0">
        <references count="7">
          <reference field="0" count="1" selected="0">
            <x v="130"/>
          </reference>
          <reference field="1" count="1" selected="0">
            <x v="117"/>
          </reference>
          <reference field="2" count="1" selected="0">
            <x v="118"/>
          </reference>
          <reference field="3" count="1" selected="0">
            <x v="0"/>
          </reference>
          <reference field="12" count="1" selected="0">
            <x v="7"/>
          </reference>
          <reference field="13" count="1" selected="0">
            <x v="0"/>
          </reference>
          <reference field="14" count="1">
            <x v="37"/>
          </reference>
        </references>
      </pivotArea>
    </format>
    <format dxfId="1670">
      <pivotArea dataOnly="0" labelOnly="1" outline="0" fieldPosition="0">
        <references count="7">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x v="34"/>
          </reference>
        </references>
      </pivotArea>
    </format>
    <format dxfId="1669">
      <pivotArea dataOnly="0" labelOnly="1" outline="0" fieldPosition="0">
        <references count="7">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x v="37"/>
          </reference>
        </references>
      </pivotArea>
    </format>
    <format dxfId="1668">
      <pivotArea dataOnly="0" labelOnly="1" outline="0" fieldPosition="0">
        <references count="7">
          <reference field="0" count="1" selected="0">
            <x v="136"/>
          </reference>
          <reference field="1" count="1" selected="0">
            <x v="129"/>
          </reference>
          <reference field="2" count="1" selected="0">
            <x v="219"/>
          </reference>
          <reference field="3" count="1" selected="0">
            <x v="0"/>
          </reference>
          <reference field="12" count="1" selected="0">
            <x v="3"/>
          </reference>
          <reference field="13" count="1" selected="0">
            <x v="0"/>
          </reference>
          <reference field="14" count="1">
            <x v="37"/>
          </reference>
        </references>
      </pivotArea>
    </format>
    <format dxfId="1667">
      <pivotArea dataOnly="0" labelOnly="1" outline="0" fieldPosition="0">
        <references count="7">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x v="0"/>
          </reference>
        </references>
      </pivotArea>
    </format>
    <format dxfId="1666">
      <pivotArea dataOnly="0" labelOnly="1" outline="0" fieldPosition="0">
        <references count="7">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x v="23"/>
          </reference>
        </references>
      </pivotArea>
    </format>
    <format dxfId="1665">
      <pivotArea dataOnly="0" labelOnly="1" outline="0" fieldPosition="0">
        <references count="7">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x v="22"/>
          </reference>
        </references>
      </pivotArea>
    </format>
    <format dxfId="1664">
      <pivotArea dataOnly="0" labelOnly="1" outline="0" fieldPosition="0">
        <references count="7">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x v="14"/>
          </reference>
        </references>
      </pivotArea>
    </format>
    <format dxfId="1663">
      <pivotArea dataOnly="0" labelOnly="1" outline="0" fieldPosition="0">
        <references count="7">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x v="24"/>
          </reference>
        </references>
      </pivotArea>
    </format>
    <format dxfId="1662">
      <pivotArea dataOnly="0" labelOnly="1" outline="0" fieldPosition="0">
        <references count="7">
          <reference field="0" count="1" selected="0">
            <x v="150"/>
          </reference>
          <reference field="1" count="1" selected="0">
            <x v="143"/>
          </reference>
          <reference field="2" count="1" selected="0">
            <x v="166"/>
          </reference>
          <reference field="3" count="1" selected="0">
            <x v="0"/>
          </reference>
          <reference field="12" count="1" selected="0">
            <x v="14"/>
          </reference>
          <reference field="13" count="1" selected="0">
            <x v="0"/>
          </reference>
          <reference field="14" count="1">
            <x v="24"/>
          </reference>
        </references>
      </pivotArea>
    </format>
    <format dxfId="1661">
      <pivotArea dataOnly="0" labelOnly="1" outline="0" fieldPosition="0">
        <references count="7">
          <reference field="0" count="1" selected="0">
            <x v="151"/>
          </reference>
          <reference field="1" count="1" selected="0">
            <x v="144"/>
          </reference>
          <reference field="2" count="1" selected="0">
            <x v="85"/>
          </reference>
          <reference field="3" count="1" selected="0">
            <x v="0"/>
          </reference>
          <reference field="12" count="1" selected="0">
            <x v="14"/>
          </reference>
          <reference field="13" count="1" selected="0">
            <x v="0"/>
          </reference>
          <reference field="14" count="1">
            <x v="24"/>
          </reference>
        </references>
      </pivotArea>
    </format>
    <format dxfId="1660">
      <pivotArea dataOnly="0" labelOnly="1" outline="0" fieldPosition="0">
        <references count="7">
          <reference field="0" count="1" selected="0">
            <x v="152"/>
          </reference>
          <reference field="1" count="1" selected="0">
            <x v="145"/>
          </reference>
          <reference field="2" count="1" selected="0">
            <x v="86"/>
          </reference>
          <reference field="3" count="1" selected="0">
            <x v="0"/>
          </reference>
          <reference field="12" count="1" selected="0">
            <x v="14"/>
          </reference>
          <reference field="13" count="1" selected="0">
            <x v="0"/>
          </reference>
          <reference field="14" count="1">
            <x v="24"/>
          </reference>
        </references>
      </pivotArea>
    </format>
    <format dxfId="1659">
      <pivotArea dataOnly="0" labelOnly="1" outline="0" fieldPosition="0">
        <references count="7">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x v="18"/>
          </reference>
        </references>
      </pivotArea>
    </format>
    <format dxfId="1658">
      <pivotArea dataOnly="0" labelOnly="1" outline="0" fieldPosition="0">
        <references count="7">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x v="18"/>
          </reference>
        </references>
      </pivotArea>
    </format>
    <format dxfId="1657">
      <pivotArea dataOnly="0" labelOnly="1" outline="0" fieldPosition="0">
        <references count="7">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x v="18"/>
          </reference>
        </references>
      </pivotArea>
    </format>
    <format dxfId="1656">
      <pivotArea dataOnly="0" labelOnly="1" outline="0" fieldPosition="0">
        <references count="7">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x v="51"/>
          </reference>
        </references>
      </pivotArea>
    </format>
    <format dxfId="1655">
      <pivotArea dataOnly="0" labelOnly="1" outline="0" fieldPosition="0">
        <references count="7">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x v="52"/>
          </reference>
        </references>
      </pivotArea>
    </format>
    <format dxfId="1654">
      <pivotArea dataOnly="0" labelOnly="1" outline="0" fieldPosition="0">
        <references count="7">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x v="52"/>
          </reference>
        </references>
      </pivotArea>
    </format>
    <format dxfId="1653">
      <pivotArea dataOnly="0" labelOnly="1" outline="0" fieldPosition="0">
        <references count="7">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x v="65"/>
          </reference>
        </references>
      </pivotArea>
    </format>
    <format dxfId="1652">
      <pivotArea dataOnly="0" labelOnly="1" outline="0" fieldPosition="0">
        <references count="7">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x v="26"/>
          </reference>
        </references>
      </pivotArea>
    </format>
    <format dxfId="1651">
      <pivotArea dataOnly="0" labelOnly="1" outline="0" fieldPosition="0">
        <references count="7">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x v="21"/>
          </reference>
        </references>
      </pivotArea>
    </format>
    <format dxfId="1650">
      <pivotArea dataOnly="0" labelOnly="1" outline="0" fieldPosition="0">
        <references count="7">
          <reference field="0" count="1" selected="0">
            <x v="166"/>
          </reference>
          <reference field="1" count="1" selected="0">
            <x v="190"/>
          </reference>
          <reference field="2" count="1" selected="0">
            <x v="213"/>
          </reference>
          <reference field="3" count="1" selected="0">
            <x v="0"/>
          </reference>
          <reference field="12" count="1" selected="0">
            <x v="13"/>
          </reference>
          <reference field="13" count="1" selected="0">
            <x v="0"/>
          </reference>
          <reference field="14" count="1">
            <x v="21"/>
          </reference>
        </references>
      </pivotArea>
    </format>
    <format dxfId="1649">
      <pivotArea dataOnly="0" labelOnly="1" outline="0" fieldPosition="0">
        <references count="7">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x v="7"/>
          </reference>
        </references>
      </pivotArea>
    </format>
    <format dxfId="1648">
      <pivotArea dataOnly="0" labelOnly="1" outline="0" fieldPosition="0">
        <references count="7">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x v="52"/>
          </reference>
        </references>
      </pivotArea>
    </format>
    <format dxfId="1647">
      <pivotArea dataOnly="0" labelOnly="1" outline="0" fieldPosition="0">
        <references count="7">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x v="8"/>
          </reference>
        </references>
      </pivotArea>
    </format>
    <format dxfId="1646">
      <pivotArea dataOnly="0" labelOnly="1" outline="0" fieldPosition="0">
        <references count="7">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x v="20"/>
          </reference>
        </references>
      </pivotArea>
    </format>
    <format dxfId="1645">
      <pivotArea dataOnly="0" labelOnly="1" outline="0" fieldPosition="0">
        <references count="7">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x v="26"/>
          </reference>
        </references>
      </pivotArea>
    </format>
    <format dxfId="1644">
      <pivotArea dataOnly="0" labelOnly="1" outline="0" fieldPosition="0">
        <references count="7">
          <reference field="0" count="1" selected="0">
            <x v="176"/>
          </reference>
          <reference field="1" count="1" selected="0">
            <x v="208"/>
          </reference>
          <reference field="2" count="1" selected="0">
            <x v="215"/>
          </reference>
          <reference field="3" count="1" selected="0">
            <x v="0"/>
          </reference>
          <reference field="12" count="1" selected="0">
            <x v="20"/>
          </reference>
          <reference field="13" count="1" selected="0">
            <x v="0"/>
          </reference>
          <reference field="14" count="1">
            <x v="26"/>
          </reference>
        </references>
      </pivotArea>
    </format>
    <format dxfId="1643">
      <pivotArea dataOnly="0" labelOnly="1" outline="0" fieldPosition="0">
        <references count="7">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x v="27"/>
          </reference>
        </references>
      </pivotArea>
    </format>
    <format dxfId="1642">
      <pivotArea dataOnly="0" labelOnly="1" outline="0" fieldPosition="0">
        <references count="7">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x v="26"/>
          </reference>
        </references>
      </pivotArea>
    </format>
    <format dxfId="1641">
      <pivotArea dataOnly="0" labelOnly="1" outline="0" fieldPosition="0">
        <references count="7">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x v="26"/>
          </reference>
        </references>
      </pivotArea>
    </format>
    <format dxfId="1640">
      <pivotArea dataOnly="0" labelOnly="1" outline="0" fieldPosition="0">
        <references count="7">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x v="32"/>
          </reference>
        </references>
      </pivotArea>
    </format>
    <format dxfId="1639">
      <pivotArea dataOnly="0" labelOnly="1" outline="0" fieldPosition="0">
        <references count="7">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x v="38"/>
          </reference>
        </references>
      </pivotArea>
    </format>
    <format dxfId="1638">
      <pivotArea dataOnly="0" labelOnly="1" outline="0" fieldPosition="0">
        <references count="7">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x v="38"/>
          </reference>
        </references>
      </pivotArea>
    </format>
    <format dxfId="1637">
      <pivotArea dataOnly="0" labelOnly="1" outline="0" fieldPosition="0">
        <references count="7">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x v="38"/>
          </reference>
        </references>
      </pivotArea>
    </format>
    <format dxfId="1636">
      <pivotArea dataOnly="0" labelOnly="1" outline="0" fieldPosition="0">
        <references count="7">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x v="44"/>
          </reference>
        </references>
      </pivotArea>
    </format>
    <format dxfId="1635">
      <pivotArea dataOnly="0" labelOnly="1" outline="0" fieldPosition="0">
        <references count="7">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x v="45"/>
          </reference>
        </references>
      </pivotArea>
    </format>
    <format dxfId="1634">
      <pivotArea dataOnly="0" labelOnly="1" outline="0" fieldPosition="0">
        <references count="7">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x v="42"/>
          </reference>
        </references>
      </pivotArea>
    </format>
    <format dxfId="1633">
      <pivotArea dataOnly="0" labelOnly="1" outline="0" fieldPosition="0">
        <references count="7">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x v="46"/>
          </reference>
        </references>
      </pivotArea>
    </format>
    <format dxfId="1632">
      <pivotArea dataOnly="0" labelOnly="1" outline="0" fieldPosition="0">
        <references count="7">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x v="46"/>
          </reference>
        </references>
      </pivotArea>
    </format>
    <format dxfId="1631">
      <pivotArea dataOnly="0" labelOnly="1" outline="0" fieldPosition="0">
        <references count="7">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x v="63"/>
          </reference>
        </references>
      </pivotArea>
    </format>
    <format dxfId="1630">
      <pivotArea dataOnly="0" labelOnly="1" outline="0" fieldPosition="0">
        <references count="7">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x v="38"/>
          </reference>
        </references>
      </pivotArea>
    </format>
    <format dxfId="1629">
      <pivotArea dataOnly="0" labelOnly="1" outline="0" fieldPosition="0">
        <references count="7">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x v="0"/>
          </reference>
        </references>
      </pivotArea>
    </format>
    <format dxfId="1628">
      <pivotArea dataOnly="0" labelOnly="1" outline="0" fieldPosition="0">
        <references count="7">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x v="0"/>
          </reference>
        </references>
      </pivotArea>
    </format>
    <format dxfId="1627">
      <pivotArea dataOnly="0" labelOnly="1" outline="0" fieldPosition="0">
        <references count="7">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x v="20"/>
          </reference>
        </references>
      </pivotArea>
    </format>
    <format dxfId="1626">
      <pivotArea dataOnly="0" labelOnly="1" outline="0" fieldPosition="0">
        <references count="7">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x v="0"/>
          </reference>
        </references>
      </pivotArea>
    </format>
    <format dxfId="1625">
      <pivotArea dataOnly="0" labelOnly="1" outline="0" fieldPosition="0">
        <references count="7">
          <reference field="0" count="1" selected="0">
            <x v="201"/>
          </reference>
          <reference field="1" count="1" selected="0">
            <x v="240"/>
          </reference>
          <reference field="2" count="1" selected="0">
            <x v="37"/>
          </reference>
          <reference field="3" count="1" selected="0">
            <x v="0"/>
          </reference>
          <reference field="12" count="1" selected="0">
            <x v="20"/>
          </reference>
          <reference field="13" count="1" selected="0">
            <x v="0"/>
          </reference>
          <reference field="14" count="1">
            <x v="0"/>
          </reference>
        </references>
      </pivotArea>
    </format>
    <format dxfId="1624">
      <pivotArea dataOnly="0" labelOnly="1" outline="0" fieldPosition="0">
        <references count="7">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x v="39"/>
          </reference>
        </references>
      </pivotArea>
    </format>
    <format dxfId="1623">
      <pivotArea dataOnly="0" labelOnly="1" outline="0" fieldPosition="0">
        <references count="7">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x v="38"/>
          </reference>
        </references>
      </pivotArea>
    </format>
    <format dxfId="1622">
      <pivotArea dataOnly="0" labelOnly="1" outline="0" fieldPosition="0">
        <references count="7">
          <reference field="0" count="1" selected="0">
            <x v="207"/>
          </reference>
          <reference field="1" count="1" selected="0">
            <x v="152"/>
          </reference>
          <reference field="2" count="1" selected="0">
            <x v="81"/>
          </reference>
          <reference field="3" count="1" selected="0">
            <x v="0"/>
          </reference>
          <reference field="12" count="1" selected="0">
            <x v="7"/>
          </reference>
          <reference field="13" count="1" selected="0">
            <x v="0"/>
          </reference>
          <reference field="14" count="1">
            <x v="38"/>
          </reference>
        </references>
      </pivotArea>
    </format>
    <format dxfId="1621">
      <pivotArea dataOnly="0" labelOnly="1" outline="0" fieldPosition="0">
        <references count="7">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x v="29"/>
          </reference>
        </references>
      </pivotArea>
    </format>
    <format dxfId="1620">
      <pivotArea dataOnly="0" labelOnly="1" outline="0" fieldPosition="0">
        <references count="7">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x v="31"/>
          </reference>
        </references>
      </pivotArea>
    </format>
    <format dxfId="1619">
      <pivotArea dataOnly="0" labelOnly="1" outline="0" fieldPosition="0">
        <references count="7">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x v="0"/>
          </reference>
        </references>
      </pivotArea>
    </format>
    <format dxfId="1618">
      <pivotArea dataOnly="0" labelOnly="1" outline="0" fieldPosition="0">
        <references count="7">
          <reference field="0" count="1" selected="0">
            <x v="211"/>
          </reference>
          <reference field="1" count="1" selected="0">
            <x v="156"/>
          </reference>
          <reference field="2" count="1" selected="0">
            <x v="164"/>
          </reference>
          <reference field="3" count="1" selected="0">
            <x v="0"/>
          </reference>
          <reference field="12" count="1" selected="0">
            <x v="20"/>
          </reference>
          <reference field="13" count="1" selected="0">
            <x v="3"/>
          </reference>
          <reference field="14" count="1">
            <x v="0"/>
          </reference>
        </references>
      </pivotArea>
    </format>
    <format dxfId="1617">
      <pivotArea dataOnly="0" labelOnly="1" outline="0" fieldPosition="0">
        <references count="7">
          <reference field="0" count="1" selected="0">
            <x v="212"/>
          </reference>
          <reference field="1" count="1" selected="0">
            <x v="157"/>
          </reference>
          <reference field="2" count="1" selected="0">
            <x v="170"/>
          </reference>
          <reference field="3" count="1" selected="0">
            <x v="0"/>
          </reference>
          <reference field="12" count="1" selected="0">
            <x v="20"/>
          </reference>
          <reference field="13" count="1" selected="0">
            <x v="4"/>
          </reference>
          <reference field="14" count="1">
            <x v="0"/>
          </reference>
        </references>
      </pivotArea>
    </format>
    <format dxfId="1616">
      <pivotArea dataOnly="0" labelOnly="1" outline="0" fieldPosition="0">
        <references count="7">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x v="66"/>
          </reference>
        </references>
      </pivotArea>
    </format>
    <format dxfId="1615">
      <pivotArea dataOnly="0" labelOnly="1" outline="0" fieldPosition="0">
        <references count="7">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x v="66"/>
          </reference>
        </references>
      </pivotArea>
    </format>
    <format dxfId="1614">
      <pivotArea dataOnly="0" labelOnly="1" outline="0" fieldPosition="0">
        <references count="7">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x v="66"/>
          </reference>
        </references>
      </pivotArea>
    </format>
    <format dxfId="1613">
      <pivotArea dataOnly="0" labelOnly="1" outline="0" fieldPosition="0">
        <references count="7">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x v="66"/>
          </reference>
        </references>
      </pivotArea>
    </format>
    <format dxfId="1612">
      <pivotArea dataOnly="0" labelOnly="1" outline="0" fieldPosition="0">
        <references count="7">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x v="0"/>
          </reference>
        </references>
      </pivotArea>
    </format>
    <format dxfId="1611">
      <pivotArea dataOnly="0" labelOnly="1" outline="0" fieldPosition="0">
        <references count="7">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x v="0"/>
          </reference>
        </references>
      </pivotArea>
    </format>
    <format dxfId="1610">
      <pivotArea dataOnly="0" labelOnly="1" outline="0" fieldPosition="0">
        <references count="7">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x v="57"/>
          </reference>
        </references>
      </pivotArea>
    </format>
    <format dxfId="1609">
      <pivotArea dataOnly="0" labelOnly="1" outline="0" fieldPosition="0">
        <references count="7">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x v="60"/>
          </reference>
        </references>
      </pivotArea>
    </format>
    <format dxfId="1608">
      <pivotArea dataOnly="0" labelOnly="1" outline="0" fieldPosition="0">
        <references count="7">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x v="0"/>
          </reference>
        </references>
      </pivotArea>
    </format>
    <format dxfId="1607">
      <pivotArea dataOnly="0" labelOnly="1" outline="0" fieldPosition="0">
        <references count="7">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x v="18"/>
          </reference>
        </references>
      </pivotArea>
    </format>
    <format dxfId="1606">
      <pivotArea dataOnly="0" labelOnly="1" outline="0" fieldPosition="0">
        <references count="7">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x v="18"/>
          </reference>
        </references>
      </pivotArea>
    </format>
    <format dxfId="1605">
      <pivotArea dataOnly="0" labelOnly="1" outline="0" fieldPosition="0">
        <references count="7">
          <reference field="0" count="1" selected="0">
            <x v="226"/>
          </reference>
          <reference field="1" count="1" selected="0">
            <x v="171"/>
          </reference>
          <reference field="2" count="1" selected="0">
            <x v="41"/>
          </reference>
          <reference field="3" count="1" selected="0">
            <x v="0"/>
          </reference>
          <reference field="12" count="1" selected="0">
            <x v="23"/>
          </reference>
          <reference field="13" count="1" selected="0">
            <x v="22"/>
          </reference>
          <reference field="14" count="1">
            <x v="18"/>
          </reference>
        </references>
      </pivotArea>
    </format>
    <format dxfId="1604">
      <pivotArea dataOnly="0" labelOnly="1" outline="0" fieldPosition="0">
        <references count="7">
          <reference field="0" count="1" selected="0">
            <x v="227"/>
          </reference>
          <reference field="1" count="1" selected="0">
            <x v="172"/>
          </reference>
          <reference field="2" count="1" selected="0">
            <x v="42"/>
          </reference>
          <reference field="3" count="1" selected="0">
            <x v="0"/>
          </reference>
          <reference field="12" count="1" selected="0">
            <x v="23"/>
          </reference>
          <reference field="13" count="1" selected="0">
            <x v="22"/>
          </reference>
          <reference field="14" count="1">
            <x v="18"/>
          </reference>
        </references>
      </pivotArea>
    </format>
    <format dxfId="1603">
      <pivotArea dataOnly="0" labelOnly="1" outline="0" fieldPosition="0">
        <references count="7">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x v="38"/>
          </reference>
        </references>
      </pivotArea>
    </format>
    <format dxfId="1602">
      <pivotArea dataOnly="0" labelOnly="1" outline="0" fieldPosition="0">
        <references count="7">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x v="34"/>
          </reference>
        </references>
      </pivotArea>
    </format>
    <format dxfId="1601">
      <pivotArea dataOnly="0" labelOnly="1" outline="0" fieldPosition="0">
        <references count="7">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x v="36"/>
          </reference>
        </references>
      </pivotArea>
    </format>
    <format dxfId="1600">
      <pivotArea dataOnly="0" labelOnly="1" outline="0" fieldPosition="0">
        <references count="7">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x v="38"/>
          </reference>
        </references>
      </pivotArea>
    </format>
    <format dxfId="1599">
      <pivotArea dataOnly="0" labelOnly="1" outline="0" fieldPosition="0">
        <references count="7">
          <reference field="0" count="1" selected="0">
            <x v="232"/>
          </reference>
          <reference field="1" count="1" selected="0">
            <x v="177"/>
          </reference>
          <reference field="2" count="1" selected="0">
            <x v="47"/>
          </reference>
          <reference field="3" count="1" selected="0">
            <x v="0"/>
          </reference>
          <reference field="12" count="1" selected="0">
            <x v="3"/>
          </reference>
          <reference field="13" count="1" selected="0">
            <x v="19"/>
          </reference>
          <reference field="14" count="1">
            <x v="38"/>
          </reference>
        </references>
      </pivotArea>
    </format>
    <format dxfId="1598">
      <pivotArea dataOnly="0" labelOnly="1" outline="0" fieldPosition="0">
        <references count="7">
          <reference field="0" count="1" selected="0">
            <x v="233"/>
          </reference>
          <reference field="1" count="1" selected="0">
            <x v="178"/>
          </reference>
          <reference field="2" count="1" selected="0">
            <x v="32"/>
          </reference>
          <reference field="3" count="1" selected="0">
            <x v="0"/>
          </reference>
          <reference field="12" count="1" selected="0">
            <x v="3"/>
          </reference>
          <reference field="13" count="1" selected="0">
            <x v="6"/>
          </reference>
          <reference field="14" count="1">
            <x v="38"/>
          </reference>
        </references>
      </pivotArea>
    </format>
    <format dxfId="1597">
      <pivotArea dataOnly="0" labelOnly="1" outline="0" fieldPosition="0">
        <references count="7">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x v="67"/>
          </reference>
        </references>
      </pivotArea>
    </format>
    <format dxfId="1596">
      <pivotArea dataOnly="0" labelOnly="1" outline="0" fieldPosition="0">
        <references count="7">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x v="38"/>
          </reference>
        </references>
      </pivotArea>
    </format>
    <format dxfId="1595">
      <pivotArea dataOnly="0" labelOnly="1" outline="0" fieldPosition="0">
        <references count="7">
          <reference field="0" count="1" selected="0">
            <x v="236"/>
          </reference>
          <reference field="1" count="1" selected="0">
            <x v="192"/>
          </reference>
          <reference field="2" count="1" selected="0">
            <x v="27"/>
          </reference>
          <reference field="3" count="1" selected="0">
            <x v="0"/>
          </reference>
          <reference field="12" count="1" selected="0">
            <x v="3"/>
          </reference>
          <reference field="13" count="1" selected="0">
            <x v="0"/>
          </reference>
          <reference field="14" count="1">
            <x v="38"/>
          </reference>
        </references>
      </pivotArea>
    </format>
    <format dxfId="1594">
      <pivotArea dataOnly="0" labelOnly="1" outline="0" fieldPosition="0">
        <references count="7">
          <reference field="0" count="1" selected="0">
            <x v="237"/>
          </reference>
          <reference field="1" count="1" selected="0">
            <x v="193"/>
          </reference>
          <reference field="2" count="1" selected="0">
            <x v="89"/>
          </reference>
          <reference field="3" count="1" selected="0">
            <x v="0"/>
          </reference>
          <reference field="12" count="1" selected="0">
            <x v="3"/>
          </reference>
          <reference field="13" count="1" selected="0">
            <x v="0"/>
          </reference>
          <reference field="14" count="1">
            <x v="38"/>
          </reference>
        </references>
      </pivotArea>
    </format>
    <format dxfId="1593">
      <pivotArea dataOnly="0" labelOnly="1" outline="0" fieldPosition="0">
        <references count="7">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x v="0"/>
          </reference>
        </references>
      </pivotArea>
    </format>
    <format dxfId="1592">
      <pivotArea dataOnly="0" labelOnly="1" outline="0" fieldPosition="0">
        <references count="7">
          <reference field="0" count="1" selected="0">
            <x v="239"/>
          </reference>
          <reference field="1" count="1" selected="0">
            <x v="195"/>
          </reference>
          <reference field="2" count="1" selected="0">
            <x v="28"/>
          </reference>
          <reference field="3" count="1" selected="0">
            <x v="0"/>
          </reference>
          <reference field="12" count="1" selected="0">
            <x v="0"/>
          </reference>
          <reference field="13" count="1" selected="0">
            <x v="0"/>
          </reference>
          <reference field="14" count="1">
            <x v="0"/>
          </reference>
        </references>
      </pivotArea>
    </format>
    <format dxfId="1591">
      <pivotArea dataOnly="0" labelOnly="1" outline="0" fieldPosition="0">
        <references count="7">
          <reference field="0" count="1" selected="0">
            <x v="240"/>
          </reference>
          <reference field="1" count="1" selected="0">
            <x v="196"/>
          </reference>
          <reference field="2" count="1" selected="0">
            <x v="40"/>
          </reference>
          <reference field="3" count="1" selected="0">
            <x v="0"/>
          </reference>
          <reference field="12" count="1" selected="0">
            <x v="3"/>
          </reference>
          <reference field="13" count="1" selected="0">
            <x v="0"/>
          </reference>
          <reference field="14" count="1">
            <x v="0"/>
          </reference>
        </references>
      </pivotArea>
    </format>
    <format dxfId="1590">
      <pivotArea dataOnly="0" labelOnly="1" outline="0" fieldPosition="0">
        <references count="7">
          <reference field="0" count="1" selected="0">
            <x v="241"/>
          </reference>
          <reference field="1" count="1" selected="0">
            <x v="197"/>
          </reference>
          <reference field="2" count="1" selected="0">
            <x v="195"/>
          </reference>
          <reference field="3" count="1" selected="0">
            <x v="0"/>
          </reference>
          <reference field="12" count="1" selected="0">
            <x v="0"/>
          </reference>
          <reference field="13" count="1" selected="0">
            <x v="0"/>
          </reference>
          <reference field="14" count="1">
            <x v="0"/>
          </reference>
        </references>
      </pivotArea>
    </format>
    <format dxfId="1589">
      <pivotArea dataOnly="0" labelOnly="1" outline="0" fieldPosition="0">
        <references count="7">
          <reference field="0" count="1" selected="0">
            <x v="242"/>
          </reference>
          <reference field="1" count="1" selected="0">
            <x v="198"/>
          </reference>
          <reference field="2" count="1" selected="0">
            <x v="132"/>
          </reference>
          <reference field="3" count="1" selected="0">
            <x v="0"/>
          </reference>
          <reference field="12" count="1" selected="0">
            <x v="6"/>
          </reference>
          <reference field="13" count="1" selected="0">
            <x v="0"/>
          </reference>
          <reference field="14" count="1">
            <x v="0"/>
          </reference>
        </references>
      </pivotArea>
    </format>
    <format dxfId="1588">
      <pivotArea dataOnly="0" labelOnly="1" outline="0" fieldPosition="0">
        <references count="8">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x v="15"/>
          </reference>
        </references>
      </pivotArea>
    </format>
    <format dxfId="1587">
      <pivotArea dataOnly="0" labelOnly="1" outline="0" fieldPosition="0">
        <references count="8">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x v="14"/>
          </reference>
        </references>
      </pivotArea>
    </format>
    <format dxfId="1586">
      <pivotArea dataOnly="0" labelOnly="1" outline="0" fieldPosition="0">
        <references count="8">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1585">
      <pivotArea dataOnly="0" labelOnly="1" outline="0" fieldPosition="0">
        <references count="8">
          <reference field="0" count="1" selected="0">
            <x v="4"/>
          </reference>
          <reference field="1" count="1" selected="0">
            <x v="232"/>
          </reference>
          <reference field="2" count="1" selected="0">
            <x v="90"/>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1584">
      <pivotArea dataOnly="0" labelOnly="1" outline="0" fieldPosition="0">
        <references count="8">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1583">
      <pivotArea dataOnly="0" labelOnly="1" outline="0" fieldPosition="0">
        <references count="8">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1582">
      <pivotArea dataOnly="0" labelOnly="1" outline="0" fieldPosition="0">
        <references count="8">
          <reference field="0" count="1" selected="0">
            <x v="9"/>
          </reference>
          <reference field="1" count="1" selected="0">
            <x v="120"/>
          </reference>
          <reference field="2" count="1" selected="0">
            <x v="168"/>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1581">
      <pivotArea dataOnly="0" labelOnly="1" outline="0" fieldPosition="0">
        <references count="8">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selected="0">
            <x v="38"/>
          </reference>
          <reference field="15" count="1">
            <x v="0"/>
          </reference>
        </references>
      </pivotArea>
    </format>
    <format dxfId="1580">
      <pivotArea dataOnly="0" labelOnly="1" outline="0" fieldPosition="0">
        <references count="8">
          <reference field="0" count="1" selected="0">
            <x v="11"/>
          </reference>
          <reference field="1" count="1" selected="0">
            <x v="122"/>
          </reference>
          <reference field="2" count="1" selected="0">
            <x v="26"/>
          </reference>
          <reference field="3" count="1" selected="0">
            <x v="0"/>
          </reference>
          <reference field="12" count="1" selected="0">
            <x v="0"/>
          </reference>
          <reference field="13" count="1" selected="0">
            <x v="0"/>
          </reference>
          <reference field="14" count="1" selected="0">
            <x v="38"/>
          </reference>
          <reference field="15" count="1">
            <x v="0"/>
          </reference>
        </references>
      </pivotArea>
    </format>
    <format dxfId="1579">
      <pivotArea dataOnly="0" labelOnly="1" outline="0" fieldPosition="0">
        <references count="8">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x v="15"/>
          </reference>
        </references>
      </pivotArea>
    </format>
    <format dxfId="1578">
      <pivotArea dataOnly="0" labelOnly="1" outline="0" fieldPosition="0">
        <references count="8">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x v="14"/>
          </reference>
        </references>
      </pivotArea>
    </format>
    <format dxfId="1577">
      <pivotArea dataOnly="0" labelOnly="1" outline="0" fieldPosition="0">
        <references count="8">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x v="21"/>
          </reference>
        </references>
      </pivotArea>
    </format>
    <format dxfId="1576">
      <pivotArea dataOnly="0" labelOnly="1" outline="0" fieldPosition="0">
        <references count="8">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x v="45"/>
          </reference>
        </references>
      </pivotArea>
    </format>
    <format dxfId="1575">
      <pivotArea dataOnly="0" labelOnly="1" outline="0" fieldPosition="0">
        <references count="8">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x v="0"/>
          </reference>
        </references>
      </pivotArea>
    </format>
    <format dxfId="1574">
      <pivotArea dataOnly="0" labelOnly="1" outline="0" fieldPosition="0">
        <references count="8">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x v="12"/>
          </reference>
        </references>
      </pivotArea>
    </format>
    <format dxfId="1573">
      <pivotArea dataOnly="0" labelOnly="1" outline="0" fieldPosition="0">
        <references count="8">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x v="11"/>
          </reference>
        </references>
      </pivotArea>
    </format>
    <format dxfId="1572">
      <pivotArea dataOnly="0" labelOnly="1" outline="0" fieldPosition="0">
        <references count="8">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x v="0"/>
          </reference>
        </references>
      </pivotArea>
    </format>
    <format dxfId="1571">
      <pivotArea dataOnly="0" labelOnly="1" outline="0" fieldPosition="0">
        <references count="8">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x v="23"/>
          </reference>
        </references>
      </pivotArea>
    </format>
    <format dxfId="1570">
      <pivotArea dataOnly="0" labelOnly="1" outline="0" fieldPosition="0">
        <references count="8">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x v="23"/>
          </reference>
        </references>
      </pivotArea>
    </format>
    <format dxfId="1569">
      <pivotArea dataOnly="0" labelOnly="1" outline="0" fieldPosition="0">
        <references count="8">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1568">
      <pivotArea dataOnly="0" labelOnly="1" outline="0" fieldPosition="0">
        <references count="8">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1567">
      <pivotArea dataOnly="0" labelOnly="1" outline="0" fieldPosition="0">
        <references count="8">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x v="16"/>
          </reference>
        </references>
      </pivotArea>
    </format>
    <format dxfId="1566">
      <pivotArea dataOnly="0" labelOnly="1" outline="0" fieldPosition="0">
        <references count="8">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x v="0"/>
          </reference>
        </references>
      </pivotArea>
    </format>
    <format dxfId="1565">
      <pivotArea dataOnly="0" labelOnly="1" outline="0" fieldPosition="0">
        <references count="8">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564">
      <pivotArea dataOnly="0" labelOnly="1" outline="0" fieldPosition="0">
        <references count="8">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563">
      <pivotArea dataOnly="0" labelOnly="1" outline="0" fieldPosition="0">
        <references count="8">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1562">
      <pivotArea dataOnly="0" labelOnly="1" outline="0" fieldPosition="0">
        <references count="8">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x v="22"/>
          </reference>
        </references>
      </pivotArea>
    </format>
    <format dxfId="1561">
      <pivotArea dataOnly="0" labelOnly="1" outline="0" fieldPosition="0">
        <references count="8">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x v="17"/>
          </reference>
        </references>
      </pivotArea>
    </format>
    <format dxfId="1560">
      <pivotArea dataOnly="0" labelOnly="1" outline="0" fieldPosition="0">
        <references count="8">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1559">
      <pivotArea dataOnly="0" labelOnly="1" outline="0" fieldPosition="0">
        <references count="8">
          <reference field="0" count="1" selected="0">
            <x v="56"/>
          </reference>
          <reference field="1" count="1" selected="0">
            <x v="36"/>
          </reference>
          <reference field="2" count="1" selected="0">
            <x v="183"/>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1558">
      <pivotArea dataOnly="0" labelOnly="1" outline="0" fieldPosition="0">
        <references count="8">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x v="43"/>
          </reference>
        </references>
      </pivotArea>
    </format>
    <format dxfId="1557">
      <pivotArea dataOnly="0" labelOnly="1" outline="0" fieldPosition="0">
        <references count="8">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selected="0">
            <x v="37"/>
          </reference>
          <reference field="15" count="1">
            <x v="43"/>
          </reference>
        </references>
      </pivotArea>
    </format>
    <format dxfId="1556">
      <pivotArea dataOnly="0" labelOnly="1" outline="0" fieldPosition="0">
        <references count="8">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selected="0">
            <x v="36"/>
          </reference>
          <reference field="15" count="1">
            <x v="43"/>
          </reference>
        </references>
      </pivotArea>
    </format>
    <format dxfId="1555">
      <pivotArea dataOnly="0" labelOnly="1" outline="0" fieldPosition="0">
        <references count="8">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selected="0">
            <x v="0"/>
          </reference>
          <reference field="15" count="1">
            <x v="43"/>
          </reference>
        </references>
      </pivotArea>
    </format>
    <format dxfId="1554">
      <pivotArea dataOnly="0" labelOnly="1" outline="0" fieldPosition="0">
        <references count="8">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x v="40"/>
          </reference>
        </references>
      </pivotArea>
    </format>
    <format dxfId="1553">
      <pivotArea dataOnly="0" labelOnly="1" outline="0" fieldPosition="0">
        <references count="8">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x v="41"/>
          </reference>
        </references>
      </pivotArea>
    </format>
    <format dxfId="1552">
      <pivotArea dataOnly="0" labelOnly="1" outline="0" fieldPosition="0">
        <references count="8">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x v="0"/>
          </reference>
        </references>
      </pivotArea>
    </format>
    <format dxfId="1551">
      <pivotArea dataOnly="0" labelOnly="1" outline="0" fieldPosition="0">
        <references count="8">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selected="0">
            <x v="0"/>
          </reference>
          <reference field="15" count="1">
            <x v="0"/>
          </reference>
        </references>
      </pivotArea>
    </format>
    <format dxfId="1550">
      <pivotArea dataOnly="0" labelOnly="1" outline="0" fieldPosition="0">
        <references count="8">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1549">
      <pivotArea dataOnly="0" labelOnly="1" outline="0" fieldPosition="0">
        <references count="8">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1548">
      <pivotArea dataOnly="0" labelOnly="1" outline="0" fieldPosition="0">
        <references count="8">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x v="29"/>
          </reference>
        </references>
      </pivotArea>
    </format>
    <format dxfId="1547">
      <pivotArea dataOnly="0" labelOnly="1" outline="0" fieldPosition="0">
        <references count="8">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x v="26"/>
          </reference>
        </references>
      </pivotArea>
    </format>
    <format dxfId="1546">
      <pivotArea dataOnly="0" labelOnly="1" outline="0" fieldPosition="0">
        <references count="8">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x v="0"/>
          </reference>
        </references>
      </pivotArea>
    </format>
    <format dxfId="1545">
      <pivotArea dataOnly="0" labelOnly="1" outline="0" fieldPosition="0">
        <references count="8">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x v="29"/>
          </reference>
        </references>
      </pivotArea>
    </format>
    <format dxfId="1544">
      <pivotArea dataOnly="0" labelOnly="1" outline="0" fieldPosition="0">
        <references count="8">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x v="0"/>
          </reference>
        </references>
      </pivotArea>
    </format>
    <format dxfId="1543">
      <pivotArea dataOnly="0" labelOnly="1" outline="0" fieldPosition="0">
        <references count="8">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selected="0">
            <x v="50"/>
          </reference>
          <reference field="15" count="1">
            <x v="0"/>
          </reference>
        </references>
      </pivotArea>
    </format>
    <format dxfId="1542">
      <pivotArea dataOnly="0" labelOnly="1" outline="0" fieldPosition="0">
        <references count="8">
          <reference field="0" count="1" selected="0">
            <x v="90"/>
          </reference>
          <reference field="1" count="1" selected="0">
            <x v="77"/>
          </reference>
          <reference field="2" count="1" selected="0">
            <x v="43"/>
          </reference>
          <reference field="3" count="1" selected="0">
            <x v="0"/>
          </reference>
          <reference field="12" count="1" selected="0">
            <x v="7"/>
          </reference>
          <reference field="13" count="1" selected="0">
            <x v="0"/>
          </reference>
          <reference field="14" count="1" selected="0">
            <x v="50"/>
          </reference>
          <reference field="15" count="1">
            <x v="0"/>
          </reference>
        </references>
      </pivotArea>
    </format>
    <format dxfId="1541">
      <pivotArea dataOnly="0" labelOnly="1" outline="0" fieldPosition="0">
        <references count="8">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x v="0"/>
          </reference>
        </references>
      </pivotArea>
    </format>
    <format dxfId="1540">
      <pivotArea dataOnly="0" labelOnly="1" outline="0" fieldPosition="0">
        <references count="8">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x v="0"/>
          </reference>
        </references>
      </pivotArea>
    </format>
    <format dxfId="1539">
      <pivotArea dataOnly="0" labelOnly="1" outline="0" fieldPosition="0">
        <references count="8">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x v="0"/>
          </reference>
        </references>
      </pivotArea>
    </format>
    <format dxfId="1538">
      <pivotArea dataOnly="0" labelOnly="1" outline="0" fieldPosition="0">
        <references count="8">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x v="0"/>
          </reference>
        </references>
      </pivotArea>
    </format>
    <format dxfId="1537">
      <pivotArea dataOnly="0" labelOnly="1" outline="0" fieldPosition="0">
        <references count="8">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536">
      <pivotArea dataOnly="0" labelOnly="1" outline="0" fieldPosition="0">
        <references count="8">
          <reference field="0" count="1" selected="0">
            <x v="97"/>
          </reference>
          <reference field="1" count="1" selected="0">
            <x v="84"/>
          </reference>
          <reference field="2" count="1" selected="0">
            <x v="6"/>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535">
      <pivotArea dataOnly="0" labelOnly="1" outline="0" fieldPosition="0">
        <references count="8">
          <reference field="0" count="1" selected="0">
            <x v="98"/>
          </reference>
          <reference field="1" count="1" selected="0">
            <x v="85"/>
          </reference>
          <reference field="2" count="1" selected="0">
            <x v="214"/>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534">
      <pivotArea dataOnly="0" labelOnly="1" outline="0" fieldPosition="0">
        <references count="8">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x v="28"/>
          </reference>
        </references>
      </pivotArea>
    </format>
    <format dxfId="1533">
      <pivotArea dataOnly="0" labelOnly="1" outline="0" fieldPosition="0">
        <references count="8">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selected="0">
            <x v="16"/>
          </reference>
          <reference field="15" count="1">
            <x v="26"/>
          </reference>
        </references>
      </pivotArea>
    </format>
    <format dxfId="1532">
      <pivotArea dataOnly="0" labelOnly="1" outline="0" fieldPosition="0">
        <references count="8">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x v="0"/>
          </reference>
        </references>
      </pivotArea>
    </format>
    <format dxfId="1531">
      <pivotArea dataOnly="0" labelOnly="1" outline="0" fieldPosition="0">
        <references count="8">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530">
      <pivotArea dataOnly="0" labelOnly="1" outline="0" fieldPosition="0">
        <references count="8">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1529">
      <pivotArea dataOnly="0" labelOnly="1" outline="0" fieldPosition="0">
        <references count="8">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x v="0"/>
          </reference>
        </references>
      </pivotArea>
    </format>
    <format dxfId="1528">
      <pivotArea dataOnly="0" labelOnly="1" outline="0" fieldPosition="0">
        <references count="8">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x v="30"/>
          </reference>
        </references>
      </pivotArea>
    </format>
    <format dxfId="1527">
      <pivotArea dataOnly="0" labelOnly="1" outline="0" fieldPosition="0">
        <references count="8">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x v="30"/>
          </reference>
        </references>
      </pivotArea>
    </format>
    <format dxfId="1526">
      <pivotArea dataOnly="0" labelOnly="1" outline="0" fieldPosition="0">
        <references count="8">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x v="31"/>
          </reference>
        </references>
      </pivotArea>
    </format>
    <format dxfId="1525">
      <pivotArea dataOnly="0" labelOnly="1" outline="0" fieldPosition="0">
        <references count="8">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x v="26"/>
          </reference>
        </references>
      </pivotArea>
    </format>
    <format dxfId="1524">
      <pivotArea dataOnly="0" labelOnly="1" outline="0" fieldPosition="0">
        <references count="8">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x v="27"/>
          </reference>
        </references>
      </pivotArea>
    </format>
    <format dxfId="1523">
      <pivotArea dataOnly="0" labelOnly="1" outline="0" fieldPosition="0">
        <references count="8">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x v="0"/>
          </reference>
        </references>
      </pivotArea>
    </format>
    <format dxfId="1522">
      <pivotArea dataOnly="0" labelOnly="1" outline="0" fieldPosition="0">
        <references count="8">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selected="0">
            <x v="11"/>
          </reference>
          <reference field="15" count="1">
            <x v="0"/>
          </reference>
        </references>
      </pivotArea>
    </format>
    <format dxfId="1521">
      <pivotArea dataOnly="0" labelOnly="1" outline="0" fieldPosition="0">
        <references count="8">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selected="0">
            <x v="38"/>
          </reference>
          <reference field="15" count="1">
            <x v="0"/>
          </reference>
        </references>
      </pivotArea>
    </format>
    <format dxfId="1520">
      <pivotArea dataOnly="0" labelOnly="1" outline="0" fieldPosition="0">
        <references count="8">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selected="0">
            <x v="34"/>
          </reference>
          <reference field="15" count="1">
            <x v="0"/>
          </reference>
        </references>
      </pivotArea>
    </format>
    <format dxfId="1519">
      <pivotArea dataOnly="0" labelOnly="1" outline="0" fieldPosition="0">
        <references count="8">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x v="32"/>
          </reference>
        </references>
      </pivotArea>
    </format>
    <format dxfId="1518">
      <pivotArea dataOnly="0" labelOnly="1" outline="0" fieldPosition="0">
        <references count="8">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selected="0">
            <x v="37"/>
          </reference>
          <reference field="15" count="1">
            <x v="32"/>
          </reference>
        </references>
      </pivotArea>
    </format>
    <format dxfId="1517">
      <pivotArea dataOnly="0" labelOnly="1" outline="0" fieldPosition="0">
        <references count="8">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selected="0">
            <x v="36"/>
          </reference>
          <reference field="15" count="1">
            <x v="32"/>
          </reference>
        </references>
      </pivotArea>
    </format>
    <format dxfId="1516">
      <pivotArea dataOnly="0" labelOnly="1" outline="0" fieldPosition="0">
        <references count="8">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x v="0"/>
          </reference>
        </references>
      </pivotArea>
    </format>
    <format dxfId="1515">
      <pivotArea dataOnly="0" labelOnly="1" outline="0" fieldPosition="0">
        <references count="8">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x v="32"/>
          </reference>
        </references>
      </pivotArea>
    </format>
    <format dxfId="1514">
      <pivotArea dataOnly="0" labelOnly="1" outline="0" fieldPosition="0">
        <references count="8">
          <reference field="0" count="1" selected="0">
            <x v="130"/>
          </reference>
          <reference field="1" count="1" selected="0">
            <x v="117"/>
          </reference>
          <reference field="2" count="1" selected="0">
            <x v="118"/>
          </reference>
          <reference field="3" count="1" selected="0">
            <x v="0"/>
          </reference>
          <reference field="12" count="1" selected="0">
            <x v="7"/>
          </reference>
          <reference field="13" count="1" selected="0">
            <x v="0"/>
          </reference>
          <reference field="14" count="1" selected="0">
            <x v="37"/>
          </reference>
          <reference field="15" count="1">
            <x v="32"/>
          </reference>
        </references>
      </pivotArea>
    </format>
    <format dxfId="1513">
      <pivotArea dataOnly="0" labelOnly="1" outline="0" fieldPosition="0">
        <references count="8">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x v="43"/>
          </reference>
        </references>
      </pivotArea>
    </format>
    <format dxfId="1512">
      <pivotArea dataOnly="0" labelOnly="1" outline="0" fieldPosition="0">
        <references count="8">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selected="0">
            <x v="37"/>
          </reference>
          <reference field="15" count="1">
            <x v="43"/>
          </reference>
        </references>
      </pivotArea>
    </format>
    <format dxfId="1511">
      <pivotArea dataOnly="0" labelOnly="1" outline="0" fieldPosition="0">
        <references count="8">
          <reference field="0" count="1" selected="0">
            <x v="136"/>
          </reference>
          <reference field="1" count="1" selected="0">
            <x v="129"/>
          </reference>
          <reference field="2" count="1" selected="0">
            <x v="219"/>
          </reference>
          <reference field="3" count="1" selected="0">
            <x v="0"/>
          </reference>
          <reference field="12" count="1" selected="0">
            <x v="3"/>
          </reference>
          <reference field="13" count="1" selected="0">
            <x v="0"/>
          </reference>
          <reference field="14" count="1" selected="0">
            <x v="37"/>
          </reference>
          <reference field="15" count="1">
            <x v="43"/>
          </reference>
        </references>
      </pivotArea>
    </format>
    <format dxfId="1510">
      <pivotArea dataOnly="0" labelOnly="1" outline="0" fieldPosition="0">
        <references count="8">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x v="0"/>
          </reference>
        </references>
      </pivotArea>
    </format>
    <format dxfId="1509">
      <pivotArea dataOnly="0" labelOnly="1" outline="0" fieldPosition="0">
        <references count="8">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x v="33"/>
          </reference>
        </references>
      </pivotArea>
    </format>
    <format dxfId="1508">
      <pivotArea dataOnly="0" labelOnly="1" outline="0" fieldPosition="0">
        <references count="8">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x v="24"/>
          </reference>
        </references>
      </pivotArea>
    </format>
    <format dxfId="1507">
      <pivotArea dataOnly="0" labelOnly="1" outline="0" fieldPosition="0">
        <references count="8">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selected="0">
            <x v="14"/>
          </reference>
          <reference field="15" count="1">
            <x v="24"/>
          </reference>
        </references>
      </pivotArea>
    </format>
    <format dxfId="1506">
      <pivotArea dataOnly="0" labelOnly="1" outline="0" fieldPosition="0">
        <references count="8">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505">
      <pivotArea dataOnly="0" labelOnly="1" outline="0" fieldPosition="0">
        <references count="8">
          <reference field="0" count="1" selected="0">
            <x v="150"/>
          </reference>
          <reference field="1" count="1" selected="0">
            <x v="143"/>
          </reference>
          <reference field="2" count="1" selected="0">
            <x v="166"/>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504">
      <pivotArea dataOnly="0" labelOnly="1" outline="0" fieldPosition="0">
        <references count="8">
          <reference field="0" count="1" selected="0">
            <x v="151"/>
          </reference>
          <reference field="1" count="1" selected="0">
            <x v="144"/>
          </reference>
          <reference field="2" count="1" selected="0">
            <x v="8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503">
      <pivotArea dataOnly="0" labelOnly="1" outline="0" fieldPosition="0">
        <references count="8">
          <reference field="0" count="1" selected="0">
            <x v="152"/>
          </reference>
          <reference field="1" count="1" selected="0">
            <x v="145"/>
          </reference>
          <reference field="2" count="1" selected="0">
            <x v="86"/>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1502">
      <pivotArea dataOnly="0" labelOnly="1" outline="0" fieldPosition="0">
        <references count="8">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x v="0"/>
          </reference>
        </references>
      </pivotArea>
    </format>
    <format dxfId="1501">
      <pivotArea dataOnly="0" labelOnly="1" outline="0" fieldPosition="0">
        <references count="8">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x v="3"/>
          </reference>
        </references>
      </pivotArea>
    </format>
    <format dxfId="1500">
      <pivotArea dataOnly="0" labelOnly="1" outline="0" fieldPosition="0">
        <references count="8">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x v="1"/>
          </reference>
        </references>
      </pivotArea>
    </format>
    <format dxfId="1499">
      <pivotArea dataOnly="0" labelOnly="1" outline="0" fieldPosition="0">
        <references count="8">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x v="8"/>
          </reference>
        </references>
      </pivotArea>
    </format>
    <format dxfId="1498">
      <pivotArea dataOnly="0" labelOnly="1" outline="0" fieldPosition="0">
        <references count="8">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x v="8"/>
          </reference>
        </references>
      </pivotArea>
    </format>
    <format dxfId="1497">
      <pivotArea dataOnly="0" labelOnly="1" outline="0" fieldPosition="0">
        <references count="8">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x v="7"/>
          </reference>
        </references>
      </pivotArea>
    </format>
    <format dxfId="1496">
      <pivotArea dataOnly="0" labelOnly="1" outline="0" fieldPosition="0">
        <references count="8">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x v="0"/>
          </reference>
        </references>
      </pivotArea>
    </format>
    <format dxfId="1495">
      <pivotArea dataOnly="0" labelOnly="1" outline="0" fieldPosition="0">
        <references count="8">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x v="5"/>
          </reference>
        </references>
      </pivotArea>
    </format>
    <format dxfId="1494">
      <pivotArea dataOnly="0" labelOnly="1" outline="0" fieldPosition="0">
        <references count="8">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1493">
      <pivotArea dataOnly="0" labelOnly="1" outline="0" fieldPosition="0">
        <references count="8">
          <reference field="0" count="1" selected="0">
            <x v="166"/>
          </reference>
          <reference field="1" count="1" selected="0">
            <x v="190"/>
          </reference>
          <reference field="2" count="1" selected="0">
            <x v="213"/>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1492">
      <pivotArea dataOnly="0" labelOnly="1" outline="0" fieldPosition="0">
        <references count="8">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x v="19"/>
          </reference>
        </references>
      </pivotArea>
    </format>
    <format dxfId="1491">
      <pivotArea dataOnly="0" labelOnly="1" outline="0" fieldPosition="0">
        <references count="8">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x v="18"/>
          </reference>
        </references>
      </pivotArea>
    </format>
    <format dxfId="1490">
      <pivotArea dataOnly="0" labelOnly="1" outline="0" fieldPosition="0">
        <references count="8">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x v="30"/>
          </reference>
        </references>
      </pivotArea>
    </format>
    <format dxfId="1489">
      <pivotArea dataOnly="0" labelOnly="1" outline="0" fieldPosition="0">
        <references count="8">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x v="38"/>
          </reference>
        </references>
      </pivotArea>
    </format>
    <format dxfId="1488">
      <pivotArea dataOnly="0" labelOnly="1" outline="0" fieldPosition="0">
        <references count="8">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x v="0"/>
          </reference>
        </references>
      </pivotArea>
    </format>
    <format dxfId="1487">
      <pivotArea dataOnly="0" labelOnly="1" outline="0" fieldPosition="0">
        <references count="8">
          <reference field="0" count="1" selected="0">
            <x v="176"/>
          </reference>
          <reference field="1" count="1" selected="0">
            <x v="208"/>
          </reference>
          <reference field="2" count="1" selected="0">
            <x v="215"/>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1486">
      <pivotArea dataOnly="0" labelOnly="1" outline="0" fieldPosition="0">
        <references count="8">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x v="10"/>
          </reference>
        </references>
      </pivotArea>
    </format>
    <format dxfId="1485">
      <pivotArea dataOnly="0" labelOnly="1" outline="0" fieldPosition="0">
        <references count="8">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1484">
      <pivotArea dataOnly="0" labelOnly="1" outline="0" fieldPosition="0">
        <references count="8">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x v="39"/>
          </reference>
        </references>
      </pivotArea>
    </format>
    <format dxfId="1483">
      <pivotArea dataOnly="0" labelOnly="1" outline="0" fieldPosition="0">
        <references count="8">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x v="43"/>
          </reference>
        </references>
      </pivotArea>
    </format>
    <format dxfId="1482">
      <pivotArea dataOnly="0" labelOnly="1" outline="0" fieldPosition="0">
        <references count="8">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1481">
      <pivotArea dataOnly="0" labelOnly="1" outline="0" fieldPosition="0">
        <references count="8">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1480">
      <pivotArea dataOnly="0" labelOnly="1" outline="0" fieldPosition="0">
        <references count="8">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1479">
      <pivotArea dataOnly="0" labelOnly="1" outline="0" fieldPosition="0">
        <references count="8">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x v="37"/>
          </reference>
        </references>
      </pivotArea>
    </format>
    <format dxfId="1478">
      <pivotArea dataOnly="0" labelOnly="1" outline="0" fieldPosition="0">
        <references count="8">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x v="37"/>
          </reference>
        </references>
      </pivotArea>
    </format>
    <format dxfId="1477">
      <pivotArea dataOnly="0" labelOnly="1" outline="0" fieldPosition="0">
        <references count="8">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x v="15"/>
          </reference>
        </references>
      </pivotArea>
    </format>
    <format dxfId="1476">
      <pivotArea dataOnly="0" labelOnly="1" outline="0" fieldPosition="0">
        <references count="8">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1475">
      <pivotArea dataOnly="0" labelOnly="1" outline="0" fieldPosition="0">
        <references count="8">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1474">
      <pivotArea dataOnly="0" labelOnly="1" outline="0" fieldPosition="0">
        <references count="8">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x v="23"/>
          </reference>
        </references>
      </pivotArea>
    </format>
    <format dxfId="1473">
      <pivotArea dataOnly="0" labelOnly="1" outline="0" fieldPosition="0">
        <references count="8">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1472">
      <pivotArea dataOnly="0" labelOnly="1" outline="0" fieldPosition="0">
        <references count="8">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selected="0">
            <x v="0"/>
          </reference>
          <reference field="15" count="1">
            <x v="0"/>
          </reference>
        </references>
      </pivotArea>
    </format>
    <format dxfId="1471">
      <pivotArea dataOnly="0" labelOnly="1" outline="0" fieldPosition="0">
        <references count="8">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x v="36"/>
          </reference>
        </references>
      </pivotArea>
    </format>
    <format dxfId="1470">
      <pivotArea dataOnly="0" labelOnly="1" outline="0" fieldPosition="0">
        <references count="8">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x v="9"/>
          </reference>
        </references>
      </pivotArea>
    </format>
    <format dxfId="1469">
      <pivotArea dataOnly="0" labelOnly="1" outline="0" fieldPosition="0">
        <references count="8">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selected="0">
            <x v="0"/>
          </reference>
          <reference field="15" count="1">
            <x v="9"/>
          </reference>
        </references>
      </pivotArea>
    </format>
    <format dxfId="1468">
      <pivotArea dataOnly="0" labelOnly="1" outline="0" fieldPosition="0">
        <references count="8">
          <reference field="0" count="1" selected="0">
            <x v="201"/>
          </reference>
          <reference field="1" count="1" selected="0">
            <x v="240"/>
          </reference>
          <reference field="2" count="1" selected="0">
            <x v="37"/>
          </reference>
          <reference field="3" count="1" selected="0">
            <x v="0"/>
          </reference>
          <reference field="12" count="1" selected="0">
            <x v="20"/>
          </reference>
          <reference field="13" count="1" selected="0">
            <x v="0"/>
          </reference>
          <reference field="14" count="1" selected="0">
            <x v="0"/>
          </reference>
          <reference field="15" count="1">
            <x v="9"/>
          </reference>
        </references>
      </pivotArea>
    </format>
    <format dxfId="1467">
      <pivotArea dataOnly="0" labelOnly="1" outline="0" fieldPosition="0">
        <references count="8">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x v="15"/>
          </reference>
        </references>
      </pivotArea>
    </format>
    <format dxfId="1466">
      <pivotArea dataOnly="0" labelOnly="1" outline="0" fieldPosition="0">
        <references count="8">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x v="15"/>
          </reference>
        </references>
      </pivotArea>
    </format>
    <format dxfId="1465">
      <pivotArea dataOnly="0" labelOnly="1" outline="0" fieldPosition="0">
        <references count="8">
          <reference field="0" count="1" selected="0">
            <x v="207"/>
          </reference>
          <reference field="1" count="1" selected="0">
            <x v="152"/>
          </reference>
          <reference field="2" count="1" selected="0">
            <x v="81"/>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1464">
      <pivotArea dataOnly="0" labelOnly="1" outline="0" fieldPosition="0">
        <references count="8">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x v="15"/>
          </reference>
        </references>
      </pivotArea>
    </format>
    <format dxfId="1463">
      <pivotArea dataOnly="0" labelOnly="1" outline="0" fieldPosition="0">
        <references count="8">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x v="15"/>
          </reference>
        </references>
      </pivotArea>
    </format>
    <format dxfId="1462">
      <pivotArea dataOnly="0" labelOnly="1" outline="0" fieldPosition="0">
        <references count="8">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x v="15"/>
          </reference>
        </references>
      </pivotArea>
    </format>
    <format dxfId="1461">
      <pivotArea dataOnly="0" labelOnly="1" outline="0" fieldPosition="0">
        <references count="8">
          <reference field="0" count="1" selected="0">
            <x v="211"/>
          </reference>
          <reference field="1" count="1" selected="0">
            <x v="156"/>
          </reference>
          <reference field="2" count="1" selected="0">
            <x v="164"/>
          </reference>
          <reference field="3" count="1" selected="0">
            <x v="0"/>
          </reference>
          <reference field="12" count="1" selected="0">
            <x v="20"/>
          </reference>
          <reference field="13" count="1" selected="0">
            <x v="3"/>
          </reference>
          <reference field="14" count="1" selected="0">
            <x v="0"/>
          </reference>
          <reference field="15" count="1">
            <x v="15"/>
          </reference>
        </references>
      </pivotArea>
    </format>
    <format dxfId="1460">
      <pivotArea dataOnly="0" labelOnly="1" outline="0" fieldPosition="0">
        <references count="8">
          <reference field="0" count="1" selected="0">
            <x v="212"/>
          </reference>
          <reference field="1" count="1" selected="0">
            <x v="157"/>
          </reference>
          <reference field="2" count="1" selected="0">
            <x v="170"/>
          </reference>
          <reference field="3" count="1" selected="0">
            <x v="0"/>
          </reference>
          <reference field="12" count="1" selected="0">
            <x v="20"/>
          </reference>
          <reference field="13" count="1" selected="0">
            <x v="4"/>
          </reference>
          <reference field="14" count="1" selected="0">
            <x v="0"/>
          </reference>
          <reference field="15" count="1">
            <x v="15"/>
          </reference>
        </references>
      </pivotArea>
    </format>
    <format dxfId="1459">
      <pivotArea dataOnly="0" labelOnly="1" outline="0" fieldPosition="0">
        <references count="8">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x v="15"/>
          </reference>
        </references>
      </pivotArea>
    </format>
    <format dxfId="1458">
      <pivotArea dataOnly="0" labelOnly="1" outline="0" fieldPosition="0">
        <references count="8">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x v="15"/>
          </reference>
        </references>
      </pivotArea>
    </format>
    <format dxfId="1457">
      <pivotArea dataOnly="0" labelOnly="1" outline="0" fieldPosition="0">
        <references count="8">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x v="15"/>
          </reference>
        </references>
      </pivotArea>
    </format>
    <format dxfId="1456">
      <pivotArea dataOnly="0" labelOnly="1" outline="0" fieldPosition="0">
        <references count="8">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x v="15"/>
          </reference>
        </references>
      </pivotArea>
    </format>
    <format dxfId="1455">
      <pivotArea dataOnly="0" labelOnly="1" outline="0" fieldPosition="0">
        <references count="8">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x v="15"/>
          </reference>
        </references>
      </pivotArea>
    </format>
    <format dxfId="1454">
      <pivotArea dataOnly="0" labelOnly="1" outline="0" fieldPosition="0">
        <references count="8">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x v="15"/>
          </reference>
        </references>
      </pivotArea>
    </format>
    <format dxfId="1453">
      <pivotArea dataOnly="0" labelOnly="1" outline="0" fieldPosition="0">
        <references count="8">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x v="15"/>
          </reference>
        </references>
      </pivotArea>
    </format>
    <format dxfId="1452">
      <pivotArea dataOnly="0" labelOnly="1" outline="0" fieldPosition="0">
        <references count="8">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x v="15"/>
          </reference>
        </references>
      </pivotArea>
    </format>
    <format dxfId="1451">
      <pivotArea dataOnly="0" labelOnly="1" outline="0" fieldPosition="0">
        <references count="8">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x v="15"/>
          </reference>
        </references>
      </pivotArea>
    </format>
    <format dxfId="1450">
      <pivotArea dataOnly="0" labelOnly="1" outline="0" fieldPosition="0">
        <references count="8">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x v="15"/>
          </reference>
        </references>
      </pivotArea>
    </format>
    <format dxfId="1449">
      <pivotArea dataOnly="0" labelOnly="1" outline="0" fieldPosition="0">
        <references count="8">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x v="15"/>
          </reference>
        </references>
      </pivotArea>
    </format>
    <format dxfId="1448">
      <pivotArea dataOnly="0" labelOnly="1" outline="0" fieldPosition="0">
        <references count="8">
          <reference field="0" count="1" selected="0">
            <x v="226"/>
          </reference>
          <reference field="1" count="1" selected="0">
            <x v="171"/>
          </reference>
          <reference field="2" count="1" selected="0">
            <x v="41"/>
          </reference>
          <reference field="3" count="1" selected="0">
            <x v="0"/>
          </reference>
          <reference field="12" count="1" selected="0">
            <x v="23"/>
          </reference>
          <reference field="13" count="1" selected="0">
            <x v="22"/>
          </reference>
          <reference field="14" count="1" selected="0">
            <x v="18"/>
          </reference>
          <reference field="15" count="1">
            <x v="15"/>
          </reference>
        </references>
      </pivotArea>
    </format>
    <format dxfId="1447">
      <pivotArea dataOnly="0" labelOnly="1" outline="0" fieldPosition="0">
        <references count="8">
          <reference field="0" count="1" selected="0">
            <x v="227"/>
          </reference>
          <reference field="1" count="1" selected="0">
            <x v="172"/>
          </reference>
          <reference field="2" count="1" selected="0">
            <x v="42"/>
          </reference>
          <reference field="3" count="1" selected="0">
            <x v="0"/>
          </reference>
          <reference field="12" count="1" selected="0">
            <x v="23"/>
          </reference>
          <reference field="13" count="1" selected="0">
            <x v="22"/>
          </reference>
          <reference field="14" count="1" selected="0">
            <x v="18"/>
          </reference>
          <reference field="15" count="1">
            <x v="15"/>
          </reference>
        </references>
      </pivotArea>
    </format>
    <format dxfId="1446">
      <pivotArea dataOnly="0" labelOnly="1" outline="0" fieldPosition="0">
        <references count="8">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selected="0">
            <x v="38"/>
          </reference>
          <reference field="15" count="1">
            <x v="15"/>
          </reference>
        </references>
      </pivotArea>
    </format>
    <format dxfId="1445">
      <pivotArea dataOnly="0" labelOnly="1" outline="0" fieldPosition="0">
        <references count="8">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x v="15"/>
          </reference>
        </references>
      </pivotArea>
    </format>
    <format dxfId="1444">
      <pivotArea dataOnly="0" labelOnly="1" outline="0" fieldPosition="0">
        <references count="8">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x v="15"/>
          </reference>
        </references>
      </pivotArea>
    </format>
    <format dxfId="1443">
      <pivotArea dataOnly="0" labelOnly="1" outline="0" fieldPosition="0">
        <references count="8">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x v="15"/>
          </reference>
        </references>
      </pivotArea>
    </format>
    <format dxfId="1442">
      <pivotArea dataOnly="0" labelOnly="1" outline="0" fieldPosition="0">
        <references count="8">
          <reference field="0" count="1" selected="0">
            <x v="232"/>
          </reference>
          <reference field="1" count="1" selected="0">
            <x v="177"/>
          </reference>
          <reference field="2" count="1" selected="0">
            <x v="47"/>
          </reference>
          <reference field="3" count="1" selected="0">
            <x v="0"/>
          </reference>
          <reference field="12" count="1" selected="0">
            <x v="3"/>
          </reference>
          <reference field="13" count="1" selected="0">
            <x v="19"/>
          </reference>
          <reference field="14" count="1" selected="0">
            <x v="38"/>
          </reference>
          <reference field="15" count="1">
            <x v="15"/>
          </reference>
        </references>
      </pivotArea>
    </format>
    <format dxfId="1441">
      <pivotArea dataOnly="0" labelOnly="1" outline="0" fieldPosition="0">
        <references count="8">
          <reference field="0" count="1" selected="0">
            <x v="233"/>
          </reference>
          <reference field="1" count="1" selected="0">
            <x v="178"/>
          </reference>
          <reference field="2" count="1" selected="0">
            <x v="32"/>
          </reference>
          <reference field="3" count="1" selected="0">
            <x v="0"/>
          </reference>
          <reference field="12" count="1" selected="0">
            <x v="3"/>
          </reference>
          <reference field="13" count="1" selected="0">
            <x v="6"/>
          </reference>
          <reference field="14" count="1" selected="0">
            <x v="38"/>
          </reference>
          <reference field="15" count="1">
            <x v="15"/>
          </reference>
        </references>
      </pivotArea>
    </format>
    <format dxfId="1440">
      <pivotArea dataOnly="0" labelOnly="1" outline="0" fieldPosition="0">
        <references count="8">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x v="47"/>
          </reference>
        </references>
      </pivotArea>
    </format>
    <format dxfId="1439">
      <pivotArea dataOnly="0" labelOnly="1" outline="0" fieldPosition="0">
        <references count="8">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1438">
      <pivotArea dataOnly="0" labelOnly="1" outline="0" fieldPosition="0">
        <references count="8">
          <reference field="0" count="1" selected="0">
            <x v="236"/>
          </reference>
          <reference field="1" count="1" selected="0">
            <x v="192"/>
          </reference>
          <reference field="2" count="1" selected="0">
            <x v="27"/>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1437">
      <pivotArea dataOnly="0" labelOnly="1" outline="0" fieldPosition="0">
        <references count="8">
          <reference field="0" count="1" selected="0">
            <x v="237"/>
          </reference>
          <reference field="1" count="1" selected="0">
            <x v="193"/>
          </reference>
          <reference field="2" count="1" selected="0">
            <x v="89"/>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1436">
      <pivotArea dataOnly="0" labelOnly="1" outline="0" fieldPosition="0">
        <references count="8">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selected="0">
            <x v="0"/>
          </reference>
          <reference field="15" count="1">
            <x v="15"/>
          </reference>
        </references>
      </pivotArea>
    </format>
    <format dxfId="1435">
      <pivotArea dataOnly="0" labelOnly="1" outline="0" fieldPosition="0">
        <references count="8">
          <reference field="0" count="1" selected="0">
            <x v="239"/>
          </reference>
          <reference field="1" count="1" selected="0">
            <x v="195"/>
          </reference>
          <reference field="2" count="1" selected="0">
            <x v="28"/>
          </reference>
          <reference field="3" count="1" selected="0">
            <x v="0"/>
          </reference>
          <reference field="12" count="1" selected="0">
            <x v="0"/>
          </reference>
          <reference field="13" count="1" selected="0">
            <x v="0"/>
          </reference>
          <reference field="14" count="1" selected="0">
            <x v="0"/>
          </reference>
          <reference field="15" count="1">
            <x v="15"/>
          </reference>
        </references>
      </pivotArea>
    </format>
    <format dxfId="1434">
      <pivotArea dataOnly="0" labelOnly="1" outline="0" fieldPosition="0">
        <references count="8">
          <reference field="0" count="1" selected="0">
            <x v="240"/>
          </reference>
          <reference field="1" count="1" selected="0">
            <x v="196"/>
          </reference>
          <reference field="2" count="1" selected="0">
            <x v="40"/>
          </reference>
          <reference field="3" count="1" selected="0">
            <x v="0"/>
          </reference>
          <reference field="12" count="1" selected="0">
            <x v="3"/>
          </reference>
          <reference field="13" count="1" selected="0">
            <x v="0"/>
          </reference>
          <reference field="14" count="1" selected="0">
            <x v="0"/>
          </reference>
          <reference field="15" count="1">
            <x v="15"/>
          </reference>
        </references>
      </pivotArea>
    </format>
    <format dxfId="1433">
      <pivotArea dataOnly="0" labelOnly="1" outline="0" fieldPosition="0">
        <references count="8">
          <reference field="0" count="1" selected="0">
            <x v="241"/>
          </reference>
          <reference field="1" count="1" selected="0">
            <x v="197"/>
          </reference>
          <reference field="2" count="1" selected="0">
            <x v="195"/>
          </reference>
          <reference field="3" count="1" selected="0">
            <x v="0"/>
          </reference>
          <reference field="12" count="1" selected="0">
            <x v="0"/>
          </reference>
          <reference field="13" count="1" selected="0">
            <x v="0"/>
          </reference>
          <reference field="14" count="1" selected="0">
            <x v="0"/>
          </reference>
          <reference field="15" count="1">
            <x v="15"/>
          </reference>
        </references>
      </pivotArea>
    </format>
    <format dxfId="1432">
      <pivotArea dataOnly="0" labelOnly="1" outline="0" fieldPosition="0">
        <references count="8">
          <reference field="0" count="1" selected="0">
            <x v="242"/>
          </reference>
          <reference field="1" count="1" selected="0">
            <x v="198"/>
          </reference>
          <reference field="2" count="1" selected="0">
            <x v="132"/>
          </reference>
          <reference field="3" count="1" selected="0">
            <x v="0"/>
          </reference>
          <reference field="12" count="1" selected="0">
            <x v="6"/>
          </reference>
          <reference field="13" count="1" selected="0">
            <x v="0"/>
          </reference>
          <reference field="14" count="1" selected="0">
            <x v="0"/>
          </reference>
          <reference field="15" count="1">
            <x v="15"/>
          </reference>
        </references>
      </pivotArea>
    </format>
    <format dxfId="1431">
      <pivotArea dataOnly="0" labelOnly="1" outline="0" fieldPosition="0">
        <references count="9">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selected="0">
            <x v="15"/>
          </reference>
          <reference field="16" count="1">
            <x v="63"/>
          </reference>
        </references>
      </pivotArea>
    </format>
    <format dxfId="1430">
      <pivotArea dataOnly="0" labelOnly="1" outline="0" fieldPosition="0">
        <references count="9">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selected="0">
            <x v="14"/>
          </reference>
          <reference field="16" count="1">
            <x v="62"/>
          </reference>
        </references>
      </pivotArea>
    </format>
    <format dxfId="1429">
      <pivotArea dataOnly="0" labelOnly="1" outline="0" fieldPosition="0">
        <references count="9">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1428">
      <pivotArea dataOnly="0" labelOnly="1" outline="0" fieldPosition="0">
        <references count="9">
          <reference field="0" count="1" selected="0">
            <x v="4"/>
          </reference>
          <reference field="1" count="1" selected="0">
            <x v="232"/>
          </reference>
          <reference field="2" count="1" selected="0">
            <x v="90"/>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1427">
      <pivotArea dataOnly="0" labelOnly="1" outline="0" fieldPosition="0">
        <references count="9">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63"/>
          </reference>
        </references>
      </pivotArea>
    </format>
    <format dxfId="1426">
      <pivotArea dataOnly="0" labelOnly="1" outline="0" fieldPosition="0">
        <references count="9">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1425">
      <pivotArea dataOnly="0" labelOnly="1" outline="0" fieldPosition="0">
        <references count="9">
          <reference field="0" count="1" selected="0">
            <x v="9"/>
          </reference>
          <reference field="1" count="1" selected="0">
            <x v="120"/>
          </reference>
          <reference field="2" count="1" selected="0">
            <x v="168"/>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1424">
      <pivotArea dataOnly="0" labelOnly="1" outline="0" fieldPosition="0">
        <references count="9">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selected="0">
            <x v="38"/>
          </reference>
          <reference field="15" count="1" selected="0">
            <x v="0"/>
          </reference>
          <reference field="16" count="1">
            <x v="0"/>
          </reference>
        </references>
      </pivotArea>
    </format>
    <format dxfId="1423">
      <pivotArea dataOnly="0" labelOnly="1" outline="0" fieldPosition="0">
        <references count="9">
          <reference field="0" count="1" selected="0">
            <x v="11"/>
          </reference>
          <reference field="1" count="1" selected="0">
            <x v="122"/>
          </reference>
          <reference field="2" count="1" selected="0">
            <x v="26"/>
          </reference>
          <reference field="3" count="1" selected="0">
            <x v="0"/>
          </reference>
          <reference field="12" count="1" selected="0">
            <x v="0"/>
          </reference>
          <reference field="13" count="1" selected="0">
            <x v="0"/>
          </reference>
          <reference field="14" count="1" selected="0">
            <x v="38"/>
          </reference>
          <reference field="15" count="1" selected="0">
            <x v="0"/>
          </reference>
          <reference field="16" count="1">
            <x v="0"/>
          </reference>
        </references>
      </pivotArea>
    </format>
    <format dxfId="1422">
      <pivotArea dataOnly="0" labelOnly="1" outline="0" fieldPosition="0">
        <references count="9">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selected="0">
            <x v="15"/>
          </reference>
          <reference field="16" count="1">
            <x v="63"/>
          </reference>
        </references>
      </pivotArea>
    </format>
    <format dxfId="1421">
      <pivotArea dataOnly="0" labelOnly="1" outline="0" fieldPosition="0">
        <references count="9">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selected="0">
            <x v="14"/>
          </reference>
          <reference field="16" count="1">
            <x v="0"/>
          </reference>
        </references>
      </pivotArea>
    </format>
    <format dxfId="1420">
      <pivotArea dataOnly="0" labelOnly="1" outline="0" fieldPosition="0">
        <references count="9">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selected="0">
            <x v="21"/>
          </reference>
          <reference field="16" count="1">
            <x v="7"/>
          </reference>
        </references>
      </pivotArea>
    </format>
    <format dxfId="1419">
      <pivotArea dataOnly="0" labelOnly="1" outline="0" fieldPosition="0">
        <references count="9">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selected="0">
            <x v="45"/>
          </reference>
          <reference field="16" count="1">
            <x v="4"/>
          </reference>
        </references>
      </pivotArea>
    </format>
    <format dxfId="1418">
      <pivotArea dataOnly="0" labelOnly="1" outline="0" fieldPosition="0">
        <references count="9">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selected="0">
            <x v="0"/>
          </reference>
          <reference field="16" count="1">
            <x v="0"/>
          </reference>
        </references>
      </pivotArea>
    </format>
    <format dxfId="1417">
      <pivotArea dataOnly="0" labelOnly="1" outline="0" fieldPosition="0">
        <references count="9">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selected="0">
            <x v="12"/>
          </reference>
          <reference field="16" count="1">
            <x v="0"/>
          </reference>
        </references>
      </pivotArea>
    </format>
    <format dxfId="1416">
      <pivotArea dataOnly="0" labelOnly="1" outline="0" fieldPosition="0">
        <references count="9">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selected="0">
            <x v="11"/>
          </reference>
          <reference field="16" count="1">
            <x v="0"/>
          </reference>
        </references>
      </pivotArea>
    </format>
    <format dxfId="1415">
      <pivotArea dataOnly="0" labelOnly="1" outline="0" fieldPosition="0">
        <references count="9">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selected="0">
            <x v="0"/>
          </reference>
          <reference field="16" count="1">
            <x v="0"/>
          </reference>
        </references>
      </pivotArea>
    </format>
    <format dxfId="1414">
      <pivotArea dataOnly="0" labelOnly="1" outline="0" fieldPosition="0">
        <references count="9">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selected="0">
            <x v="23"/>
          </reference>
          <reference field="16" count="1">
            <x v="13"/>
          </reference>
        </references>
      </pivotArea>
    </format>
    <format dxfId="1413">
      <pivotArea dataOnly="0" labelOnly="1" outline="0" fieldPosition="0">
        <references count="9">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selected="0">
            <x v="23"/>
          </reference>
          <reference field="16" count="1">
            <x v="2"/>
          </reference>
        </references>
      </pivotArea>
    </format>
    <format dxfId="1412">
      <pivotArea dataOnly="0" labelOnly="1" outline="0" fieldPosition="0">
        <references count="9">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39"/>
          </reference>
        </references>
      </pivotArea>
    </format>
    <format dxfId="1411">
      <pivotArea dataOnly="0" labelOnly="1" outline="0" fieldPosition="0">
        <references count="9">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40"/>
          </reference>
        </references>
      </pivotArea>
    </format>
    <format dxfId="1410">
      <pivotArea dataOnly="0" labelOnly="1" outline="0" fieldPosition="0">
        <references count="9">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selected="0">
            <x v="16"/>
          </reference>
          <reference field="16" count="1">
            <x v="35"/>
          </reference>
        </references>
      </pivotArea>
    </format>
    <format dxfId="1409">
      <pivotArea dataOnly="0" labelOnly="1" outline="0" fieldPosition="0">
        <references count="9">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selected="0">
            <x v="0"/>
          </reference>
          <reference field="16" count="1">
            <x v="0"/>
          </reference>
        </references>
      </pivotArea>
    </format>
    <format dxfId="1408">
      <pivotArea dataOnly="0" labelOnly="1" outline="0" fieldPosition="0">
        <references count="9">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1407">
      <pivotArea dataOnly="0" labelOnly="1" outline="0" fieldPosition="0">
        <references count="9">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36"/>
          </reference>
        </references>
      </pivotArea>
    </format>
    <format dxfId="1406">
      <pivotArea dataOnly="0" labelOnly="1" outline="0" fieldPosition="0">
        <references count="9">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1405">
      <pivotArea dataOnly="0" labelOnly="1" outline="0" fieldPosition="0">
        <references count="9">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selected="0">
            <x v="22"/>
          </reference>
          <reference field="16" count="1">
            <x v="37"/>
          </reference>
        </references>
      </pivotArea>
    </format>
    <format dxfId="1404">
      <pivotArea dataOnly="0" labelOnly="1" outline="0" fieldPosition="0">
        <references count="9">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selected="0">
            <x v="17"/>
          </reference>
          <reference field="16" count="1">
            <x v="0"/>
          </reference>
        </references>
      </pivotArea>
    </format>
    <format dxfId="1403">
      <pivotArea dataOnly="0" labelOnly="1" outline="0" fieldPosition="0">
        <references count="9">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1402">
      <pivotArea dataOnly="0" labelOnly="1" outline="0" fieldPosition="0">
        <references count="9">
          <reference field="0" count="1" selected="0">
            <x v="56"/>
          </reference>
          <reference field="1" count="1" selected="0">
            <x v="36"/>
          </reference>
          <reference field="2" count="1" selected="0">
            <x v="183"/>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1401">
      <pivotArea dataOnly="0" labelOnly="1" outline="0" fieldPosition="0">
        <references count="9">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selected="0">
            <x v="43"/>
          </reference>
          <reference field="16" count="1">
            <x v="0"/>
          </reference>
        </references>
      </pivotArea>
    </format>
    <format dxfId="1400">
      <pivotArea dataOnly="0" labelOnly="1" outline="0" fieldPosition="0">
        <references count="9">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selected="0">
            <x v="37"/>
          </reference>
          <reference field="15" count="1" selected="0">
            <x v="43"/>
          </reference>
          <reference field="16" count="1">
            <x v="0"/>
          </reference>
        </references>
      </pivotArea>
    </format>
    <format dxfId="1399">
      <pivotArea dataOnly="0" labelOnly="1" outline="0" fieldPosition="0">
        <references count="9">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selected="0">
            <x v="36"/>
          </reference>
          <reference field="15" count="1" selected="0">
            <x v="43"/>
          </reference>
          <reference field="16" count="1">
            <x v="0"/>
          </reference>
        </references>
      </pivotArea>
    </format>
    <format dxfId="1398">
      <pivotArea dataOnly="0" labelOnly="1" outline="0" fieldPosition="0">
        <references count="9">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selected="0">
            <x v="0"/>
          </reference>
          <reference field="15" count="1" selected="0">
            <x v="43"/>
          </reference>
          <reference field="16" count="1">
            <x v="0"/>
          </reference>
        </references>
      </pivotArea>
    </format>
    <format dxfId="1397">
      <pivotArea dataOnly="0" labelOnly="1" outline="0" fieldPosition="0">
        <references count="9">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selected="0">
            <x v="40"/>
          </reference>
          <reference field="16" count="1">
            <x v="31"/>
          </reference>
        </references>
      </pivotArea>
    </format>
    <format dxfId="1396">
      <pivotArea dataOnly="0" labelOnly="1" outline="0" fieldPosition="0">
        <references count="9">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selected="0">
            <x v="41"/>
          </reference>
          <reference field="16" count="1">
            <x v="32"/>
          </reference>
        </references>
      </pivotArea>
    </format>
    <format dxfId="1395">
      <pivotArea dataOnly="0" labelOnly="1" outline="0" fieldPosition="0">
        <references count="9">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selected="0">
            <x v="0"/>
          </reference>
          <reference field="16" count="1">
            <x v="0"/>
          </reference>
        </references>
      </pivotArea>
    </format>
    <format dxfId="1394">
      <pivotArea dataOnly="0" labelOnly="1" outline="0" fieldPosition="0">
        <references count="9">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selected="0">
            <x v="0"/>
          </reference>
          <reference field="15" count="1" selected="0">
            <x v="0"/>
          </reference>
          <reference field="16" count="1">
            <x v="0"/>
          </reference>
        </references>
      </pivotArea>
    </format>
    <format dxfId="1393">
      <pivotArea dataOnly="0" labelOnly="1" outline="0" fieldPosition="0">
        <references count="9">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2"/>
          </reference>
        </references>
      </pivotArea>
    </format>
    <format dxfId="1392">
      <pivotArea dataOnly="0" labelOnly="1" outline="0" fieldPosition="0">
        <references count="9">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0"/>
          </reference>
        </references>
      </pivotArea>
    </format>
    <format dxfId="1391">
      <pivotArea dataOnly="0" labelOnly="1" outline="0" fieldPosition="0">
        <references count="9">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selected="0">
            <x v="29"/>
          </reference>
          <reference field="16" count="1">
            <x v="0"/>
          </reference>
        </references>
      </pivotArea>
    </format>
    <format dxfId="1390">
      <pivotArea dataOnly="0" labelOnly="1" outline="0" fieldPosition="0">
        <references count="9">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selected="0">
            <x v="26"/>
          </reference>
          <reference field="16" count="1">
            <x v="6"/>
          </reference>
        </references>
      </pivotArea>
    </format>
    <format dxfId="1389">
      <pivotArea dataOnly="0" labelOnly="1" outline="0" fieldPosition="0">
        <references count="9">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selected="0">
            <x v="0"/>
          </reference>
          <reference field="16" count="1">
            <x v="59"/>
          </reference>
        </references>
      </pivotArea>
    </format>
    <format dxfId="1388">
      <pivotArea dataOnly="0" labelOnly="1" outline="0" fieldPosition="0">
        <references count="9">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selected="0">
            <x v="29"/>
          </reference>
          <reference field="16" count="1">
            <x v="0"/>
          </reference>
        </references>
      </pivotArea>
    </format>
    <format dxfId="1387">
      <pivotArea dataOnly="0" labelOnly="1" outline="0" fieldPosition="0">
        <references count="9">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selected="0">
            <x v="0"/>
          </reference>
          <reference field="16" count="1">
            <x v="52"/>
          </reference>
        </references>
      </pivotArea>
    </format>
    <format dxfId="1386">
      <pivotArea dataOnly="0" labelOnly="1" outline="0" fieldPosition="0">
        <references count="9">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52"/>
          </reference>
        </references>
      </pivotArea>
    </format>
    <format dxfId="1385">
      <pivotArea dataOnly="0" labelOnly="1" outline="0" fieldPosition="0">
        <references count="9">
          <reference field="0" count="1" selected="0">
            <x v="90"/>
          </reference>
          <reference field="1" count="1" selected="0">
            <x v="77"/>
          </reference>
          <reference field="2" count="1" selected="0">
            <x v="43"/>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52"/>
          </reference>
        </references>
      </pivotArea>
    </format>
    <format dxfId="1384">
      <pivotArea dataOnly="0" labelOnly="1" outline="0" fieldPosition="0">
        <references count="9">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0"/>
          </reference>
        </references>
      </pivotArea>
    </format>
    <format dxfId="1383">
      <pivotArea dataOnly="0" labelOnly="1" outline="0" fieldPosition="0">
        <references count="9">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2"/>
          </reference>
        </references>
      </pivotArea>
    </format>
    <format dxfId="1382">
      <pivotArea dataOnly="0" labelOnly="1" outline="0" fieldPosition="0">
        <references count="9">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7"/>
          </reference>
        </references>
      </pivotArea>
    </format>
    <format dxfId="1381">
      <pivotArea dataOnly="0" labelOnly="1" outline="0" fieldPosition="0">
        <references count="9">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selected="0">
            <x v="0"/>
          </reference>
          <reference field="16" count="1">
            <x v="52"/>
          </reference>
        </references>
      </pivotArea>
    </format>
    <format dxfId="1380">
      <pivotArea dataOnly="0" labelOnly="1" outline="0" fieldPosition="0">
        <references count="9">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1379">
      <pivotArea dataOnly="0" labelOnly="1" outline="0" fieldPosition="0">
        <references count="9">
          <reference field="0" count="1" selected="0">
            <x v="97"/>
          </reference>
          <reference field="1" count="1" selected="0">
            <x v="84"/>
          </reference>
          <reference field="2" count="1" selected="0">
            <x v="6"/>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1378">
      <pivotArea dataOnly="0" labelOnly="1" outline="0" fieldPosition="0">
        <references count="9">
          <reference field="0" count="1" selected="0">
            <x v="98"/>
          </reference>
          <reference field="1" count="1" selected="0">
            <x v="85"/>
          </reference>
          <reference field="2" count="1" selected="0">
            <x v="214"/>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1377">
      <pivotArea dataOnly="0" labelOnly="1" outline="0" fieldPosition="0">
        <references count="9">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selected="0">
            <x v="28"/>
          </reference>
          <reference field="16" count="1">
            <x v="60"/>
          </reference>
        </references>
      </pivotArea>
    </format>
    <format dxfId="1376">
      <pivotArea dataOnly="0" labelOnly="1" outline="0" fieldPosition="0">
        <references count="9">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selected="0">
            <x v="0"/>
          </reference>
          <reference field="16" count="1">
            <x v="20"/>
          </reference>
        </references>
      </pivotArea>
    </format>
    <format dxfId="1375">
      <pivotArea dataOnly="0" labelOnly="1" outline="0" fieldPosition="0">
        <references count="9">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6"/>
          </reference>
        </references>
      </pivotArea>
    </format>
    <format dxfId="1374">
      <pivotArea dataOnly="0" labelOnly="1" outline="0" fieldPosition="0">
        <references count="9">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5"/>
          </reference>
        </references>
      </pivotArea>
    </format>
    <format dxfId="1373">
      <pivotArea dataOnly="0" labelOnly="1" outline="0" fieldPosition="0">
        <references count="9">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selected="0">
            <x v="0"/>
          </reference>
          <reference field="16" count="1">
            <x v="60"/>
          </reference>
        </references>
      </pivotArea>
    </format>
    <format dxfId="1372">
      <pivotArea dataOnly="0" labelOnly="1" outline="0" fieldPosition="0">
        <references count="9">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selected="0">
            <x v="30"/>
          </reference>
          <reference field="16" count="1">
            <x v="49"/>
          </reference>
        </references>
      </pivotArea>
    </format>
    <format dxfId="1371">
      <pivotArea dataOnly="0" labelOnly="1" outline="0" fieldPosition="0">
        <references count="9">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selected="0">
            <x v="30"/>
          </reference>
          <reference field="16" count="1">
            <x v="51"/>
          </reference>
        </references>
      </pivotArea>
    </format>
    <format dxfId="1370">
      <pivotArea dataOnly="0" labelOnly="1" outline="0" fieldPosition="0">
        <references count="9">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selected="0">
            <x v="31"/>
          </reference>
          <reference field="16" count="1">
            <x v="51"/>
          </reference>
        </references>
      </pivotArea>
    </format>
    <format dxfId="1369">
      <pivotArea dataOnly="0" labelOnly="1" outline="0" fieldPosition="0">
        <references count="9">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selected="0">
            <x v="26"/>
          </reference>
          <reference field="16" count="1">
            <x v="0"/>
          </reference>
        </references>
      </pivotArea>
    </format>
    <format dxfId="1368">
      <pivotArea dataOnly="0" labelOnly="1" outline="0" fieldPosition="0">
        <references count="9">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selected="0">
            <x v="27"/>
          </reference>
          <reference field="16" count="1">
            <x v="0"/>
          </reference>
        </references>
      </pivotArea>
    </format>
    <format dxfId="1367">
      <pivotArea dataOnly="0" labelOnly="1" outline="0" fieldPosition="0">
        <references count="9">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selected="0">
            <x v="0"/>
          </reference>
          <reference field="16" count="1">
            <x v="0"/>
          </reference>
        </references>
      </pivotArea>
    </format>
    <format dxfId="1366">
      <pivotArea dataOnly="0" labelOnly="1" outline="0" fieldPosition="0">
        <references count="9">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selected="0">
            <x v="11"/>
          </reference>
          <reference field="15" count="1" selected="0">
            <x v="0"/>
          </reference>
          <reference field="16" count="1">
            <x v="0"/>
          </reference>
        </references>
      </pivotArea>
    </format>
    <format dxfId="1365">
      <pivotArea dataOnly="0" labelOnly="1" outline="0" fieldPosition="0">
        <references count="9">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selected="0">
            <x v="38"/>
          </reference>
          <reference field="15" count="1" selected="0">
            <x v="0"/>
          </reference>
          <reference field="16" count="1">
            <x v="0"/>
          </reference>
        </references>
      </pivotArea>
    </format>
    <format dxfId="1364">
      <pivotArea dataOnly="0" labelOnly="1" outline="0" fieldPosition="0">
        <references count="9">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selected="0">
            <x v="34"/>
          </reference>
          <reference field="15" count="1" selected="0">
            <x v="0"/>
          </reference>
          <reference field="16" count="1">
            <x v="0"/>
          </reference>
        </references>
      </pivotArea>
    </format>
    <format dxfId="1363">
      <pivotArea dataOnly="0" labelOnly="1" outline="0" fieldPosition="0">
        <references count="9">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selected="0">
            <x v="32"/>
          </reference>
          <reference field="16" count="1">
            <x v="0"/>
          </reference>
        </references>
      </pivotArea>
    </format>
    <format dxfId="1362">
      <pivotArea dataOnly="0" labelOnly="1" outline="0" fieldPosition="0">
        <references count="9">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selected="0">
            <x v="37"/>
          </reference>
          <reference field="15" count="1" selected="0">
            <x v="32"/>
          </reference>
          <reference field="16" count="1">
            <x v="0"/>
          </reference>
        </references>
      </pivotArea>
    </format>
    <format dxfId="1361">
      <pivotArea dataOnly="0" labelOnly="1" outline="0" fieldPosition="0">
        <references count="9">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selected="0">
            <x v="36"/>
          </reference>
          <reference field="15" count="1" selected="0">
            <x v="32"/>
          </reference>
          <reference field="16" count="1">
            <x v="0"/>
          </reference>
        </references>
      </pivotArea>
    </format>
    <format dxfId="1360">
      <pivotArea dataOnly="0" labelOnly="1" outline="0" fieldPosition="0">
        <references count="9">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selected="0">
            <x v="0"/>
          </reference>
          <reference field="16" count="1">
            <x v="0"/>
          </reference>
        </references>
      </pivotArea>
    </format>
    <format dxfId="1359">
      <pivotArea dataOnly="0" labelOnly="1" outline="0" fieldPosition="0">
        <references count="9">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selected="0">
            <x v="32"/>
          </reference>
          <reference field="16" count="1">
            <x v="0"/>
          </reference>
        </references>
      </pivotArea>
    </format>
    <format dxfId="1358">
      <pivotArea dataOnly="0" labelOnly="1" outline="0" fieldPosition="0">
        <references count="9">
          <reference field="0" count="1" selected="0">
            <x v="130"/>
          </reference>
          <reference field="1" count="1" selected="0">
            <x v="117"/>
          </reference>
          <reference field="2" count="1" selected="0">
            <x v="118"/>
          </reference>
          <reference field="3" count="1" selected="0">
            <x v="0"/>
          </reference>
          <reference field="12" count="1" selected="0">
            <x v="7"/>
          </reference>
          <reference field="13" count="1" selected="0">
            <x v="0"/>
          </reference>
          <reference field="14" count="1" selected="0">
            <x v="37"/>
          </reference>
          <reference field="15" count="1" selected="0">
            <x v="32"/>
          </reference>
          <reference field="16" count="1">
            <x v="0"/>
          </reference>
        </references>
      </pivotArea>
    </format>
    <format dxfId="1357">
      <pivotArea dataOnly="0" labelOnly="1" outline="0" fieldPosition="0">
        <references count="9">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selected="0">
            <x v="43"/>
          </reference>
          <reference field="16" count="1">
            <x v="0"/>
          </reference>
        </references>
      </pivotArea>
    </format>
    <format dxfId="1356">
      <pivotArea dataOnly="0" labelOnly="1" outline="0" fieldPosition="0">
        <references count="9">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selected="0">
            <x v="37"/>
          </reference>
          <reference field="15" count="1" selected="0">
            <x v="43"/>
          </reference>
          <reference field="16" count="1">
            <x v="0"/>
          </reference>
        </references>
      </pivotArea>
    </format>
    <format dxfId="1355">
      <pivotArea dataOnly="0" labelOnly="1" outline="0" fieldPosition="0">
        <references count="9">
          <reference field="0" count="1" selected="0">
            <x v="136"/>
          </reference>
          <reference field="1" count="1" selected="0">
            <x v="129"/>
          </reference>
          <reference field="2" count="1" selected="0">
            <x v="219"/>
          </reference>
          <reference field="3" count="1" selected="0">
            <x v="0"/>
          </reference>
          <reference field="12" count="1" selected="0">
            <x v="3"/>
          </reference>
          <reference field="13" count="1" selected="0">
            <x v="0"/>
          </reference>
          <reference field="14" count="1" selected="0">
            <x v="37"/>
          </reference>
          <reference field="15" count="1" selected="0">
            <x v="43"/>
          </reference>
          <reference field="16" count="1">
            <x v="0"/>
          </reference>
        </references>
      </pivotArea>
    </format>
    <format dxfId="1354">
      <pivotArea dataOnly="0" labelOnly="1" outline="0" fieldPosition="0">
        <references count="9">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selected="0">
            <x v="0"/>
          </reference>
          <reference field="16" count="1">
            <x v="45"/>
          </reference>
        </references>
      </pivotArea>
    </format>
    <format dxfId="1353">
      <pivotArea dataOnly="0" labelOnly="1" outline="0" fieldPosition="0">
        <references count="9">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selected="0">
            <x v="33"/>
          </reference>
          <reference field="16" count="1">
            <x v="0"/>
          </reference>
        </references>
      </pivotArea>
    </format>
    <format dxfId="1352">
      <pivotArea dataOnly="0" labelOnly="1" outline="0" fieldPosition="0">
        <references count="9">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selected="0">
            <x v="24"/>
          </reference>
          <reference field="16" count="1">
            <x v="0"/>
          </reference>
        </references>
      </pivotArea>
    </format>
    <format dxfId="1351">
      <pivotArea dataOnly="0" labelOnly="1" outline="0" fieldPosition="0">
        <references count="9">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selected="0">
            <x v="14"/>
          </reference>
          <reference field="15" count="1" selected="0">
            <x v="24"/>
          </reference>
          <reference field="16" count="1">
            <x v="0"/>
          </reference>
        </references>
      </pivotArea>
    </format>
    <format dxfId="1350">
      <pivotArea dataOnly="0" labelOnly="1" outline="0" fieldPosition="0">
        <references count="9">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349">
      <pivotArea dataOnly="0" labelOnly="1" outline="0" fieldPosition="0">
        <references count="9">
          <reference field="0" count="1" selected="0">
            <x v="150"/>
          </reference>
          <reference field="1" count="1" selected="0">
            <x v="143"/>
          </reference>
          <reference field="2" count="1" selected="0">
            <x v="166"/>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348">
      <pivotArea dataOnly="0" labelOnly="1" outline="0" fieldPosition="0">
        <references count="9">
          <reference field="0" count="1" selected="0">
            <x v="151"/>
          </reference>
          <reference field="1" count="1" selected="0">
            <x v="144"/>
          </reference>
          <reference field="2" count="1" selected="0">
            <x v="8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347">
      <pivotArea dataOnly="0" labelOnly="1" outline="0" fieldPosition="0">
        <references count="9">
          <reference field="0" count="1" selected="0">
            <x v="152"/>
          </reference>
          <reference field="1" count="1" selected="0">
            <x v="145"/>
          </reference>
          <reference field="2" count="1" selected="0">
            <x v="86"/>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1346">
      <pivotArea dataOnly="0" labelOnly="1" outline="0" fieldPosition="0">
        <references count="9">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selected="0">
            <x v="0"/>
          </reference>
          <reference field="16" count="1">
            <x v="44"/>
          </reference>
        </references>
      </pivotArea>
    </format>
    <format dxfId="1345">
      <pivotArea dataOnly="0" labelOnly="1" outline="0" fieldPosition="0">
        <references count="9">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selected="0">
            <x v="3"/>
          </reference>
          <reference field="16" count="1">
            <x v="44"/>
          </reference>
        </references>
      </pivotArea>
    </format>
    <format dxfId="1344">
      <pivotArea dataOnly="0" labelOnly="1" outline="0" fieldPosition="0">
        <references count="9">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selected="0">
            <x v="1"/>
          </reference>
          <reference field="16" count="1">
            <x v="28"/>
          </reference>
        </references>
      </pivotArea>
    </format>
    <format dxfId="1343">
      <pivotArea dataOnly="0" labelOnly="1" outline="0" fieldPosition="0">
        <references count="9">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selected="0">
            <x v="8"/>
          </reference>
          <reference field="16" count="1">
            <x v="0"/>
          </reference>
        </references>
      </pivotArea>
    </format>
    <format dxfId="1342">
      <pivotArea dataOnly="0" labelOnly="1" outline="0" fieldPosition="0">
        <references count="9">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selected="0">
            <x v="8"/>
          </reference>
          <reference field="16" count="1">
            <x v="5"/>
          </reference>
        </references>
      </pivotArea>
    </format>
    <format dxfId="1341">
      <pivotArea dataOnly="0" labelOnly="1" outline="0" fieldPosition="0">
        <references count="9">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selected="0">
            <x v="7"/>
          </reference>
          <reference field="16" count="1">
            <x v="0"/>
          </reference>
        </references>
      </pivotArea>
    </format>
    <format dxfId="1340">
      <pivotArea dataOnly="0" labelOnly="1" outline="0" fieldPosition="0">
        <references count="9">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selected="0">
            <x v="0"/>
          </reference>
          <reference field="16" count="1">
            <x v="0"/>
          </reference>
        </references>
      </pivotArea>
    </format>
    <format dxfId="1339">
      <pivotArea dataOnly="0" labelOnly="1" outline="0" fieldPosition="0">
        <references count="9">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selected="0">
            <x v="5"/>
          </reference>
          <reference field="16" count="1">
            <x v="0"/>
          </reference>
        </references>
      </pivotArea>
    </format>
    <format dxfId="1338">
      <pivotArea dataOnly="0" labelOnly="1" outline="0" fieldPosition="0">
        <references count="9">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selected="0">
            <x v="6"/>
          </reference>
          <reference field="16" count="1">
            <x v="0"/>
          </reference>
        </references>
      </pivotArea>
    </format>
    <format dxfId="1337">
      <pivotArea dataOnly="0" labelOnly="1" outline="0" fieldPosition="0">
        <references count="9">
          <reference field="0" count="1" selected="0">
            <x v="166"/>
          </reference>
          <reference field="1" count="1" selected="0">
            <x v="190"/>
          </reference>
          <reference field="2" count="1" selected="0">
            <x v="213"/>
          </reference>
          <reference field="3" count="1" selected="0">
            <x v="0"/>
          </reference>
          <reference field="12" count="1" selected="0">
            <x v="13"/>
          </reference>
          <reference field="13" count="1" selected="0">
            <x v="0"/>
          </reference>
          <reference field="14" count="1" selected="0">
            <x v="21"/>
          </reference>
          <reference field="15" count="1" selected="0">
            <x v="6"/>
          </reference>
          <reference field="16" count="1">
            <x v="0"/>
          </reference>
        </references>
      </pivotArea>
    </format>
    <format dxfId="1336">
      <pivotArea dataOnly="0" labelOnly="1" outline="0" fieldPosition="0">
        <references count="9">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selected="0">
            <x v="19"/>
          </reference>
          <reference field="16" count="1">
            <x v="58"/>
          </reference>
        </references>
      </pivotArea>
    </format>
    <format dxfId="1335">
      <pivotArea dataOnly="0" labelOnly="1" outline="0" fieldPosition="0">
        <references count="9">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selected="0">
            <x v="18"/>
          </reference>
          <reference field="16" count="1">
            <x v="54"/>
          </reference>
        </references>
      </pivotArea>
    </format>
    <format dxfId="1334">
      <pivotArea dataOnly="0" labelOnly="1" outline="0" fieldPosition="0">
        <references count="9">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selected="0">
            <x v="30"/>
          </reference>
          <reference field="16" count="1">
            <x v="50"/>
          </reference>
        </references>
      </pivotArea>
    </format>
    <format dxfId="1333">
      <pivotArea dataOnly="0" labelOnly="1" outline="0" fieldPosition="0">
        <references count="9">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selected="0">
            <x v="38"/>
          </reference>
          <reference field="16" count="1">
            <x v="0"/>
          </reference>
        </references>
      </pivotArea>
    </format>
    <format dxfId="1332">
      <pivotArea dataOnly="0" labelOnly="1" outline="0" fieldPosition="0">
        <references count="9">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selected="0">
            <x v="0"/>
          </reference>
          <reference field="16" count="1">
            <x v="0"/>
          </reference>
        </references>
      </pivotArea>
    </format>
    <format dxfId="1331">
      <pivotArea dataOnly="0" labelOnly="1" outline="0" fieldPosition="0">
        <references count="9">
          <reference field="0" count="1" selected="0">
            <x v="176"/>
          </reference>
          <reference field="1" count="1" selected="0">
            <x v="208"/>
          </reference>
          <reference field="2" count="1" selected="0">
            <x v="215"/>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0"/>
          </reference>
        </references>
      </pivotArea>
    </format>
    <format dxfId="1330">
      <pivotArea dataOnly="0" labelOnly="1" outline="0" fieldPosition="0">
        <references count="9">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selected="0">
            <x v="10"/>
          </reference>
          <reference field="16" count="1">
            <x v="0"/>
          </reference>
        </references>
      </pivotArea>
    </format>
    <format dxfId="1329">
      <pivotArea dataOnly="0" labelOnly="1" outline="0" fieldPosition="0">
        <references count="9">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22"/>
          </reference>
        </references>
      </pivotArea>
    </format>
    <format dxfId="1328">
      <pivotArea dataOnly="0" labelOnly="1" outline="0" fieldPosition="0">
        <references count="9">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selected="0">
            <x v="39"/>
          </reference>
          <reference field="16" count="1">
            <x v="0"/>
          </reference>
        </references>
      </pivotArea>
    </format>
    <format dxfId="1327">
      <pivotArea dataOnly="0" labelOnly="1" outline="0" fieldPosition="0">
        <references count="9">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selected="0">
            <x v="43"/>
          </reference>
          <reference field="16" count="1">
            <x v="42"/>
          </reference>
        </references>
      </pivotArea>
    </format>
    <format dxfId="1326">
      <pivotArea dataOnly="0" labelOnly="1" outline="0" fieldPosition="0">
        <references count="9">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46"/>
          </reference>
        </references>
      </pivotArea>
    </format>
    <format dxfId="1325">
      <pivotArea dataOnly="0" labelOnly="1" outline="0" fieldPosition="0">
        <references count="9">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45"/>
          </reference>
        </references>
      </pivotArea>
    </format>
    <format dxfId="1324">
      <pivotArea dataOnly="0" labelOnly="1" outline="0" fieldPosition="0">
        <references count="9">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0"/>
          </reference>
        </references>
      </pivotArea>
    </format>
    <format dxfId="1323">
      <pivotArea dataOnly="0" labelOnly="1" outline="0" fieldPosition="0">
        <references count="9">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selected="0">
            <x v="37"/>
          </reference>
          <reference field="16" count="1">
            <x v="61"/>
          </reference>
        </references>
      </pivotArea>
    </format>
    <format dxfId="1322">
      <pivotArea dataOnly="0" labelOnly="1" outline="0" fieldPosition="0">
        <references count="9">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selected="0">
            <x v="37"/>
          </reference>
          <reference field="16" count="1">
            <x v="0"/>
          </reference>
        </references>
      </pivotArea>
    </format>
    <format dxfId="1321">
      <pivotArea dataOnly="0" labelOnly="1" outline="0" fieldPosition="0">
        <references count="9">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selected="0">
            <x v="15"/>
          </reference>
          <reference field="16" count="1">
            <x v="0"/>
          </reference>
        </references>
      </pivotArea>
    </format>
    <format dxfId="1320">
      <pivotArea dataOnly="0" labelOnly="1" outline="0" fieldPosition="0">
        <references count="9">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4"/>
          </reference>
        </references>
      </pivotArea>
    </format>
    <format dxfId="1319">
      <pivotArea dataOnly="0" labelOnly="1" outline="0" fieldPosition="0">
        <references count="9">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6"/>
          </reference>
        </references>
      </pivotArea>
    </format>
    <format dxfId="1318">
      <pivotArea dataOnly="0" labelOnly="1" outline="0" fieldPosition="0">
        <references count="9">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selected="0">
            <x v="23"/>
          </reference>
          <reference field="16" count="1">
            <x v="14"/>
          </reference>
        </references>
      </pivotArea>
    </format>
    <format dxfId="1317">
      <pivotArea dataOnly="0" labelOnly="1" outline="0" fieldPosition="0">
        <references count="9">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0"/>
          </reference>
        </references>
      </pivotArea>
    </format>
    <format dxfId="1316">
      <pivotArea dataOnly="0" labelOnly="1" outline="0" fieldPosition="0">
        <references count="9">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selected="0">
            <x v="0"/>
          </reference>
          <reference field="15" count="1" selected="0">
            <x v="0"/>
          </reference>
          <reference field="16" count="1">
            <x v="0"/>
          </reference>
        </references>
      </pivotArea>
    </format>
    <format dxfId="1315">
      <pivotArea dataOnly="0" labelOnly="1" outline="0" fieldPosition="0">
        <references count="9">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selected="0">
            <x v="36"/>
          </reference>
          <reference field="16" count="1">
            <x v="30"/>
          </reference>
        </references>
      </pivotArea>
    </format>
    <format dxfId="1314">
      <pivotArea dataOnly="0" labelOnly="1" outline="0" fieldPosition="0">
        <references count="9">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selected="0">
            <x v="9"/>
          </reference>
          <reference field="16" count="1">
            <x v="18"/>
          </reference>
        </references>
      </pivotArea>
    </format>
    <format dxfId="1313">
      <pivotArea dataOnly="0" labelOnly="1" outline="0" fieldPosition="0">
        <references count="9">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selected="0">
            <x v="0"/>
          </reference>
          <reference field="15" count="1" selected="0">
            <x v="9"/>
          </reference>
          <reference field="16" count="1">
            <x v="18"/>
          </reference>
        </references>
      </pivotArea>
    </format>
    <format dxfId="1312">
      <pivotArea dataOnly="0" labelOnly="1" outline="0" fieldPosition="0">
        <references count="9">
          <reference field="0" count="1" selected="0">
            <x v="201"/>
          </reference>
          <reference field="1" count="1" selected="0">
            <x v="240"/>
          </reference>
          <reference field="2" count="1" selected="0">
            <x v="37"/>
          </reference>
          <reference field="3" count="1" selected="0">
            <x v="0"/>
          </reference>
          <reference field="12" count="1" selected="0">
            <x v="20"/>
          </reference>
          <reference field="13" count="1" selected="0">
            <x v="0"/>
          </reference>
          <reference field="14" count="1" selected="0">
            <x v="0"/>
          </reference>
          <reference field="15" count="1" selected="0">
            <x v="9"/>
          </reference>
          <reference field="16" count="1">
            <x v="18"/>
          </reference>
        </references>
      </pivotArea>
    </format>
    <format dxfId="1311">
      <pivotArea dataOnly="0" labelOnly="1" outline="0" fieldPosition="0">
        <references count="9">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selected="0">
            <x v="15"/>
          </reference>
          <reference field="16" count="1">
            <x v="27"/>
          </reference>
        </references>
      </pivotArea>
    </format>
    <format dxfId="1310">
      <pivotArea dataOnly="0" labelOnly="1" outline="0" fieldPosition="0">
        <references count="9">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selected="0">
            <x v="15"/>
          </reference>
          <reference field="16" count="1">
            <x v="0"/>
          </reference>
        </references>
      </pivotArea>
    </format>
    <format dxfId="1309">
      <pivotArea dataOnly="0" labelOnly="1" outline="0" fieldPosition="0">
        <references count="9">
          <reference field="0" count="1" selected="0">
            <x v="207"/>
          </reference>
          <reference field="1" count="1" selected="0">
            <x v="152"/>
          </reference>
          <reference field="2" count="1" selected="0">
            <x v="81"/>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0"/>
          </reference>
        </references>
      </pivotArea>
    </format>
    <format dxfId="1308">
      <pivotArea dataOnly="0" labelOnly="1" outline="0" fieldPosition="0">
        <references count="9">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selected="0">
            <x v="15"/>
          </reference>
          <reference field="16" count="1">
            <x v="43"/>
          </reference>
        </references>
      </pivotArea>
    </format>
    <format dxfId="1307">
      <pivotArea dataOnly="0" labelOnly="1" outline="0" fieldPosition="0">
        <references count="9">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selected="0">
            <x v="15"/>
          </reference>
          <reference field="16" count="1">
            <x v="47"/>
          </reference>
        </references>
      </pivotArea>
    </format>
    <format dxfId="1306">
      <pivotArea dataOnly="0" labelOnly="1" outline="0" fieldPosition="0">
        <references count="9">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selected="0">
            <x v="15"/>
          </reference>
          <reference field="16" count="1">
            <x v="0"/>
          </reference>
        </references>
      </pivotArea>
    </format>
    <format dxfId="1305">
      <pivotArea dataOnly="0" labelOnly="1" outline="0" fieldPosition="0">
        <references count="9">
          <reference field="0" count="1" selected="0">
            <x v="211"/>
          </reference>
          <reference field="1" count="1" selected="0">
            <x v="156"/>
          </reference>
          <reference field="2" count="1" selected="0">
            <x v="164"/>
          </reference>
          <reference field="3" count="1" selected="0">
            <x v="0"/>
          </reference>
          <reference field="12" count="1" selected="0">
            <x v="20"/>
          </reference>
          <reference field="13" count="1" selected="0">
            <x v="3"/>
          </reference>
          <reference field="14" count="1" selected="0">
            <x v="0"/>
          </reference>
          <reference field="15" count="1" selected="0">
            <x v="15"/>
          </reference>
          <reference field="16" count="1">
            <x v="0"/>
          </reference>
        </references>
      </pivotArea>
    </format>
    <format dxfId="1304">
      <pivotArea dataOnly="0" labelOnly="1" outline="0" fieldPosition="0">
        <references count="9">
          <reference field="0" count="1" selected="0">
            <x v="212"/>
          </reference>
          <reference field="1" count="1" selected="0">
            <x v="157"/>
          </reference>
          <reference field="2" count="1" selected="0">
            <x v="170"/>
          </reference>
          <reference field="3" count="1" selected="0">
            <x v="0"/>
          </reference>
          <reference field="12" count="1" selected="0">
            <x v="20"/>
          </reference>
          <reference field="13" count="1" selected="0">
            <x v="4"/>
          </reference>
          <reference field="14" count="1" selected="0">
            <x v="0"/>
          </reference>
          <reference field="15" count="1" selected="0">
            <x v="15"/>
          </reference>
          <reference field="16" count="1">
            <x v="0"/>
          </reference>
        </references>
      </pivotArea>
    </format>
    <format dxfId="1303">
      <pivotArea dataOnly="0" labelOnly="1" outline="0" fieldPosition="0">
        <references count="9">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selected="0">
            <x v="15"/>
          </reference>
          <reference field="16" count="1">
            <x v="41"/>
          </reference>
        </references>
      </pivotArea>
    </format>
    <format dxfId="1302">
      <pivotArea dataOnly="0" labelOnly="1" outline="0" fieldPosition="0">
        <references count="9">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selected="0">
            <x v="15"/>
          </reference>
          <reference field="16" count="1">
            <x v="16"/>
          </reference>
        </references>
      </pivotArea>
    </format>
    <format dxfId="1301">
      <pivotArea dataOnly="0" labelOnly="1" outline="0" fieldPosition="0">
        <references count="9">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selected="0">
            <x v="15"/>
          </reference>
          <reference field="16" count="1">
            <x v="3"/>
          </reference>
        </references>
      </pivotArea>
    </format>
    <format dxfId="1300">
      <pivotArea dataOnly="0" labelOnly="1" outline="0" fieldPosition="0">
        <references count="9">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selected="0">
            <x v="15"/>
          </reference>
          <reference field="16" count="1">
            <x v="36"/>
          </reference>
        </references>
      </pivotArea>
    </format>
    <format dxfId="1299">
      <pivotArea dataOnly="0" labelOnly="1" outline="0" fieldPosition="0">
        <references count="9">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selected="0">
            <x v="15"/>
          </reference>
          <reference field="16" count="1">
            <x v="0"/>
          </reference>
        </references>
      </pivotArea>
    </format>
    <format dxfId="1298">
      <pivotArea dataOnly="0" labelOnly="1" outline="0" fieldPosition="0">
        <references count="9">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selected="0">
            <x v="15"/>
          </reference>
          <reference field="16" count="1">
            <x v="7"/>
          </reference>
        </references>
      </pivotArea>
    </format>
    <format dxfId="1297">
      <pivotArea dataOnly="0" labelOnly="1" outline="0" fieldPosition="0">
        <references count="9">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selected="0">
            <x v="15"/>
          </reference>
          <reference field="16" count="1">
            <x v="9"/>
          </reference>
        </references>
      </pivotArea>
    </format>
    <format dxfId="1296">
      <pivotArea dataOnly="0" labelOnly="1" outline="0" fieldPosition="0">
        <references count="9">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selected="0">
            <x v="15"/>
          </reference>
          <reference field="16" count="1">
            <x v="7"/>
          </reference>
        </references>
      </pivotArea>
    </format>
    <format dxfId="1295">
      <pivotArea dataOnly="0" labelOnly="1" outline="0" fieldPosition="0">
        <references count="9">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selected="0">
            <x v="15"/>
          </reference>
          <reference field="16" count="1">
            <x v="28"/>
          </reference>
        </references>
      </pivotArea>
    </format>
    <format dxfId="1294">
      <pivotArea dataOnly="0" labelOnly="1" outline="0" fieldPosition="0">
        <references count="9">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selected="0">
            <x v="15"/>
          </reference>
          <reference field="16" count="1">
            <x v="29"/>
          </reference>
        </references>
      </pivotArea>
    </format>
    <format dxfId="1293">
      <pivotArea dataOnly="0" labelOnly="1" outline="0" fieldPosition="0">
        <references count="9">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292">
      <pivotArea dataOnly="0" labelOnly="1" outline="0" fieldPosition="0">
        <references count="9">
          <reference field="0" count="1" selected="0">
            <x v="226"/>
          </reference>
          <reference field="1" count="1" selected="0">
            <x v="171"/>
          </reference>
          <reference field="2" count="1" selected="0">
            <x v="41"/>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291">
      <pivotArea dataOnly="0" labelOnly="1" outline="0" fieldPosition="0">
        <references count="9">
          <reference field="0" count="1" selected="0">
            <x v="227"/>
          </reference>
          <reference field="1" count="1" selected="0">
            <x v="172"/>
          </reference>
          <reference field="2" count="1" selected="0">
            <x v="42"/>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290">
      <pivotArea dataOnly="0" labelOnly="1" outline="0" fieldPosition="0">
        <references count="9">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selected="0">
            <x v="38"/>
          </reference>
          <reference field="15" count="1" selected="0">
            <x v="15"/>
          </reference>
          <reference field="16" count="1">
            <x v="0"/>
          </reference>
        </references>
      </pivotArea>
    </format>
    <format dxfId="1289">
      <pivotArea dataOnly="0" labelOnly="1" outline="0" fieldPosition="0">
        <references count="9">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selected="0">
            <x v="15"/>
          </reference>
          <reference field="16" count="1">
            <x v="19"/>
          </reference>
        </references>
      </pivotArea>
    </format>
    <format dxfId="1288">
      <pivotArea dataOnly="0" labelOnly="1" outline="0" fieldPosition="0">
        <references count="9">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selected="0">
            <x v="15"/>
          </reference>
          <reference field="16" count="1">
            <x v="48"/>
          </reference>
        </references>
      </pivotArea>
    </format>
    <format dxfId="1287">
      <pivotArea dataOnly="0" labelOnly="1" outline="0" fieldPosition="0">
        <references count="9">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selected="0">
            <x v="15"/>
          </reference>
          <reference field="16" count="1">
            <x v="0"/>
          </reference>
        </references>
      </pivotArea>
    </format>
    <format dxfId="1286">
      <pivotArea dataOnly="0" labelOnly="1" outline="0" fieldPosition="0">
        <references count="9">
          <reference field="0" count="1" selected="0">
            <x v="232"/>
          </reference>
          <reference field="1" count="1" selected="0">
            <x v="177"/>
          </reference>
          <reference field="2" count="1" selected="0">
            <x v="47"/>
          </reference>
          <reference field="3" count="1" selected="0">
            <x v="0"/>
          </reference>
          <reference field="12" count="1" selected="0">
            <x v="3"/>
          </reference>
          <reference field="13" count="1" selected="0">
            <x v="19"/>
          </reference>
          <reference field="14" count="1" selected="0">
            <x v="38"/>
          </reference>
          <reference field="15" count="1" selected="0">
            <x v="15"/>
          </reference>
          <reference field="16" count="1">
            <x v="0"/>
          </reference>
        </references>
      </pivotArea>
    </format>
    <format dxfId="1285">
      <pivotArea dataOnly="0" labelOnly="1" outline="0" fieldPosition="0">
        <references count="9">
          <reference field="0" count="1" selected="0">
            <x v="233"/>
          </reference>
          <reference field="1" count="1" selected="0">
            <x v="178"/>
          </reference>
          <reference field="2" count="1" selected="0">
            <x v="32"/>
          </reference>
          <reference field="3" count="1" selected="0">
            <x v="0"/>
          </reference>
          <reference field="12" count="1" selected="0">
            <x v="3"/>
          </reference>
          <reference field="13" count="1" selected="0">
            <x v="6"/>
          </reference>
          <reference field="14" count="1" selected="0">
            <x v="38"/>
          </reference>
          <reference field="15" count="1" selected="0">
            <x v="15"/>
          </reference>
          <reference field="16" count="1">
            <x v="0"/>
          </reference>
        </references>
      </pivotArea>
    </format>
    <format dxfId="1284">
      <pivotArea dataOnly="0" labelOnly="1" outline="0" fieldPosition="0">
        <references count="9">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selected="0">
            <x v="47"/>
          </reference>
          <reference field="16" count="1">
            <x v="65"/>
          </reference>
        </references>
      </pivotArea>
    </format>
    <format dxfId="1283">
      <pivotArea dataOnly="0" labelOnly="1" outline="0" fieldPosition="0">
        <references count="9">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1282">
      <pivotArea dataOnly="0" labelOnly="1" outline="0" fieldPosition="0">
        <references count="9">
          <reference field="0" count="1" selected="0">
            <x v="236"/>
          </reference>
          <reference field="1" count="1" selected="0">
            <x v="192"/>
          </reference>
          <reference field="2" count="1" selected="0">
            <x v="27"/>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1281">
      <pivotArea dataOnly="0" labelOnly="1" outline="0" fieldPosition="0">
        <references count="9">
          <reference field="0" count="1" selected="0">
            <x v="237"/>
          </reference>
          <reference field="1" count="1" selected="0">
            <x v="193"/>
          </reference>
          <reference field="2" count="1" selected="0">
            <x v="89"/>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1280">
      <pivotArea dataOnly="0" labelOnly="1" outline="0" fieldPosition="0">
        <references count="9">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selected="0">
            <x v="0"/>
          </reference>
          <reference field="15" count="1" selected="0">
            <x v="15"/>
          </reference>
          <reference field="16" count="1">
            <x v="0"/>
          </reference>
        </references>
      </pivotArea>
    </format>
    <format dxfId="1279">
      <pivotArea dataOnly="0" labelOnly="1" outline="0" fieldPosition="0">
        <references count="9">
          <reference field="0" count="1" selected="0">
            <x v="239"/>
          </reference>
          <reference field="1" count="1" selected="0">
            <x v="195"/>
          </reference>
          <reference field="2" count="1" selected="0">
            <x v="28"/>
          </reference>
          <reference field="3" count="1" selected="0">
            <x v="0"/>
          </reference>
          <reference field="12" count="1" selected="0">
            <x v="0"/>
          </reference>
          <reference field="13" count="1" selected="0">
            <x v="0"/>
          </reference>
          <reference field="14" count="1" selected="0">
            <x v="0"/>
          </reference>
          <reference field="15" count="1" selected="0">
            <x v="15"/>
          </reference>
          <reference field="16" count="1">
            <x v="0"/>
          </reference>
        </references>
      </pivotArea>
    </format>
    <format dxfId="1278">
      <pivotArea dataOnly="0" labelOnly="1" outline="0" fieldPosition="0">
        <references count="9">
          <reference field="0" count="1" selected="0">
            <x v="240"/>
          </reference>
          <reference field="1" count="1" selected="0">
            <x v="196"/>
          </reference>
          <reference field="2" count="1" selected="0">
            <x v="40"/>
          </reference>
          <reference field="3" count="1" selected="0">
            <x v="0"/>
          </reference>
          <reference field="12" count="1" selected="0">
            <x v="3"/>
          </reference>
          <reference field="13" count="1" selected="0">
            <x v="0"/>
          </reference>
          <reference field="14" count="1" selected="0">
            <x v="0"/>
          </reference>
          <reference field="15" count="1" selected="0">
            <x v="15"/>
          </reference>
          <reference field="16" count="1">
            <x v="0"/>
          </reference>
        </references>
      </pivotArea>
    </format>
    <format dxfId="1277">
      <pivotArea dataOnly="0" labelOnly="1" outline="0" fieldPosition="0">
        <references count="9">
          <reference field="0" count="1" selected="0">
            <x v="241"/>
          </reference>
          <reference field="1" count="1" selected="0">
            <x v="197"/>
          </reference>
          <reference field="2" count="1" selected="0">
            <x v="195"/>
          </reference>
          <reference field="3" count="1" selected="0">
            <x v="0"/>
          </reference>
          <reference field="12" count="1" selected="0">
            <x v="0"/>
          </reference>
          <reference field="13" count="1" selected="0">
            <x v="0"/>
          </reference>
          <reference field="14" count="1" selected="0">
            <x v="0"/>
          </reference>
          <reference field="15" count="1" selected="0">
            <x v="15"/>
          </reference>
          <reference field="16" count="1">
            <x v="0"/>
          </reference>
        </references>
      </pivotArea>
    </format>
    <format dxfId="1276">
      <pivotArea dataOnly="0" labelOnly="1" outline="0" fieldPosition="0">
        <references count="9">
          <reference field="0" count="1" selected="0">
            <x v="242"/>
          </reference>
          <reference field="1" count="1" selected="0">
            <x v="198"/>
          </reference>
          <reference field="2" count="1" selected="0">
            <x v="132"/>
          </reference>
          <reference field="3" count="1" selected="0">
            <x v="0"/>
          </reference>
          <reference field="12" count="1" selected="0">
            <x v="6"/>
          </reference>
          <reference field="13" count="1" selected="0">
            <x v="0"/>
          </reference>
          <reference field="14" count="1" selected="0">
            <x v="0"/>
          </reference>
          <reference field="15" count="1" selected="0">
            <x v="15"/>
          </reference>
          <reference field="16" count="1">
            <x v="0"/>
          </reference>
        </references>
      </pivotArea>
    </format>
    <format dxfId="1275">
      <pivotArea type="all" dataOnly="0" outline="0" fieldPosition="0"/>
    </format>
    <format dxfId="1274">
      <pivotArea field="0" type="button" dataOnly="0" labelOnly="1" outline="0" axis="axisRow" fieldPosition="0"/>
    </format>
    <format dxfId="1273">
      <pivotArea field="1" type="button" dataOnly="0" labelOnly="1" outline="0" axis="axisRow" fieldPosition="1"/>
    </format>
    <format dxfId="1272">
      <pivotArea field="2" type="button" dataOnly="0" labelOnly="1" outline="0" axis="axisRow" fieldPosition="2"/>
    </format>
    <format dxfId="1271">
      <pivotArea field="3" type="button" dataOnly="0" labelOnly="1" outline="0" axis="axisRow" fieldPosition="3"/>
    </format>
    <format dxfId="1270">
      <pivotArea field="12" type="button" dataOnly="0" labelOnly="1" outline="0" axis="axisRow" fieldPosition="4"/>
    </format>
    <format dxfId="1269">
      <pivotArea field="13" type="button" dataOnly="0" labelOnly="1" outline="0" axis="axisRow" fieldPosition="5"/>
    </format>
    <format dxfId="1268">
      <pivotArea field="14" type="button" dataOnly="0" labelOnly="1" outline="0" axis="axisRow" fieldPosition="6"/>
    </format>
    <format dxfId="1267">
      <pivotArea field="15" type="button" dataOnly="0" labelOnly="1" outline="0" axis="axisRow" fieldPosition="7"/>
    </format>
    <format dxfId="1266">
      <pivotArea field="16" type="button" dataOnly="0" labelOnly="1" outline="0" axis="axisRow" fieldPosition="8"/>
    </format>
    <format dxfId="1265">
      <pivotArea field="17" type="button" dataOnly="0" labelOnly="1" outline="0" axis="axisRow" fieldPosition="9"/>
    </format>
    <format dxfId="1264">
      <pivotArea dataOnly="0" labelOnly="1" outline="0" fieldPosition="0">
        <references count="1">
          <reference field="0" count="50">
            <x v="0"/>
            <x v="2"/>
            <x v="3"/>
            <x v="4"/>
            <x v="5"/>
            <x v="7"/>
            <x v="9"/>
            <x v="10"/>
            <x v="11"/>
            <x v="12"/>
            <x v="16"/>
            <x v="18"/>
            <x v="22"/>
            <x v="25"/>
            <x v="26"/>
            <x v="28"/>
            <x v="29"/>
            <x v="30"/>
            <x v="31"/>
            <x v="35"/>
            <x v="36"/>
            <x v="37"/>
            <x v="38"/>
            <x v="39"/>
            <x v="40"/>
            <x v="41"/>
            <x v="42"/>
            <x v="43"/>
            <x v="44"/>
            <x v="45"/>
            <x v="46"/>
            <x v="47"/>
            <x v="49"/>
            <x v="55"/>
            <x v="56"/>
            <x v="62"/>
            <x v="63"/>
            <x v="64"/>
            <x v="65"/>
            <x v="66"/>
            <x v="67"/>
            <x v="68"/>
            <x v="79"/>
            <x v="81"/>
            <x v="82"/>
            <x v="83"/>
            <x v="84"/>
            <x v="85"/>
            <x v="86"/>
            <x v="87"/>
          </reference>
        </references>
      </pivotArea>
    </format>
    <format dxfId="1263">
      <pivotArea dataOnly="0" labelOnly="1" outline="0" fieldPosition="0">
        <references count="1">
          <reference field="0" count="50">
            <x v="88"/>
            <x v="89"/>
            <x v="90"/>
            <x v="91"/>
            <x v="93"/>
            <x v="94"/>
            <x v="95"/>
            <x v="96"/>
            <x v="97"/>
            <x v="98"/>
            <x v="99"/>
            <x v="100"/>
            <x v="101"/>
            <x v="102"/>
            <x v="103"/>
            <x v="104"/>
            <x v="105"/>
            <x v="106"/>
            <x v="107"/>
            <x v="108"/>
            <x v="110"/>
            <x v="111"/>
            <x v="113"/>
            <x v="119"/>
            <x v="120"/>
            <x v="121"/>
            <x v="122"/>
            <x v="123"/>
            <x v="124"/>
            <x v="125"/>
            <x v="126"/>
            <x v="127"/>
            <x v="128"/>
            <x v="129"/>
            <x v="130"/>
            <x v="134"/>
            <x v="135"/>
            <x v="136"/>
            <x v="144"/>
            <x v="146"/>
            <x v="147"/>
            <x v="148"/>
            <x v="149"/>
            <x v="150"/>
            <x v="151"/>
            <x v="152"/>
            <x v="153"/>
            <x v="154"/>
            <x v="155"/>
            <x v="159"/>
          </reference>
        </references>
      </pivotArea>
    </format>
    <format dxfId="1262">
      <pivotArea dataOnly="0" labelOnly="1" outline="0" fieldPosition="0">
        <references count="1">
          <reference field="0" count="50">
            <x v="160"/>
            <x v="161"/>
            <x v="162"/>
            <x v="164"/>
            <x v="165"/>
            <x v="166"/>
            <x v="167"/>
            <x v="168"/>
            <x v="171"/>
            <x v="172"/>
            <x v="173"/>
            <x v="175"/>
            <x v="176"/>
            <x v="177"/>
            <x v="178"/>
            <x v="179"/>
            <x v="180"/>
            <x v="181"/>
            <x v="182"/>
            <x v="183"/>
            <x v="184"/>
            <x v="185"/>
            <x v="186"/>
            <x v="187"/>
            <x v="188"/>
            <x v="189"/>
            <x v="192"/>
            <x v="193"/>
            <x v="197"/>
            <x v="199"/>
            <x v="200"/>
            <x v="201"/>
            <x v="204"/>
            <x v="206"/>
            <x v="207"/>
            <x v="208"/>
            <x v="209"/>
            <x v="210"/>
            <x v="211"/>
            <x v="212"/>
            <x v="214"/>
            <x v="215"/>
            <x v="216"/>
            <x v="217"/>
            <x v="218"/>
            <x v="219"/>
            <x v="220"/>
            <x v="221"/>
            <x v="223"/>
            <x v="224"/>
          </reference>
        </references>
      </pivotArea>
    </format>
    <format dxfId="1261">
      <pivotArea dataOnly="0" labelOnly="1" outline="0" fieldPosition="0">
        <references count="1">
          <reference field="0" count="18">
            <x v="225"/>
            <x v="226"/>
            <x v="227"/>
            <x v="228"/>
            <x v="229"/>
            <x v="230"/>
            <x v="231"/>
            <x v="232"/>
            <x v="233"/>
            <x v="234"/>
            <x v="235"/>
            <x v="236"/>
            <x v="237"/>
            <x v="238"/>
            <x v="239"/>
            <x v="240"/>
            <x v="241"/>
            <x v="242"/>
          </reference>
        </references>
      </pivotArea>
    </format>
    <format dxfId="1260">
      <pivotArea dataOnly="0" labelOnly="1" outline="0" fieldPosition="0">
        <references count="2">
          <reference field="0" count="1" selected="0">
            <x v="0"/>
          </reference>
          <reference field="1" count="1">
            <x v="228"/>
          </reference>
        </references>
      </pivotArea>
    </format>
    <format dxfId="1259">
      <pivotArea dataOnly="0" labelOnly="1" outline="0" fieldPosition="0">
        <references count="2">
          <reference field="0" count="1" selected="0">
            <x v="2"/>
          </reference>
          <reference field="1" count="1">
            <x v="230"/>
          </reference>
        </references>
      </pivotArea>
    </format>
    <format dxfId="1258">
      <pivotArea dataOnly="0" labelOnly="1" outline="0" fieldPosition="0">
        <references count="2">
          <reference field="0" count="1" selected="0">
            <x v="3"/>
          </reference>
          <reference field="1" count="1">
            <x v="231"/>
          </reference>
        </references>
      </pivotArea>
    </format>
    <format dxfId="1257">
      <pivotArea dataOnly="0" labelOnly="1" outline="0" fieldPosition="0">
        <references count="2">
          <reference field="0" count="1" selected="0">
            <x v="4"/>
          </reference>
          <reference field="1" count="1">
            <x v="232"/>
          </reference>
        </references>
      </pivotArea>
    </format>
    <format dxfId="1256">
      <pivotArea dataOnly="0" labelOnly="1" outline="0" fieldPosition="0">
        <references count="2">
          <reference field="0" count="1" selected="0">
            <x v="5"/>
          </reference>
          <reference field="1" count="1">
            <x v="233"/>
          </reference>
        </references>
      </pivotArea>
    </format>
    <format dxfId="1255">
      <pivotArea dataOnly="0" labelOnly="1" outline="0" fieldPosition="0">
        <references count="2">
          <reference field="0" count="1" selected="0">
            <x v="7"/>
          </reference>
          <reference field="1" count="1">
            <x v="118"/>
          </reference>
        </references>
      </pivotArea>
    </format>
    <format dxfId="1254">
      <pivotArea dataOnly="0" labelOnly="1" outline="0" fieldPosition="0">
        <references count="2">
          <reference field="0" count="1" selected="0">
            <x v="9"/>
          </reference>
          <reference field="1" count="1">
            <x v="120"/>
          </reference>
        </references>
      </pivotArea>
    </format>
    <format dxfId="1253">
      <pivotArea dataOnly="0" labelOnly="1" outline="0" fieldPosition="0">
        <references count="2">
          <reference field="0" count="1" selected="0">
            <x v="10"/>
          </reference>
          <reference field="1" count="1">
            <x v="121"/>
          </reference>
        </references>
      </pivotArea>
    </format>
    <format dxfId="1252">
      <pivotArea dataOnly="0" labelOnly="1" outline="0" fieldPosition="0">
        <references count="2">
          <reference field="0" count="1" selected="0">
            <x v="11"/>
          </reference>
          <reference field="1" count="1">
            <x v="122"/>
          </reference>
        </references>
      </pivotArea>
    </format>
    <format dxfId="1251">
      <pivotArea dataOnly="0" labelOnly="1" outline="0" fieldPosition="0">
        <references count="2">
          <reference field="0" count="1" selected="0">
            <x v="12"/>
          </reference>
          <reference field="1" count="1">
            <x v="123"/>
          </reference>
        </references>
      </pivotArea>
    </format>
    <format dxfId="1250">
      <pivotArea dataOnly="0" labelOnly="1" outline="0" fieldPosition="0">
        <references count="2">
          <reference field="0" count="1" selected="0">
            <x v="16"/>
          </reference>
          <reference field="1" count="1">
            <x v="64"/>
          </reference>
        </references>
      </pivotArea>
    </format>
    <format dxfId="1249">
      <pivotArea dataOnly="0" labelOnly="1" outline="0" fieldPosition="0">
        <references count="2">
          <reference field="0" count="1" selected="0">
            <x v="18"/>
          </reference>
          <reference field="1" count="1">
            <x v="66"/>
          </reference>
        </references>
      </pivotArea>
    </format>
    <format dxfId="1248">
      <pivotArea dataOnly="0" labelOnly="1" outline="0" fieldPosition="0">
        <references count="2">
          <reference field="0" count="1" selected="0">
            <x v="22"/>
          </reference>
          <reference field="1" count="1">
            <x v="19"/>
          </reference>
        </references>
      </pivotArea>
    </format>
    <format dxfId="1247">
      <pivotArea dataOnly="0" labelOnly="1" outline="0" fieldPosition="0">
        <references count="2">
          <reference field="0" count="1" selected="0">
            <x v="25"/>
          </reference>
          <reference field="1" count="1">
            <x v="22"/>
          </reference>
        </references>
      </pivotArea>
    </format>
    <format dxfId="1246">
      <pivotArea dataOnly="0" labelOnly="1" outline="0" fieldPosition="0">
        <references count="2">
          <reference field="0" count="1" selected="0">
            <x v="26"/>
          </reference>
          <reference field="1" count="1">
            <x v="23"/>
          </reference>
        </references>
      </pivotArea>
    </format>
    <format dxfId="1245">
      <pivotArea dataOnly="0" labelOnly="1" outline="0" fieldPosition="0">
        <references count="2">
          <reference field="0" count="1" selected="0">
            <x v="28"/>
          </reference>
          <reference field="1" count="1">
            <x v="25"/>
          </reference>
        </references>
      </pivotArea>
    </format>
    <format dxfId="1244">
      <pivotArea dataOnly="0" labelOnly="1" outline="0" fieldPosition="0">
        <references count="2">
          <reference field="0" count="1" selected="0">
            <x v="29"/>
          </reference>
          <reference field="1" count="1">
            <x v="26"/>
          </reference>
        </references>
      </pivotArea>
    </format>
    <format dxfId="1243">
      <pivotArea dataOnly="0" labelOnly="1" outline="0" fieldPosition="0">
        <references count="2">
          <reference field="0" count="1" selected="0">
            <x v="30"/>
          </reference>
          <reference field="1" count="1">
            <x v="27"/>
          </reference>
        </references>
      </pivotArea>
    </format>
    <format dxfId="1242">
      <pivotArea dataOnly="0" labelOnly="1" outline="0" fieldPosition="0">
        <references count="2">
          <reference field="0" count="1" selected="0">
            <x v="31"/>
          </reference>
          <reference field="1" count="1">
            <x v="28"/>
          </reference>
        </references>
      </pivotArea>
    </format>
    <format dxfId="1241">
      <pivotArea dataOnly="0" labelOnly="1" outline="0" fieldPosition="0">
        <references count="2">
          <reference field="0" count="1" selected="0">
            <x v="35"/>
          </reference>
          <reference field="1" count="1">
            <x v="32"/>
          </reference>
        </references>
      </pivotArea>
    </format>
    <format dxfId="1240">
      <pivotArea dataOnly="0" labelOnly="1" outline="0" fieldPosition="0">
        <references count="2">
          <reference field="0" count="1" selected="0">
            <x v="36"/>
          </reference>
          <reference field="1" count="1">
            <x v="33"/>
          </reference>
        </references>
      </pivotArea>
    </format>
    <format dxfId="1239">
      <pivotArea dataOnly="0" labelOnly="1" outline="0" fieldPosition="0">
        <references count="2">
          <reference field="0" count="1" selected="0">
            <x v="37"/>
          </reference>
          <reference field="1" count="1">
            <x v="34"/>
          </reference>
        </references>
      </pivotArea>
    </format>
    <format dxfId="1238">
      <pivotArea dataOnly="0" labelOnly="1" outline="0" fieldPosition="0">
        <references count="2">
          <reference field="0" count="1" selected="0">
            <x v="38"/>
          </reference>
          <reference field="1" count="1">
            <x v="0"/>
          </reference>
        </references>
      </pivotArea>
    </format>
    <format dxfId="1237">
      <pivotArea dataOnly="0" labelOnly="1" outline="0" fieldPosition="0">
        <references count="2">
          <reference field="0" count="1" selected="0">
            <x v="39"/>
          </reference>
          <reference field="1" count="1">
            <x v="1"/>
          </reference>
        </references>
      </pivotArea>
    </format>
    <format dxfId="1236">
      <pivotArea dataOnly="0" labelOnly="1" outline="0" fieldPosition="0">
        <references count="2">
          <reference field="0" count="1" selected="0">
            <x v="40"/>
          </reference>
          <reference field="1" count="1">
            <x v="2"/>
          </reference>
        </references>
      </pivotArea>
    </format>
    <format dxfId="1235">
      <pivotArea dataOnly="0" labelOnly="1" outline="0" fieldPosition="0">
        <references count="2">
          <reference field="0" count="1" selected="0">
            <x v="41"/>
          </reference>
          <reference field="1" count="1">
            <x v="3"/>
          </reference>
        </references>
      </pivotArea>
    </format>
    <format dxfId="1234">
      <pivotArea dataOnly="0" labelOnly="1" outline="0" fieldPosition="0">
        <references count="2">
          <reference field="0" count="1" selected="0">
            <x v="42"/>
          </reference>
          <reference field="1" count="1">
            <x v="4"/>
          </reference>
        </references>
      </pivotArea>
    </format>
    <format dxfId="1233">
      <pivotArea dataOnly="0" labelOnly="1" outline="0" fieldPosition="0">
        <references count="2">
          <reference field="0" count="1" selected="0">
            <x v="43"/>
          </reference>
          <reference field="1" count="1">
            <x v="5"/>
          </reference>
        </references>
      </pivotArea>
    </format>
    <format dxfId="1232">
      <pivotArea dataOnly="0" labelOnly="1" outline="0" fieldPosition="0">
        <references count="2">
          <reference field="0" count="1" selected="0">
            <x v="44"/>
          </reference>
          <reference field="1" count="1">
            <x v="6"/>
          </reference>
        </references>
      </pivotArea>
    </format>
    <format dxfId="1231">
      <pivotArea dataOnly="0" labelOnly="1" outline="0" fieldPosition="0">
        <references count="2">
          <reference field="0" count="1" selected="0">
            <x v="45"/>
          </reference>
          <reference field="1" count="1">
            <x v="7"/>
          </reference>
        </references>
      </pivotArea>
    </format>
    <format dxfId="1230">
      <pivotArea dataOnly="0" labelOnly="1" outline="0" fieldPosition="0">
        <references count="2">
          <reference field="0" count="1" selected="0">
            <x v="46"/>
          </reference>
          <reference field="1" count="1">
            <x v="8"/>
          </reference>
        </references>
      </pivotArea>
    </format>
    <format dxfId="1229">
      <pivotArea dataOnly="0" labelOnly="1" outline="0" fieldPosition="0">
        <references count="2">
          <reference field="0" count="1" selected="0">
            <x v="47"/>
          </reference>
          <reference field="1" count="1">
            <x v="9"/>
          </reference>
        </references>
      </pivotArea>
    </format>
    <format dxfId="1228">
      <pivotArea dataOnly="0" labelOnly="1" outline="0" fieldPosition="0">
        <references count="2">
          <reference field="0" count="1" selected="0">
            <x v="49"/>
          </reference>
          <reference field="1" count="1">
            <x v="11"/>
          </reference>
        </references>
      </pivotArea>
    </format>
    <format dxfId="1227">
      <pivotArea dataOnly="0" labelOnly="1" outline="0" fieldPosition="0">
        <references count="2">
          <reference field="0" count="1" selected="0">
            <x v="55"/>
          </reference>
          <reference field="1" count="1">
            <x v="35"/>
          </reference>
        </references>
      </pivotArea>
    </format>
    <format dxfId="1226">
      <pivotArea dataOnly="0" labelOnly="1" outline="0" fieldPosition="0">
        <references count="2">
          <reference field="0" count="1" selected="0">
            <x v="56"/>
          </reference>
          <reference field="1" count="1">
            <x v="36"/>
          </reference>
        </references>
      </pivotArea>
    </format>
    <format dxfId="1225">
      <pivotArea dataOnly="0" labelOnly="1" outline="0" fieldPosition="0">
        <references count="2">
          <reference field="0" count="1" selected="0">
            <x v="62"/>
          </reference>
          <reference field="1" count="1">
            <x v="42"/>
          </reference>
        </references>
      </pivotArea>
    </format>
    <format dxfId="1224">
      <pivotArea dataOnly="0" labelOnly="1" outline="0" fieldPosition="0">
        <references count="2">
          <reference field="0" count="1" selected="0">
            <x v="63"/>
          </reference>
          <reference field="1" count="1">
            <x v="43"/>
          </reference>
        </references>
      </pivotArea>
    </format>
    <format dxfId="1223">
      <pivotArea dataOnly="0" labelOnly="1" outline="0" fieldPosition="0">
        <references count="2">
          <reference field="0" count="1" selected="0">
            <x v="64"/>
          </reference>
          <reference field="1" count="1">
            <x v="44"/>
          </reference>
        </references>
      </pivotArea>
    </format>
    <format dxfId="1222">
      <pivotArea dataOnly="0" labelOnly="1" outline="0" fieldPosition="0">
        <references count="2">
          <reference field="0" count="1" selected="0">
            <x v="65"/>
          </reference>
          <reference field="1" count="1">
            <x v="45"/>
          </reference>
        </references>
      </pivotArea>
    </format>
    <format dxfId="1221">
      <pivotArea dataOnly="0" labelOnly="1" outline="0" fieldPosition="0">
        <references count="2">
          <reference field="0" count="1" selected="0">
            <x v="66"/>
          </reference>
          <reference field="1" count="1">
            <x v="46"/>
          </reference>
        </references>
      </pivotArea>
    </format>
    <format dxfId="1220">
      <pivotArea dataOnly="0" labelOnly="1" outline="0" fieldPosition="0">
        <references count="2">
          <reference field="0" count="1" selected="0">
            <x v="67"/>
          </reference>
          <reference field="1" count="1">
            <x v="47"/>
          </reference>
        </references>
      </pivotArea>
    </format>
    <format dxfId="1219">
      <pivotArea dataOnly="0" labelOnly="1" outline="0" fieldPosition="0">
        <references count="2">
          <reference field="0" count="1" selected="0">
            <x v="68"/>
          </reference>
          <reference field="1" count="1">
            <x v="48"/>
          </reference>
        </references>
      </pivotArea>
    </format>
    <format dxfId="1218">
      <pivotArea dataOnly="0" labelOnly="1" outline="0" fieldPosition="0">
        <references count="2">
          <reference field="0" count="1" selected="0">
            <x v="79"/>
          </reference>
          <reference field="1" count="1">
            <x v="59"/>
          </reference>
        </references>
      </pivotArea>
    </format>
    <format dxfId="1217">
      <pivotArea dataOnly="0" labelOnly="1" outline="0" fieldPosition="0">
        <references count="2">
          <reference field="0" count="1" selected="0">
            <x v="81"/>
          </reference>
          <reference field="1" count="1">
            <x v="68"/>
          </reference>
        </references>
      </pivotArea>
    </format>
    <format dxfId="1216">
      <pivotArea dataOnly="0" labelOnly="1" outline="0" fieldPosition="0">
        <references count="2">
          <reference field="0" count="1" selected="0">
            <x v="82"/>
          </reference>
          <reference field="1" count="1">
            <x v="69"/>
          </reference>
        </references>
      </pivotArea>
    </format>
    <format dxfId="1215">
      <pivotArea dataOnly="0" labelOnly="1" outline="0" fieldPosition="0">
        <references count="2">
          <reference field="0" count="1" selected="0">
            <x v="83"/>
          </reference>
          <reference field="1" count="1">
            <x v="70"/>
          </reference>
        </references>
      </pivotArea>
    </format>
    <format dxfId="1214">
      <pivotArea dataOnly="0" labelOnly="1" outline="0" fieldPosition="0">
        <references count="2">
          <reference field="0" count="1" selected="0">
            <x v="84"/>
          </reference>
          <reference field="1" count="1">
            <x v="71"/>
          </reference>
        </references>
      </pivotArea>
    </format>
    <format dxfId="1213">
      <pivotArea dataOnly="0" labelOnly="1" outline="0" fieldPosition="0">
        <references count="2">
          <reference field="0" count="1" selected="0">
            <x v="85"/>
          </reference>
          <reference field="1" count="1">
            <x v="72"/>
          </reference>
        </references>
      </pivotArea>
    </format>
    <format dxfId="1212">
      <pivotArea dataOnly="0" labelOnly="1" outline="0" fieldPosition="0">
        <references count="2">
          <reference field="0" count="1" selected="0">
            <x v="86"/>
          </reference>
          <reference field="1" count="1">
            <x v="73"/>
          </reference>
        </references>
      </pivotArea>
    </format>
    <format dxfId="1211">
      <pivotArea dataOnly="0" labelOnly="1" outline="0" fieldPosition="0">
        <references count="2">
          <reference field="0" count="1" selected="0">
            <x v="87"/>
          </reference>
          <reference field="1" count="1">
            <x v="74"/>
          </reference>
        </references>
      </pivotArea>
    </format>
    <format dxfId="1210">
      <pivotArea dataOnly="0" labelOnly="1" outline="0" fieldPosition="0">
        <references count="2">
          <reference field="0" count="1" selected="0">
            <x v="88"/>
          </reference>
          <reference field="1" count="1">
            <x v="75"/>
          </reference>
        </references>
      </pivotArea>
    </format>
    <format dxfId="1209">
      <pivotArea dataOnly="0" labelOnly="1" outline="0" fieldPosition="0">
        <references count="2">
          <reference field="0" count="1" selected="0">
            <x v="89"/>
          </reference>
          <reference field="1" count="1">
            <x v="76"/>
          </reference>
        </references>
      </pivotArea>
    </format>
    <format dxfId="1208">
      <pivotArea dataOnly="0" labelOnly="1" outline="0" fieldPosition="0">
        <references count="2">
          <reference field="0" count="1" selected="0">
            <x v="90"/>
          </reference>
          <reference field="1" count="1">
            <x v="77"/>
          </reference>
        </references>
      </pivotArea>
    </format>
    <format dxfId="1207">
      <pivotArea dataOnly="0" labelOnly="1" outline="0" fieldPosition="0">
        <references count="2">
          <reference field="0" count="1" selected="0">
            <x v="91"/>
          </reference>
          <reference field="1" count="1">
            <x v="78"/>
          </reference>
        </references>
      </pivotArea>
    </format>
    <format dxfId="1206">
      <pivotArea dataOnly="0" labelOnly="1" outline="0" fieldPosition="0">
        <references count="2">
          <reference field="0" count="1" selected="0">
            <x v="93"/>
          </reference>
          <reference field="1" count="1">
            <x v="80"/>
          </reference>
        </references>
      </pivotArea>
    </format>
    <format dxfId="1205">
      <pivotArea dataOnly="0" labelOnly="1" outline="0" fieldPosition="0">
        <references count="2">
          <reference field="0" count="1" selected="0">
            <x v="94"/>
          </reference>
          <reference field="1" count="1">
            <x v="81"/>
          </reference>
        </references>
      </pivotArea>
    </format>
    <format dxfId="1204">
      <pivotArea dataOnly="0" labelOnly="1" outline="0" fieldPosition="0">
        <references count="2">
          <reference field="0" count="1" selected="0">
            <x v="95"/>
          </reference>
          <reference field="1" count="1">
            <x v="82"/>
          </reference>
        </references>
      </pivotArea>
    </format>
    <format dxfId="1203">
      <pivotArea dataOnly="0" labelOnly="1" outline="0" fieldPosition="0">
        <references count="2">
          <reference field="0" count="1" selected="0">
            <x v="96"/>
          </reference>
          <reference field="1" count="1">
            <x v="83"/>
          </reference>
        </references>
      </pivotArea>
    </format>
    <format dxfId="1202">
      <pivotArea dataOnly="0" labelOnly="1" outline="0" fieldPosition="0">
        <references count="2">
          <reference field="0" count="1" selected="0">
            <x v="97"/>
          </reference>
          <reference field="1" count="1">
            <x v="84"/>
          </reference>
        </references>
      </pivotArea>
    </format>
    <format dxfId="1201">
      <pivotArea dataOnly="0" labelOnly="1" outline="0" fieldPosition="0">
        <references count="2">
          <reference field="0" count="1" selected="0">
            <x v="98"/>
          </reference>
          <reference field="1" count="1">
            <x v="85"/>
          </reference>
        </references>
      </pivotArea>
    </format>
    <format dxfId="1200">
      <pivotArea dataOnly="0" labelOnly="1" outline="0" fieldPosition="0">
        <references count="2">
          <reference field="0" count="1" selected="0">
            <x v="99"/>
          </reference>
          <reference field="1" count="1">
            <x v="86"/>
          </reference>
        </references>
      </pivotArea>
    </format>
    <format dxfId="1199">
      <pivotArea dataOnly="0" labelOnly="1" outline="0" fieldPosition="0">
        <references count="2">
          <reference field="0" count="1" selected="0">
            <x v="100"/>
          </reference>
          <reference field="1" count="1">
            <x v="87"/>
          </reference>
        </references>
      </pivotArea>
    </format>
    <format dxfId="1198">
      <pivotArea dataOnly="0" labelOnly="1" outline="0" fieldPosition="0">
        <references count="2">
          <reference field="0" count="1" selected="0">
            <x v="101"/>
          </reference>
          <reference field="1" count="1">
            <x v="88"/>
          </reference>
        </references>
      </pivotArea>
    </format>
    <format dxfId="1197">
      <pivotArea dataOnly="0" labelOnly="1" outline="0" fieldPosition="0">
        <references count="2">
          <reference field="0" count="1" selected="0">
            <x v="102"/>
          </reference>
          <reference field="1" count="1">
            <x v="89"/>
          </reference>
        </references>
      </pivotArea>
    </format>
    <format dxfId="1196">
      <pivotArea dataOnly="0" labelOnly="1" outline="0" fieldPosition="0">
        <references count="2">
          <reference field="0" count="1" selected="0">
            <x v="103"/>
          </reference>
          <reference field="1" count="1">
            <x v="90"/>
          </reference>
        </references>
      </pivotArea>
    </format>
    <format dxfId="1195">
      <pivotArea dataOnly="0" labelOnly="1" outline="0" fieldPosition="0">
        <references count="2">
          <reference field="0" count="1" selected="0">
            <x v="104"/>
          </reference>
          <reference field="1" count="1">
            <x v="91"/>
          </reference>
        </references>
      </pivotArea>
    </format>
    <format dxfId="1194">
      <pivotArea dataOnly="0" labelOnly="1" outline="0" fieldPosition="0">
        <references count="2">
          <reference field="0" count="1" selected="0">
            <x v="105"/>
          </reference>
          <reference field="1" count="1">
            <x v="92"/>
          </reference>
        </references>
      </pivotArea>
    </format>
    <format dxfId="1193">
      <pivotArea dataOnly="0" labelOnly="1" outline="0" fieldPosition="0">
        <references count="2">
          <reference field="0" count="1" selected="0">
            <x v="106"/>
          </reference>
          <reference field="1" count="1">
            <x v="93"/>
          </reference>
        </references>
      </pivotArea>
    </format>
    <format dxfId="1192">
      <pivotArea dataOnly="0" labelOnly="1" outline="0" fieldPosition="0">
        <references count="2">
          <reference field="0" count="1" selected="0">
            <x v="107"/>
          </reference>
          <reference field="1" count="1">
            <x v="94"/>
          </reference>
        </references>
      </pivotArea>
    </format>
    <format dxfId="1191">
      <pivotArea dataOnly="0" labelOnly="1" outline="0" fieldPosition="0">
        <references count="2">
          <reference field="0" count="1" selected="0">
            <x v="108"/>
          </reference>
          <reference field="1" count="1">
            <x v="95"/>
          </reference>
        </references>
      </pivotArea>
    </format>
    <format dxfId="1190">
      <pivotArea dataOnly="0" labelOnly="1" outline="0" fieldPosition="0">
        <references count="2">
          <reference field="0" count="1" selected="0">
            <x v="110"/>
          </reference>
          <reference field="1" count="1">
            <x v="97"/>
          </reference>
        </references>
      </pivotArea>
    </format>
    <format dxfId="1189">
      <pivotArea dataOnly="0" labelOnly="1" outline="0" fieldPosition="0">
        <references count="2">
          <reference field="0" count="1" selected="0">
            <x v="111"/>
          </reference>
          <reference field="1" count="1">
            <x v="98"/>
          </reference>
        </references>
      </pivotArea>
    </format>
    <format dxfId="1188">
      <pivotArea dataOnly="0" labelOnly="1" outline="0" fieldPosition="0">
        <references count="2">
          <reference field="0" count="1" selected="0">
            <x v="113"/>
          </reference>
          <reference field="1" count="1">
            <x v="100"/>
          </reference>
        </references>
      </pivotArea>
    </format>
    <format dxfId="1187">
      <pivotArea dataOnly="0" labelOnly="1" outline="0" fieldPosition="0">
        <references count="2">
          <reference field="0" count="1" selected="0">
            <x v="119"/>
          </reference>
          <reference field="1" count="1">
            <x v="106"/>
          </reference>
        </references>
      </pivotArea>
    </format>
    <format dxfId="1186">
      <pivotArea dataOnly="0" labelOnly="1" outline="0" fieldPosition="0">
        <references count="2">
          <reference field="0" count="1" selected="0">
            <x v="120"/>
          </reference>
          <reference field="1" count="1">
            <x v="107"/>
          </reference>
        </references>
      </pivotArea>
    </format>
    <format dxfId="1185">
      <pivotArea dataOnly="0" labelOnly="1" outline="0" fieldPosition="0">
        <references count="2">
          <reference field="0" count="1" selected="0">
            <x v="121"/>
          </reference>
          <reference field="1" count="1">
            <x v="108"/>
          </reference>
        </references>
      </pivotArea>
    </format>
    <format dxfId="1184">
      <pivotArea dataOnly="0" labelOnly="1" outline="0" fieldPosition="0">
        <references count="2">
          <reference field="0" count="1" selected="0">
            <x v="122"/>
          </reference>
          <reference field="1" count="1">
            <x v="109"/>
          </reference>
        </references>
      </pivotArea>
    </format>
    <format dxfId="1183">
      <pivotArea dataOnly="0" labelOnly="1" outline="0" fieldPosition="0">
        <references count="2">
          <reference field="0" count="1" selected="0">
            <x v="123"/>
          </reference>
          <reference field="1" count="1">
            <x v="110"/>
          </reference>
        </references>
      </pivotArea>
    </format>
    <format dxfId="1182">
      <pivotArea dataOnly="0" labelOnly="1" outline="0" fieldPosition="0">
        <references count="2">
          <reference field="0" count="1" selected="0">
            <x v="124"/>
          </reference>
          <reference field="1" count="1">
            <x v="111"/>
          </reference>
        </references>
      </pivotArea>
    </format>
    <format dxfId="1181">
      <pivotArea dataOnly="0" labelOnly="1" outline="0" fieldPosition="0">
        <references count="2">
          <reference field="0" count="1" selected="0">
            <x v="125"/>
          </reference>
          <reference field="1" count="1">
            <x v="112"/>
          </reference>
        </references>
      </pivotArea>
    </format>
    <format dxfId="1180">
      <pivotArea dataOnly="0" labelOnly="1" outline="0" fieldPosition="0">
        <references count="2">
          <reference field="0" count="1" selected="0">
            <x v="126"/>
          </reference>
          <reference field="1" count="1">
            <x v="113"/>
          </reference>
        </references>
      </pivotArea>
    </format>
    <format dxfId="1179">
      <pivotArea dataOnly="0" labelOnly="1" outline="0" fieldPosition="0">
        <references count="2">
          <reference field="0" count="1" selected="0">
            <x v="127"/>
          </reference>
          <reference field="1" count="1">
            <x v="114"/>
          </reference>
        </references>
      </pivotArea>
    </format>
    <format dxfId="1178">
      <pivotArea dataOnly="0" labelOnly="1" outline="0" fieldPosition="0">
        <references count="2">
          <reference field="0" count="1" selected="0">
            <x v="128"/>
          </reference>
          <reference field="1" count="1">
            <x v="115"/>
          </reference>
        </references>
      </pivotArea>
    </format>
    <format dxfId="1177">
      <pivotArea dataOnly="0" labelOnly="1" outline="0" fieldPosition="0">
        <references count="2">
          <reference field="0" count="1" selected="0">
            <x v="129"/>
          </reference>
          <reference field="1" count="1">
            <x v="116"/>
          </reference>
        </references>
      </pivotArea>
    </format>
    <format dxfId="1176">
      <pivotArea dataOnly="0" labelOnly="1" outline="0" fieldPosition="0">
        <references count="2">
          <reference field="0" count="1" selected="0">
            <x v="130"/>
          </reference>
          <reference field="1" count="1">
            <x v="117"/>
          </reference>
        </references>
      </pivotArea>
    </format>
    <format dxfId="1175">
      <pivotArea dataOnly="0" labelOnly="1" outline="0" fieldPosition="0">
        <references count="2">
          <reference field="0" count="1" selected="0">
            <x v="134"/>
          </reference>
          <reference field="1" count="1">
            <x v="127"/>
          </reference>
        </references>
      </pivotArea>
    </format>
    <format dxfId="1174">
      <pivotArea dataOnly="0" labelOnly="1" outline="0" fieldPosition="0">
        <references count="2">
          <reference field="0" count="1" selected="0">
            <x v="135"/>
          </reference>
          <reference field="1" count="1">
            <x v="128"/>
          </reference>
        </references>
      </pivotArea>
    </format>
    <format dxfId="1173">
      <pivotArea dataOnly="0" labelOnly="1" outline="0" fieldPosition="0">
        <references count="2">
          <reference field="0" count="1" selected="0">
            <x v="136"/>
          </reference>
          <reference field="1" count="1">
            <x v="129"/>
          </reference>
        </references>
      </pivotArea>
    </format>
    <format dxfId="1172">
      <pivotArea dataOnly="0" labelOnly="1" outline="0" fieldPosition="0">
        <references count="2">
          <reference field="0" count="1" selected="0">
            <x v="144"/>
          </reference>
          <reference field="1" count="1">
            <x v="137"/>
          </reference>
        </references>
      </pivotArea>
    </format>
    <format dxfId="1171">
      <pivotArea dataOnly="0" labelOnly="1" outline="0" fieldPosition="0">
        <references count="2">
          <reference field="0" count="1" selected="0">
            <x v="146"/>
          </reference>
          <reference field="1" count="1">
            <x v="139"/>
          </reference>
        </references>
      </pivotArea>
    </format>
    <format dxfId="1170">
      <pivotArea dataOnly="0" labelOnly="1" outline="0" fieldPosition="0">
        <references count="2">
          <reference field="0" count="1" selected="0">
            <x v="147"/>
          </reference>
          <reference field="1" count="1">
            <x v="140"/>
          </reference>
        </references>
      </pivotArea>
    </format>
    <format dxfId="1169">
      <pivotArea dataOnly="0" labelOnly="1" outline="0" fieldPosition="0">
        <references count="2">
          <reference field="0" count="1" selected="0">
            <x v="148"/>
          </reference>
          <reference field="1" count="1">
            <x v="141"/>
          </reference>
        </references>
      </pivotArea>
    </format>
    <format dxfId="1168">
      <pivotArea dataOnly="0" labelOnly="1" outline="0" fieldPosition="0">
        <references count="2">
          <reference field="0" count="1" selected="0">
            <x v="149"/>
          </reference>
          <reference field="1" count="1">
            <x v="142"/>
          </reference>
        </references>
      </pivotArea>
    </format>
    <format dxfId="1167">
      <pivotArea dataOnly="0" labelOnly="1" outline="0" fieldPosition="0">
        <references count="2">
          <reference field="0" count="1" selected="0">
            <x v="150"/>
          </reference>
          <reference field="1" count="1">
            <x v="143"/>
          </reference>
        </references>
      </pivotArea>
    </format>
    <format dxfId="1166">
      <pivotArea dataOnly="0" labelOnly="1" outline="0" fieldPosition="0">
        <references count="2">
          <reference field="0" count="1" selected="0">
            <x v="151"/>
          </reference>
          <reference field="1" count="1">
            <x v="144"/>
          </reference>
        </references>
      </pivotArea>
    </format>
    <format dxfId="1165">
      <pivotArea dataOnly="0" labelOnly="1" outline="0" fieldPosition="0">
        <references count="2">
          <reference field="0" count="1" selected="0">
            <x v="152"/>
          </reference>
          <reference field="1" count="1">
            <x v="145"/>
          </reference>
        </references>
      </pivotArea>
    </format>
    <format dxfId="1164">
      <pivotArea dataOnly="0" labelOnly="1" outline="0" fieldPosition="0">
        <references count="2">
          <reference field="0" count="1" selected="0">
            <x v="153"/>
          </reference>
          <reference field="1" count="1">
            <x v="146"/>
          </reference>
        </references>
      </pivotArea>
    </format>
    <format dxfId="1163">
      <pivotArea dataOnly="0" labelOnly="1" outline="0" fieldPosition="0">
        <references count="2">
          <reference field="0" count="1" selected="0">
            <x v="154"/>
          </reference>
          <reference field="1" count="1">
            <x v="147"/>
          </reference>
        </references>
      </pivotArea>
    </format>
    <format dxfId="1162">
      <pivotArea dataOnly="0" labelOnly="1" outline="0" fieldPosition="0">
        <references count="2">
          <reference field="0" count="1" selected="0">
            <x v="155"/>
          </reference>
          <reference field="1" count="1">
            <x v="148"/>
          </reference>
        </references>
      </pivotArea>
    </format>
    <format dxfId="1161">
      <pivotArea dataOnly="0" labelOnly="1" outline="0" fieldPosition="0">
        <references count="2">
          <reference field="0" count="1" selected="0">
            <x v="159"/>
          </reference>
          <reference field="1" count="1">
            <x v="183"/>
          </reference>
        </references>
      </pivotArea>
    </format>
    <format dxfId="1160">
      <pivotArea dataOnly="0" labelOnly="1" outline="0" fieldPosition="0">
        <references count="2">
          <reference field="0" count="1" selected="0">
            <x v="160"/>
          </reference>
          <reference field="1" count="1">
            <x v="184"/>
          </reference>
        </references>
      </pivotArea>
    </format>
    <format dxfId="1159">
      <pivotArea dataOnly="0" labelOnly="1" outline="0" fieldPosition="0">
        <references count="2">
          <reference field="0" count="1" selected="0">
            <x v="161"/>
          </reference>
          <reference field="1" count="1">
            <x v="185"/>
          </reference>
        </references>
      </pivotArea>
    </format>
    <format dxfId="1158">
      <pivotArea dataOnly="0" labelOnly="1" outline="0" fieldPosition="0">
        <references count="2">
          <reference field="0" count="1" selected="0">
            <x v="162"/>
          </reference>
          <reference field="1" count="1">
            <x v="186"/>
          </reference>
        </references>
      </pivotArea>
    </format>
    <format dxfId="1157">
      <pivotArea dataOnly="0" labelOnly="1" outline="0" fieldPosition="0">
        <references count="2">
          <reference field="0" count="1" selected="0">
            <x v="164"/>
          </reference>
          <reference field="1" count="1">
            <x v="188"/>
          </reference>
        </references>
      </pivotArea>
    </format>
    <format dxfId="1156">
      <pivotArea dataOnly="0" labelOnly="1" outline="0" fieldPosition="0">
        <references count="2">
          <reference field="0" count="1" selected="0">
            <x v="165"/>
          </reference>
          <reference field="1" count="1">
            <x v="189"/>
          </reference>
        </references>
      </pivotArea>
    </format>
    <format dxfId="1155">
      <pivotArea dataOnly="0" labelOnly="1" outline="0" fieldPosition="0">
        <references count="2">
          <reference field="0" count="1" selected="0">
            <x v="166"/>
          </reference>
          <reference field="1" count="1">
            <x v="190"/>
          </reference>
        </references>
      </pivotArea>
    </format>
    <format dxfId="1154">
      <pivotArea dataOnly="0" labelOnly="1" outline="0" fieldPosition="0">
        <references count="2">
          <reference field="0" count="1" selected="0">
            <x v="167"/>
          </reference>
          <reference field="1" count="1">
            <x v="199"/>
          </reference>
        </references>
      </pivotArea>
    </format>
    <format dxfId="1153">
      <pivotArea dataOnly="0" labelOnly="1" outline="0" fieldPosition="0">
        <references count="2">
          <reference field="0" count="1" selected="0">
            <x v="168"/>
          </reference>
          <reference field="1" count="1">
            <x v="200"/>
          </reference>
        </references>
      </pivotArea>
    </format>
    <format dxfId="1152">
      <pivotArea dataOnly="0" labelOnly="1" outline="0" fieldPosition="0">
        <references count="2">
          <reference field="0" count="1" selected="0">
            <x v="171"/>
          </reference>
          <reference field="1" count="1">
            <x v="203"/>
          </reference>
        </references>
      </pivotArea>
    </format>
    <format dxfId="1151">
      <pivotArea dataOnly="0" labelOnly="1" outline="0" fieldPosition="0">
        <references count="2">
          <reference field="0" count="1" selected="0">
            <x v="172"/>
          </reference>
          <reference field="1" count="1">
            <x v="204"/>
          </reference>
        </references>
      </pivotArea>
    </format>
    <format dxfId="1150">
      <pivotArea dataOnly="0" labelOnly="1" outline="0" fieldPosition="0">
        <references count="2">
          <reference field="0" count="1" selected="0">
            <x v="173"/>
          </reference>
          <reference field="1" count="1">
            <x v="205"/>
          </reference>
        </references>
      </pivotArea>
    </format>
    <format dxfId="1149">
      <pivotArea dataOnly="0" labelOnly="1" outline="0" fieldPosition="0">
        <references count="2">
          <reference field="0" count="1" selected="0">
            <x v="175"/>
          </reference>
          <reference field="1" count="1">
            <x v="207"/>
          </reference>
        </references>
      </pivotArea>
    </format>
    <format dxfId="1148">
      <pivotArea dataOnly="0" labelOnly="1" outline="0" fieldPosition="0">
        <references count="2">
          <reference field="0" count="1" selected="0">
            <x v="176"/>
          </reference>
          <reference field="1" count="1">
            <x v="208"/>
          </reference>
        </references>
      </pivotArea>
    </format>
    <format dxfId="1147">
      <pivotArea dataOnly="0" labelOnly="1" outline="0" fieldPosition="0">
        <references count="2">
          <reference field="0" count="1" selected="0">
            <x v="177"/>
          </reference>
          <reference field="1" count="1">
            <x v="209"/>
          </reference>
        </references>
      </pivotArea>
    </format>
    <format dxfId="1146">
      <pivotArea dataOnly="0" labelOnly="1" outline="0" fieldPosition="0">
        <references count="2">
          <reference field="0" count="1" selected="0">
            <x v="178"/>
          </reference>
          <reference field="1" count="1">
            <x v="210"/>
          </reference>
        </references>
      </pivotArea>
    </format>
    <format dxfId="1145">
      <pivotArea dataOnly="0" labelOnly="1" outline="0" fieldPosition="0">
        <references count="2">
          <reference field="0" count="1" selected="0">
            <x v="179"/>
          </reference>
          <reference field="1" count="1">
            <x v="211"/>
          </reference>
        </references>
      </pivotArea>
    </format>
    <format dxfId="1144">
      <pivotArea dataOnly="0" labelOnly="1" outline="0" fieldPosition="0">
        <references count="2">
          <reference field="0" count="1" selected="0">
            <x v="180"/>
          </reference>
          <reference field="1" count="1">
            <x v="212"/>
          </reference>
        </references>
      </pivotArea>
    </format>
    <format dxfId="1143">
      <pivotArea dataOnly="0" labelOnly="1" outline="0" fieldPosition="0">
        <references count="2">
          <reference field="0" count="1" selected="0">
            <x v="181"/>
          </reference>
          <reference field="1" count="1">
            <x v="213"/>
          </reference>
        </references>
      </pivotArea>
    </format>
    <format dxfId="1142">
      <pivotArea dataOnly="0" labelOnly="1" outline="0" fieldPosition="0">
        <references count="2">
          <reference field="0" count="1" selected="0">
            <x v="182"/>
          </reference>
          <reference field="1" count="1">
            <x v="214"/>
          </reference>
        </references>
      </pivotArea>
    </format>
    <format dxfId="1141">
      <pivotArea dataOnly="0" labelOnly="1" outline="0" fieldPosition="0">
        <references count="2">
          <reference field="0" count="1" selected="0">
            <x v="183"/>
          </reference>
          <reference field="1" count="1">
            <x v="215"/>
          </reference>
        </references>
      </pivotArea>
    </format>
    <format dxfId="1140">
      <pivotArea dataOnly="0" labelOnly="1" outline="0" fieldPosition="0">
        <references count="2">
          <reference field="0" count="1" selected="0">
            <x v="184"/>
          </reference>
          <reference field="1" count="1">
            <x v="216"/>
          </reference>
        </references>
      </pivotArea>
    </format>
    <format dxfId="1139">
      <pivotArea dataOnly="0" labelOnly="1" outline="0" fieldPosition="0">
        <references count="2">
          <reference field="0" count="1" selected="0">
            <x v="185"/>
          </reference>
          <reference field="1" count="1">
            <x v="217"/>
          </reference>
        </references>
      </pivotArea>
    </format>
    <format dxfId="1138">
      <pivotArea dataOnly="0" labelOnly="1" outline="0" fieldPosition="0">
        <references count="2">
          <reference field="0" count="1" selected="0">
            <x v="186"/>
          </reference>
          <reference field="1" count="1">
            <x v="218"/>
          </reference>
        </references>
      </pivotArea>
    </format>
    <format dxfId="1137">
      <pivotArea dataOnly="0" labelOnly="1" outline="0" fieldPosition="0">
        <references count="2">
          <reference field="0" count="1" selected="0">
            <x v="187"/>
          </reference>
          <reference field="1" count="1">
            <x v="219"/>
          </reference>
        </references>
      </pivotArea>
    </format>
    <format dxfId="1136">
      <pivotArea dataOnly="0" labelOnly="1" outline="0" fieldPosition="0">
        <references count="2">
          <reference field="0" count="1" selected="0">
            <x v="188"/>
          </reference>
          <reference field="1" count="1">
            <x v="220"/>
          </reference>
        </references>
      </pivotArea>
    </format>
    <format dxfId="1135">
      <pivotArea dataOnly="0" labelOnly="1" outline="0" fieldPosition="0">
        <references count="2">
          <reference field="0" count="1" selected="0">
            <x v="189"/>
          </reference>
          <reference field="1" count="1">
            <x v="221"/>
          </reference>
        </references>
      </pivotArea>
    </format>
    <format dxfId="1134">
      <pivotArea dataOnly="0" labelOnly="1" outline="0" fieldPosition="0">
        <references count="2">
          <reference field="0" count="1" selected="0">
            <x v="192"/>
          </reference>
          <reference field="1" count="1">
            <x v="224"/>
          </reference>
        </references>
      </pivotArea>
    </format>
    <format dxfId="1133">
      <pivotArea dataOnly="0" labelOnly="1" outline="0" fieldPosition="0">
        <references count="2">
          <reference field="0" count="1" selected="0">
            <x v="193"/>
          </reference>
          <reference field="1" count="1">
            <x v="225"/>
          </reference>
        </references>
      </pivotArea>
    </format>
    <format dxfId="1132">
      <pivotArea dataOnly="0" labelOnly="1" outline="0" fieldPosition="0">
        <references count="2">
          <reference field="0" count="1" selected="0">
            <x v="197"/>
          </reference>
          <reference field="1" count="1">
            <x v="236"/>
          </reference>
        </references>
      </pivotArea>
    </format>
    <format dxfId="1131">
      <pivotArea dataOnly="0" labelOnly="1" outline="0" fieldPosition="0">
        <references count="2">
          <reference field="0" count="1" selected="0">
            <x v="199"/>
          </reference>
          <reference field="1" count="1">
            <x v="238"/>
          </reference>
        </references>
      </pivotArea>
    </format>
    <format dxfId="1130">
      <pivotArea dataOnly="0" labelOnly="1" outline="0" fieldPosition="0">
        <references count="2">
          <reference field="0" count="1" selected="0">
            <x v="200"/>
          </reference>
          <reference field="1" count="1">
            <x v="239"/>
          </reference>
        </references>
      </pivotArea>
    </format>
    <format dxfId="1129">
      <pivotArea dataOnly="0" labelOnly="1" outline="0" fieldPosition="0">
        <references count="2">
          <reference field="0" count="1" selected="0">
            <x v="201"/>
          </reference>
          <reference field="1" count="1">
            <x v="240"/>
          </reference>
        </references>
      </pivotArea>
    </format>
    <format dxfId="1128">
      <pivotArea dataOnly="0" labelOnly="1" outline="0" fieldPosition="0">
        <references count="2">
          <reference field="0" count="1" selected="0">
            <x v="204"/>
          </reference>
          <reference field="1" count="1">
            <x v="149"/>
          </reference>
        </references>
      </pivotArea>
    </format>
    <format dxfId="1127">
      <pivotArea dataOnly="0" labelOnly="1" outline="0" fieldPosition="0">
        <references count="2">
          <reference field="0" count="1" selected="0">
            <x v="206"/>
          </reference>
          <reference field="1" count="1">
            <x v="151"/>
          </reference>
        </references>
      </pivotArea>
    </format>
    <format dxfId="1126">
      <pivotArea dataOnly="0" labelOnly="1" outline="0" fieldPosition="0">
        <references count="2">
          <reference field="0" count="1" selected="0">
            <x v="207"/>
          </reference>
          <reference field="1" count="1">
            <x v="152"/>
          </reference>
        </references>
      </pivotArea>
    </format>
    <format dxfId="1125">
      <pivotArea dataOnly="0" labelOnly="1" outline="0" fieldPosition="0">
        <references count="2">
          <reference field="0" count="1" selected="0">
            <x v="208"/>
          </reference>
          <reference field="1" count="1">
            <x v="153"/>
          </reference>
        </references>
      </pivotArea>
    </format>
    <format dxfId="1124">
      <pivotArea dataOnly="0" labelOnly="1" outline="0" fieldPosition="0">
        <references count="2">
          <reference field="0" count="1" selected="0">
            <x v="209"/>
          </reference>
          <reference field="1" count="1">
            <x v="154"/>
          </reference>
        </references>
      </pivotArea>
    </format>
    <format dxfId="1123">
      <pivotArea dataOnly="0" labelOnly="1" outline="0" fieldPosition="0">
        <references count="2">
          <reference field="0" count="1" selected="0">
            <x v="210"/>
          </reference>
          <reference field="1" count="1">
            <x v="155"/>
          </reference>
        </references>
      </pivotArea>
    </format>
    <format dxfId="1122">
      <pivotArea dataOnly="0" labelOnly="1" outline="0" fieldPosition="0">
        <references count="2">
          <reference field="0" count="1" selected="0">
            <x v="211"/>
          </reference>
          <reference field="1" count="1">
            <x v="156"/>
          </reference>
        </references>
      </pivotArea>
    </format>
    <format dxfId="1121">
      <pivotArea dataOnly="0" labelOnly="1" outline="0" fieldPosition="0">
        <references count="2">
          <reference field="0" count="1" selected="0">
            <x v="212"/>
          </reference>
          <reference field="1" count="1">
            <x v="157"/>
          </reference>
        </references>
      </pivotArea>
    </format>
    <format dxfId="1120">
      <pivotArea dataOnly="0" labelOnly="1" outline="0" fieldPosition="0">
        <references count="2">
          <reference field="0" count="1" selected="0">
            <x v="214"/>
          </reference>
          <reference field="1" count="1">
            <x v="159"/>
          </reference>
        </references>
      </pivotArea>
    </format>
    <format dxfId="1119">
      <pivotArea dataOnly="0" labelOnly="1" outline="0" fieldPosition="0">
        <references count="2">
          <reference field="0" count="1" selected="0">
            <x v="215"/>
          </reference>
          <reference field="1" count="1">
            <x v="160"/>
          </reference>
        </references>
      </pivotArea>
    </format>
    <format dxfId="1118">
      <pivotArea dataOnly="0" labelOnly="1" outline="0" fieldPosition="0">
        <references count="2">
          <reference field="0" count="1" selected="0">
            <x v="216"/>
          </reference>
          <reference field="1" count="1">
            <x v="161"/>
          </reference>
        </references>
      </pivotArea>
    </format>
    <format dxfId="1117">
      <pivotArea dataOnly="0" labelOnly="1" outline="0" fieldPosition="0">
        <references count="2">
          <reference field="0" count="1" selected="0">
            <x v="217"/>
          </reference>
          <reference field="1" count="1">
            <x v="162"/>
          </reference>
        </references>
      </pivotArea>
    </format>
    <format dxfId="1116">
      <pivotArea dataOnly="0" labelOnly="1" outline="0" fieldPosition="0">
        <references count="2">
          <reference field="0" count="1" selected="0">
            <x v="218"/>
          </reference>
          <reference field="1" count="1">
            <x v="163"/>
          </reference>
        </references>
      </pivotArea>
    </format>
    <format dxfId="1115">
      <pivotArea dataOnly="0" labelOnly="1" outline="0" fieldPosition="0">
        <references count="2">
          <reference field="0" count="1" selected="0">
            <x v="219"/>
          </reference>
          <reference field="1" count="1">
            <x v="164"/>
          </reference>
        </references>
      </pivotArea>
    </format>
    <format dxfId="1114">
      <pivotArea dataOnly="0" labelOnly="1" outline="0" fieldPosition="0">
        <references count="2">
          <reference field="0" count="1" selected="0">
            <x v="220"/>
          </reference>
          <reference field="1" count="1">
            <x v="165"/>
          </reference>
        </references>
      </pivotArea>
    </format>
    <format dxfId="1113">
      <pivotArea dataOnly="0" labelOnly="1" outline="0" fieldPosition="0">
        <references count="2">
          <reference field="0" count="1" selected="0">
            <x v="221"/>
          </reference>
          <reference field="1" count="1">
            <x v="166"/>
          </reference>
        </references>
      </pivotArea>
    </format>
    <format dxfId="1112">
      <pivotArea dataOnly="0" labelOnly="1" outline="0" fieldPosition="0">
        <references count="2">
          <reference field="0" count="1" selected="0">
            <x v="223"/>
          </reference>
          <reference field="1" count="1">
            <x v="168"/>
          </reference>
        </references>
      </pivotArea>
    </format>
    <format dxfId="1111">
      <pivotArea dataOnly="0" labelOnly="1" outline="0" fieldPosition="0">
        <references count="2">
          <reference field="0" count="1" selected="0">
            <x v="224"/>
          </reference>
          <reference field="1" count="1">
            <x v="169"/>
          </reference>
        </references>
      </pivotArea>
    </format>
    <format dxfId="1110">
      <pivotArea dataOnly="0" labelOnly="1" outline="0" fieldPosition="0">
        <references count="2">
          <reference field="0" count="1" selected="0">
            <x v="225"/>
          </reference>
          <reference field="1" count="1">
            <x v="170"/>
          </reference>
        </references>
      </pivotArea>
    </format>
    <format dxfId="1109">
      <pivotArea dataOnly="0" labelOnly="1" outline="0" fieldPosition="0">
        <references count="2">
          <reference field="0" count="1" selected="0">
            <x v="226"/>
          </reference>
          <reference field="1" count="1">
            <x v="171"/>
          </reference>
        </references>
      </pivotArea>
    </format>
    <format dxfId="1108">
      <pivotArea dataOnly="0" labelOnly="1" outline="0" fieldPosition="0">
        <references count="2">
          <reference field="0" count="1" selected="0">
            <x v="227"/>
          </reference>
          <reference field="1" count="1">
            <x v="172"/>
          </reference>
        </references>
      </pivotArea>
    </format>
    <format dxfId="1107">
      <pivotArea dataOnly="0" labelOnly="1" outline="0" fieldPosition="0">
        <references count="2">
          <reference field="0" count="1" selected="0">
            <x v="228"/>
          </reference>
          <reference field="1" count="1">
            <x v="173"/>
          </reference>
        </references>
      </pivotArea>
    </format>
    <format dxfId="1106">
      <pivotArea dataOnly="0" labelOnly="1" outline="0" fieldPosition="0">
        <references count="2">
          <reference field="0" count="1" selected="0">
            <x v="229"/>
          </reference>
          <reference field="1" count="1">
            <x v="174"/>
          </reference>
        </references>
      </pivotArea>
    </format>
    <format dxfId="1105">
      <pivotArea dataOnly="0" labelOnly="1" outline="0" fieldPosition="0">
        <references count="2">
          <reference field="0" count="1" selected="0">
            <x v="230"/>
          </reference>
          <reference field="1" count="1">
            <x v="175"/>
          </reference>
        </references>
      </pivotArea>
    </format>
    <format dxfId="1104">
      <pivotArea dataOnly="0" labelOnly="1" outline="0" fieldPosition="0">
        <references count="2">
          <reference field="0" count="1" selected="0">
            <x v="231"/>
          </reference>
          <reference field="1" count="1">
            <x v="176"/>
          </reference>
        </references>
      </pivotArea>
    </format>
    <format dxfId="1103">
      <pivotArea dataOnly="0" labelOnly="1" outline="0" fieldPosition="0">
        <references count="2">
          <reference field="0" count="1" selected="0">
            <x v="232"/>
          </reference>
          <reference field="1" count="1">
            <x v="177"/>
          </reference>
        </references>
      </pivotArea>
    </format>
    <format dxfId="1102">
      <pivotArea dataOnly="0" labelOnly="1" outline="0" fieldPosition="0">
        <references count="2">
          <reference field="0" count="1" selected="0">
            <x v="233"/>
          </reference>
          <reference field="1" count="1">
            <x v="178"/>
          </reference>
        </references>
      </pivotArea>
    </format>
    <format dxfId="1101">
      <pivotArea dataOnly="0" labelOnly="1" outline="0" fieldPosition="0">
        <references count="2">
          <reference field="0" count="1" selected="0">
            <x v="234"/>
          </reference>
          <reference field="1" count="1">
            <x v="179"/>
          </reference>
        </references>
      </pivotArea>
    </format>
    <format dxfId="1100">
      <pivotArea dataOnly="0" labelOnly="1" outline="0" fieldPosition="0">
        <references count="2">
          <reference field="0" count="1" selected="0">
            <x v="235"/>
          </reference>
          <reference field="1" count="1">
            <x v="191"/>
          </reference>
        </references>
      </pivotArea>
    </format>
    <format dxfId="1099">
      <pivotArea dataOnly="0" labelOnly="1" outline="0" fieldPosition="0">
        <references count="2">
          <reference field="0" count="1" selected="0">
            <x v="236"/>
          </reference>
          <reference field="1" count="1">
            <x v="192"/>
          </reference>
        </references>
      </pivotArea>
    </format>
    <format dxfId="1098">
      <pivotArea dataOnly="0" labelOnly="1" outline="0" fieldPosition="0">
        <references count="2">
          <reference field="0" count="1" selected="0">
            <x v="237"/>
          </reference>
          <reference field="1" count="1">
            <x v="193"/>
          </reference>
        </references>
      </pivotArea>
    </format>
    <format dxfId="1097">
      <pivotArea dataOnly="0" labelOnly="1" outline="0" fieldPosition="0">
        <references count="2">
          <reference field="0" count="1" selected="0">
            <x v="238"/>
          </reference>
          <reference field="1" count="1">
            <x v="194"/>
          </reference>
        </references>
      </pivotArea>
    </format>
    <format dxfId="1096">
      <pivotArea dataOnly="0" labelOnly="1" outline="0" fieldPosition="0">
        <references count="2">
          <reference field="0" count="1" selected="0">
            <x v="239"/>
          </reference>
          <reference field="1" count="1">
            <x v="195"/>
          </reference>
        </references>
      </pivotArea>
    </format>
    <format dxfId="1095">
      <pivotArea dataOnly="0" labelOnly="1" outline="0" fieldPosition="0">
        <references count="2">
          <reference field="0" count="1" selected="0">
            <x v="240"/>
          </reference>
          <reference field="1" count="1">
            <x v="196"/>
          </reference>
        </references>
      </pivotArea>
    </format>
    <format dxfId="1094">
      <pivotArea dataOnly="0" labelOnly="1" outline="0" fieldPosition="0">
        <references count="2">
          <reference field="0" count="1" selected="0">
            <x v="241"/>
          </reference>
          <reference field="1" count="1">
            <x v="197"/>
          </reference>
        </references>
      </pivotArea>
    </format>
    <format dxfId="1093">
      <pivotArea dataOnly="0" labelOnly="1" outline="0" fieldPosition="0">
        <references count="2">
          <reference field="0" count="1" selected="0">
            <x v="242"/>
          </reference>
          <reference field="1" count="1">
            <x v="198"/>
          </reference>
        </references>
      </pivotArea>
    </format>
    <format dxfId="1092">
      <pivotArea dataOnly="0" labelOnly="1" outline="0" fieldPosition="0">
        <references count="3">
          <reference field="0" count="1" selected="0">
            <x v="0"/>
          </reference>
          <reference field="1" count="1" selected="0">
            <x v="228"/>
          </reference>
          <reference field="2" count="1">
            <x v="153"/>
          </reference>
        </references>
      </pivotArea>
    </format>
    <format dxfId="1091">
      <pivotArea dataOnly="0" labelOnly="1" outline="0" fieldPosition="0">
        <references count="3">
          <reference field="0" count="1" selected="0">
            <x v="2"/>
          </reference>
          <reference field="1" count="1" selected="0">
            <x v="230"/>
          </reference>
          <reference field="2" count="1">
            <x v="225"/>
          </reference>
        </references>
      </pivotArea>
    </format>
    <format dxfId="1090">
      <pivotArea dataOnly="0" labelOnly="1" outline="0" fieldPosition="0">
        <references count="3">
          <reference field="0" count="1" selected="0">
            <x v="3"/>
          </reference>
          <reference field="1" count="1" selected="0">
            <x v="231"/>
          </reference>
          <reference field="2" count="1">
            <x v="88"/>
          </reference>
        </references>
      </pivotArea>
    </format>
    <format dxfId="1089">
      <pivotArea dataOnly="0" labelOnly="1" outline="0" fieldPosition="0">
        <references count="3">
          <reference field="0" count="1" selected="0">
            <x v="4"/>
          </reference>
          <reference field="1" count="1" selected="0">
            <x v="232"/>
          </reference>
          <reference field="2" count="1">
            <x v="90"/>
          </reference>
        </references>
      </pivotArea>
    </format>
    <format dxfId="1088">
      <pivotArea dataOnly="0" labelOnly="1" outline="0" fieldPosition="0">
        <references count="3">
          <reference field="0" count="1" selected="0">
            <x v="5"/>
          </reference>
          <reference field="1" count="1" selected="0">
            <x v="233"/>
          </reference>
          <reference field="2" count="1">
            <x v="224"/>
          </reference>
        </references>
      </pivotArea>
    </format>
    <format dxfId="1087">
      <pivotArea dataOnly="0" labelOnly="1" outline="0" fieldPosition="0">
        <references count="3">
          <reference field="0" count="1" selected="0">
            <x v="7"/>
          </reference>
          <reference field="1" count="1" selected="0">
            <x v="118"/>
          </reference>
          <reference field="2" count="1">
            <x v="171"/>
          </reference>
        </references>
      </pivotArea>
    </format>
    <format dxfId="1086">
      <pivotArea dataOnly="0" labelOnly="1" outline="0" fieldPosition="0">
        <references count="3">
          <reference field="0" count="1" selected="0">
            <x v="9"/>
          </reference>
          <reference field="1" count="1" selected="0">
            <x v="120"/>
          </reference>
          <reference field="2" count="1">
            <x v="168"/>
          </reference>
        </references>
      </pivotArea>
    </format>
    <format dxfId="1085">
      <pivotArea dataOnly="0" labelOnly="1" outline="0" fieldPosition="0">
        <references count="3">
          <reference field="0" count="1" selected="0">
            <x v="10"/>
          </reference>
          <reference field="1" count="1" selected="0">
            <x v="121"/>
          </reference>
          <reference field="2" count="1">
            <x v="82"/>
          </reference>
        </references>
      </pivotArea>
    </format>
    <format dxfId="1084">
      <pivotArea dataOnly="0" labelOnly="1" outline="0" fieldPosition="0">
        <references count="3">
          <reference field="0" count="1" selected="0">
            <x v="11"/>
          </reference>
          <reference field="1" count="1" selected="0">
            <x v="122"/>
          </reference>
          <reference field="2" count="1">
            <x v="26"/>
          </reference>
        </references>
      </pivotArea>
    </format>
    <format dxfId="1083">
      <pivotArea dataOnly="0" labelOnly="1" outline="0" fieldPosition="0">
        <references count="3">
          <reference field="0" count="1" selected="0">
            <x v="12"/>
          </reference>
          <reference field="1" count="1" selected="0">
            <x v="123"/>
          </reference>
          <reference field="2" count="1">
            <x v="150"/>
          </reference>
        </references>
      </pivotArea>
    </format>
    <format dxfId="1082">
      <pivotArea dataOnly="0" labelOnly="1" outline="0" fieldPosition="0">
        <references count="3">
          <reference field="0" count="1" selected="0">
            <x v="16"/>
          </reference>
          <reference field="1" count="1" selected="0">
            <x v="64"/>
          </reference>
          <reference field="2" count="1">
            <x v="157"/>
          </reference>
        </references>
      </pivotArea>
    </format>
    <format dxfId="1081">
      <pivotArea dataOnly="0" labelOnly="1" outline="0" fieldPosition="0">
        <references count="3">
          <reference field="0" count="1" selected="0">
            <x v="18"/>
          </reference>
          <reference field="1" count="1" selected="0">
            <x v="66"/>
          </reference>
          <reference field="2" count="1">
            <x v="189"/>
          </reference>
        </references>
      </pivotArea>
    </format>
    <format dxfId="1080">
      <pivotArea dataOnly="0" labelOnly="1" outline="0" fieldPosition="0">
        <references count="3">
          <reference field="0" count="1" selected="0">
            <x v="22"/>
          </reference>
          <reference field="1" count="1" selected="0">
            <x v="19"/>
          </reference>
          <reference field="2" count="1">
            <x v="39"/>
          </reference>
        </references>
      </pivotArea>
    </format>
    <format dxfId="1079">
      <pivotArea dataOnly="0" labelOnly="1" outline="0" fieldPosition="0">
        <references count="3">
          <reference field="0" count="1" selected="0">
            <x v="25"/>
          </reference>
          <reference field="1" count="1" selected="0">
            <x v="22"/>
          </reference>
          <reference field="2" count="1">
            <x v="84"/>
          </reference>
        </references>
      </pivotArea>
    </format>
    <format dxfId="1078">
      <pivotArea dataOnly="0" labelOnly="1" outline="0" fieldPosition="0">
        <references count="3">
          <reference field="0" count="1" selected="0">
            <x v="26"/>
          </reference>
          <reference field="1" count="1" selected="0">
            <x v="23"/>
          </reference>
          <reference field="2" count="1">
            <x v="217"/>
          </reference>
        </references>
      </pivotArea>
    </format>
    <format dxfId="1077">
      <pivotArea dataOnly="0" labelOnly="1" outline="0" fieldPosition="0">
        <references count="3">
          <reference field="0" count="1" selected="0">
            <x v="28"/>
          </reference>
          <reference field="1" count="1" selected="0">
            <x v="25"/>
          </reference>
          <reference field="2" count="1">
            <x v="52"/>
          </reference>
        </references>
      </pivotArea>
    </format>
    <format dxfId="1076">
      <pivotArea dataOnly="0" labelOnly="1" outline="0" fieldPosition="0">
        <references count="3">
          <reference field="0" count="1" selected="0">
            <x v="29"/>
          </reference>
          <reference field="1" count="1" selected="0">
            <x v="26"/>
          </reference>
          <reference field="2" count="1">
            <x v="62"/>
          </reference>
        </references>
      </pivotArea>
    </format>
    <format dxfId="1075">
      <pivotArea dataOnly="0" labelOnly="1" outline="0" fieldPosition="0">
        <references count="3">
          <reference field="0" count="1" selected="0">
            <x v="30"/>
          </reference>
          <reference field="1" count="1" selected="0">
            <x v="27"/>
          </reference>
          <reference field="2" count="1">
            <x v="7"/>
          </reference>
        </references>
      </pivotArea>
    </format>
    <format dxfId="1074">
      <pivotArea dataOnly="0" labelOnly="1" outline="0" fieldPosition="0">
        <references count="3">
          <reference field="0" count="1" selected="0">
            <x v="31"/>
          </reference>
          <reference field="1" count="1" selected="0">
            <x v="28"/>
          </reference>
          <reference field="2" count="1">
            <x v="53"/>
          </reference>
        </references>
      </pivotArea>
    </format>
    <format dxfId="1073">
      <pivotArea dataOnly="0" labelOnly="1" outline="0" fieldPosition="0">
        <references count="3">
          <reference field="0" count="1" selected="0">
            <x v="35"/>
          </reference>
          <reference field="1" count="1" selected="0">
            <x v="32"/>
          </reference>
          <reference field="2" count="1">
            <x v="51"/>
          </reference>
        </references>
      </pivotArea>
    </format>
    <format dxfId="1072">
      <pivotArea dataOnly="0" labelOnly="1" outline="0" fieldPosition="0">
        <references count="3">
          <reference field="0" count="1" selected="0">
            <x v="36"/>
          </reference>
          <reference field="1" count="1" selected="0">
            <x v="33"/>
          </reference>
          <reference field="2" count="1">
            <x v="130"/>
          </reference>
        </references>
      </pivotArea>
    </format>
    <format dxfId="1071">
      <pivotArea dataOnly="0" labelOnly="1" outline="0" fieldPosition="0">
        <references count="3">
          <reference field="0" count="1" selected="0">
            <x v="37"/>
          </reference>
          <reference field="1" count="1" selected="0">
            <x v="34"/>
          </reference>
          <reference field="2" count="1">
            <x v="70"/>
          </reference>
        </references>
      </pivotArea>
    </format>
    <format dxfId="1070">
      <pivotArea dataOnly="0" labelOnly="1" outline="0" fieldPosition="0">
        <references count="3">
          <reference field="0" count="1" selected="0">
            <x v="38"/>
          </reference>
          <reference field="1" count="1" selected="0">
            <x v="0"/>
          </reference>
          <reference field="2" count="1">
            <x v="45"/>
          </reference>
        </references>
      </pivotArea>
    </format>
    <format dxfId="1069">
      <pivotArea dataOnly="0" labelOnly="1" outline="0" fieldPosition="0">
        <references count="3">
          <reference field="0" count="1" selected="0">
            <x v="39"/>
          </reference>
          <reference field="1" count="1" selected="0">
            <x v="1"/>
          </reference>
          <reference field="2" count="1">
            <x v="46"/>
          </reference>
        </references>
      </pivotArea>
    </format>
    <format dxfId="1068">
      <pivotArea dataOnly="0" labelOnly="1" outline="0" fieldPosition="0">
        <references count="3">
          <reference field="0" count="1" selected="0">
            <x v="40"/>
          </reference>
          <reference field="1" count="1" selected="0">
            <x v="2"/>
          </reference>
          <reference field="2" count="1">
            <x v="128"/>
          </reference>
        </references>
      </pivotArea>
    </format>
    <format dxfId="1067">
      <pivotArea dataOnly="0" labelOnly="1" outline="0" fieldPosition="0">
        <references count="3">
          <reference field="0" count="1" selected="0">
            <x v="41"/>
          </reference>
          <reference field="1" count="1" selected="0">
            <x v="3"/>
          </reference>
          <reference field="2" count="1">
            <x v="105"/>
          </reference>
        </references>
      </pivotArea>
    </format>
    <format dxfId="1066">
      <pivotArea dataOnly="0" labelOnly="1" outline="0" fieldPosition="0">
        <references count="3">
          <reference field="0" count="1" selected="0">
            <x v="42"/>
          </reference>
          <reference field="1" count="1" selected="0">
            <x v="4"/>
          </reference>
          <reference field="2" count="1">
            <x v="64"/>
          </reference>
        </references>
      </pivotArea>
    </format>
    <format dxfId="1065">
      <pivotArea dataOnly="0" labelOnly="1" outline="0" fieldPosition="0">
        <references count="3">
          <reference field="0" count="1" selected="0">
            <x v="43"/>
          </reference>
          <reference field="1" count="1" selected="0">
            <x v="5"/>
          </reference>
          <reference field="2" count="1">
            <x v="19"/>
          </reference>
        </references>
      </pivotArea>
    </format>
    <format dxfId="1064">
      <pivotArea dataOnly="0" labelOnly="1" outline="0" fieldPosition="0">
        <references count="3">
          <reference field="0" count="1" selected="0">
            <x v="44"/>
          </reference>
          <reference field="1" count="1" selected="0">
            <x v="6"/>
          </reference>
          <reference field="2" count="1">
            <x v="23"/>
          </reference>
        </references>
      </pivotArea>
    </format>
    <format dxfId="1063">
      <pivotArea dataOnly="0" labelOnly="1" outline="0" fieldPosition="0">
        <references count="3">
          <reference field="0" count="1" selected="0">
            <x v="45"/>
          </reference>
          <reference field="1" count="1" selected="0">
            <x v="7"/>
          </reference>
          <reference field="2" count="1">
            <x v="22"/>
          </reference>
        </references>
      </pivotArea>
    </format>
    <format dxfId="1062">
      <pivotArea dataOnly="0" labelOnly="1" outline="0" fieldPosition="0">
        <references count="3">
          <reference field="0" count="1" selected="0">
            <x v="46"/>
          </reference>
          <reference field="1" count="1" selected="0">
            <x v="8"/>
          </reference>
          <reference field="2" count="1">
            <x v="135"/>
          </reference>
        </references>
      </pivotArea>
    </format>
    <format dxfId="1061">
      <pivotArea dataOnly="0" labelOnly="1" outline="0" fieldPosition="0">
        <references count="3">
          <reference field="0" count="1" selected="0">
            <x v="47"/>
          </reference>
          <reference field="1" count="1" selected="0">
            <x v="9"/>
          </reference>
          <reference field="2" count="1">
            <x v="141"/>
          </reference>
        </references>
      </pivotArea>
    </format>
    <format dxfId="1060">
      <pivotArea dataOnly="0" labelOnly="1" outline="0" fieldPosition="0">
        <references count="3">
          <reference field="0" count="1" selected="0">
            <x v="49"/>
          </reference>
          <reference field="1" count="1" selected="0">
            <x v="11"/>
          </reference>
          <reference field="2" count="1">
            <x v="127"/>
          </reference>
        </references>
      </pivotArea>
    </format>
    <format dxfId="1059">
      <pivotArea dataOnly="0" labelOnly="1" outline="0" fieldPosition="0">
        <references count="3">
          <reference field="0" count="1" selected="0">
            <x v="55"/>
          </reference>
          <reference field="1" count="1" selected="0">
            <x v="35"/>
          </reference>
          <reference field="2" count="1">
            <x v="65"/>
          </reference>
        </references>
      </pivotArea>
    </format>
    <format dxfId="1058">
      <pivotArea dataOnly="0" labelOnly="1" outline="0" fieldPosition="0">
        <references count="3">
          <reference field="0" count="1" selected="0">
            <x v="56"/>
          </reference>
          <reference field="1" count="1" selected="0">
            <x v="36"/>
          </reference>
          <reference field="2" count="1">
            <x v="183"/>
          </reference>
        </references>
      </pivotArea>
    </format>
    <format dxfId="1057">
      <pivotArea dataOnly="0" labelOnly="1" outline="0" fieldPosition="0">
        <references count="3">
          <reference field="0" count="1" selected="0">
            <x v="62"/>
          </reference>
          <reference field="1" count="1" selected="0">
            <x v="42"/>
          </reference>
          <reference field="2" count="1">
            <x v="15"/>
          </reference>
        </references>
      </pivotArea>
    </format>
    <format dxfId="1056">
      <pivotArea dataOnly="0" labelOnly="1" outline="0" fieldPosition="0">
        <references count="3">
          <reference field="0" count="1" selected="0">
            <x v="63"/>
          </reference>
          <reference field="1" count="1" selected="0">
            <x v="43"/>
          </reference>
          <reference field="2" count="1">
            <x v="152"/>
          </reference>
        </references>
      </pivotArea>
    </format>
    <format dxfId="1055">
      <pivotArea dataOnly="0" labelOnly="1" outline="0" fieldPosition="0">
        <references count="3">
          <reference field="0" count="1" selected="0">
            <x v="64"/>
          </reference>
          <reference field="1" count="1" selected="0">
            <x v="44"/>
          </reference>
          <reference field="2" count="1">
            <x v="146"/>
          </reference>
        </references>
      </pivotArea>
    </format>
    <format dxfId="1054">
      <pivotArea dataOnly="0" labelOnly="1" outline="0" fieldPosition="0">
        <references count="3">
          <reference field="0" count="1" selected="0">
            <x v="65"/>
          </reference>
          <reference field="1" count="1" selected="0">
            <x v="45"/>
          </reference>
          <reference field="2" count="1">
            <x v="204"/>
          </reference>
        </references>
      </pivotArea>
    </format>
    <format dxfId="1053">
      <pivotArea dataOnly="0" labelOnly="1" outline="0" fieldPosition="0">
        <references count="3">
          <reference field="0" count="1" selected="0">
            <x v="66"/>
          </reference>
          <reference field="1" count="1" selected="0">
            <x v="46"/>
          </reference>
          <reference field="2" count="1">
            <x v="92"/>
          </reference>
        </references>
      </pivotArea>
    </format>
    <format dxfId="1052">
      <pivotArea dataOnly="0" labelOnly="1" outline="0" fieldPosition="0">
        <references count="3">
          <reference field="0" count="1" selected="0">
            <x v="67"/>
          </reference>
          <reference field="1" count="1" selected="0">
            <x v="47"/>
          </reference>
          <reference field="2" count="1">
            <x v="181"/>
          </reference>
        </references>
      </pivotArea>
    </format>
    <format dxfId="1051">
      <pivotArea dataOnly="0" labelOnly="1" outline="0" fieldPosition="0">
        <references count="3">
          <reference field="0" count="1" selected="0">
            <x v="68"/>
          </reference>
          <reference field="1" count="1" selected="0">
            <x v="48"/>
          </reference>
          <reference field="2" count="1">
            <x v="231"/>
          </reference>
        </references>
      </pivotArea>
    </format>
    <format dxfId="1050">
      <pivotArea dataOnly="0" labelOnly="1" outline="0" fieldPosition="0">
        <references count="3">
          <reference field="0" count="1" selected="0">
            <x v="79"/>
          </reference>
          <reference field="1" count="1" selected="0">
            <x v="59"/>
          </reference>
          <reference field="2" count="1">
            <x v="21"/>
          </reference>
        </references>
      </pivotArea>
    </format>
    <format dxfId="1049">
      <pivotArea dataOnly="0" labelOnly="1" outline="0" fieldPosition="0">
        <references count="3">
          <reference field="0" count="1" selected="0">
            <x v="81"/>
          </reference>
          <reference field="1" count="1" selected="0">
            <x v="68"/>
          </reference>
          <reference field="2" count="1">
            <x v="112"/>
          </reference>
        </references>
      </pivotArea>
    </format>
    <format dxfId="1048">
      <pivotArea dataOnly="0" labelOnly="1" outline="0" fieldPosition="0">
        <references count="3">
          <reference field="0" count="1" selected="0">
            <x v="82"/>
          </reference>
          <reference field="1" count="1" selected="0">
            <x v="69"/>
          </reference>
          <reference field="2" count="1">
            <x v="226"/>
          </reference>
        </references>
      </pivotArea>
    </format>
    <format dxfId="1047">
      <pivotArea dataOnly="0" labelOnly="1" outline="0" fieldPosition="0">
        <references count="3">
          <reference field="0" count="1" selected="0">
            <x v="83"/>
          </reference>
          <reference field="1" count="1" selected="0">
            <x v="70"/>
          </reference>
          <reference field="2" count="1">
            <x v="193"/>
          </reference>
        </references>
      </pivotArea>
    </format>
    <format dxfId="1046">
      <pivotArea dataOnly="0" labelOnly="1" outline="0" fieldPosition="0">
        <references count="3">
          <reference field="0" count="1" selected="0">
            <x v="84"/>
          </reference>
          <reference field="1" count="1" selected="0">
            <x v="71"/>
          </reference>
          <reference field="2" count="1">
            <x v="192"/>
          </reference>
        </references>
      </pivotArea>
    </format>
    <format dxfId="1045">
      <pivotArea dataOnly="0" labelOnly="1" outline="0" fieldPosition="0">
        <references count="3">
          <reference field="0" count="1" selected="0">
            <x v="85"/>
          </reference>
          <reference field="1" count="1" selected="0">
            <x v="72"/>
          </reference>
          <reference field="2" count="1">
            <x v="87"/>
          </reference>
        </references>
      </pivotArea>
    </format>
    <format dxfId="1044">
      <pivotArea dataOnly="0" labelOnly="1" outline="0" fieldPosition="0">
        <references count="3">
          <reference field="0" count="1" selected="0">
            <x v="86"/>
          </reference>
          <reference field="1" count="1" selected="0">
            <x v="73"/>
          </reference>
          <reference field="2" count="1">
            <x v="154"/>
          </reference>
        </references>
      </pivotArea>
    </format>
    <format dxfId="1043">
      <pivotArea dataOnly="0" labelOnly="1" outline="0" fieldPosition="0">
        <references count="3">
          <reference field="0" count="1" selected="0">
            <x v="87"/>
          </reference>
          <reference field="1" count="1" selected="0">
            <x v="74"/>
          </reference>
          <reference field="2" count="1">
            <x v="208"/>
          </reference>
        </references>
      </pivotArea>
    </format>
    <format dxfId="1042">
      <pivotArea dataOnly="0" labelOnly="1" outline="0" fieldPosition="0">
        <references count="3">
          <reference field="0" count="1" selected="0">
            <x v="88"/>
          </reference>
          <reference field="1" count="1" selected="0">
            <x v="75"/>
          </reference>
          <reference field="2" count="1">
            <x v="38"/>
          </reference>
        </references>
      </pivotArea>
    </format>
    <format dxfId="1041">
      <pivotArea dataOnly="0" labelOnly="1" outline="0" fieldPosition="0">
        <references count="3">
          <reference field="0" count="1" selected="0">
            <x v="89"/>
          </reference>
          <reference field="1" count="1" selected="0">
            <x v="76"/>
          </reference>
          <reference field="2" count="1">
            <x v="232"/>
          </reference>
        </references>
      </pivotArea>
    </format>
    <format dxfId="1040">
      <pivotArea dataOnly="0" labelOnly="1" outline="0" fieldPosition="0">
        <references count="3">
          <reference field="0" count="1" selected="0">
            <x v="90"/>
          </reference>
          <reference field="1" count="1" selected="0">
            <x v="77"/>
          </reference>
          <reference field="2" count="1">
            <x v="43"/>
          </reference>
        </references>
      </pivotArea>
    </format>
    <format dxfId="1039">
      <pivotArea dataOnly="0" labelOnly="1" outline="0" fieldPosition="0">
        <references count="3">
          <reference field="0" count="1" selected="0">
            <x v="91"/>
          </reference>
          <reference field="1" count="1" selected="0">
            <x v="78"/>
          </reference>
          <reference field="2" count="1">
            <x v="12"/>
          </reference>
        </references>
      </pivotArea>
    </format>
    <format dxfId="1038">
      <pivotArea dataOnly="0" labelOnly="1" outline="0" fieldPosition="0">
        <references count="3">
          <reference field="0" count="1" selected="0">
            <x v="93"/>
          </reference>
          <reference field="1" count="1" selected="0">
            <x v="80"/>
          </reference>
          <reference field="2" count="1">
            <x v="180"/>
          </reference>
        </references>
      </pivotArea>
    </format>
    <format dxfId="1037">
      <pivotArea dataOnly="0" labelOnly="1" outline="0" fieldPosition="0">
        <references count="3">
          <reference field="0" count="1" selected="0">
            <x v="94"/>
          </reference>
          <reference field="1" count="1" selected="0">
            <x v="81"/>
          </reference>
          <reference field="2" count="1">
            <x v="60"/>
          </reference>
        </references>
      </pivotArea>
    </format>
    <format dxfId="1036">
      <pivotArea dataOnly="0" labelOnly="1" outline="0" fieldPosition="0">
        <references count="3">
          <reference field="0" count="1" selected="0">
            <x v="95"/>
          </reference>
          <reference field="1" count="1" selected="0">
            <x v="82"/>
          </reference>
          <reference field="2" count="1">
            <x v="5"/>
          </reference>
        </references>
      </pivotArea>
    </format>
    <format dxfId="1035">
      <pivotArea dataOnly="0" labelOnly="1" outline="0" fieldPosition="0">
        <references count="3">
          <reference field="0" count="1" selected="0">
            <x v="96"/>
          </reference>
          <reference field="1" count="1" selected="0">
            <x v="83"/>
          </reference>
          <reference field="2" count="1">
            <x v="173"/>
          </reference>
        </references>
      </pivotArea>
    </format>
    <format dxfId="1034">
      <pivotArea dataOnly="0" labelOnly="1" outline="0" fieldPosition="0">
        <references count="3">
          <reference field="0" count="1" selected="0">
            <x v="97"/>
          </reference>
          <reference field="1" count="1" selected="0">
            <x v="84"/>
          </reference>
          <reference field="2" count="1">
            <x v="6"/>
          </reference>
        </references>
      </pivotArea>
    </format>
    <format dxfId="1033">
      <pivotArea dataOnly="0" labelOnly="1" outline="0" fieldPosition="0">
        <references count="3">
          <reference field="0" count="1" selected="0">
            <x v="98"/>
          </reference>
          <reference field="1" count="1" selected="0">
            <x v="85"/>
          </reference>
          <reference field="2" count="1">
            <x v="214"/>
          </reference>
        </references>
      </pivotArea>
    </format>
    <format dxfId="1032">
      <pivotArea dataOnly="0" labelOnly="1" outline="0" fieldPosition="0">
        <references count="3">
          <reference field="0" count="1" selected="0">
            <x v="99"/>
          </reference>
          <reference field="1" count="1" selected="0">
            <x v="86"/>
          </reference>
          <reference field="2" count="1">
            <x v="66"/>
          </reference>
        </references>
      </pivotArea>
    </format>
    <format dxfId="1031">
      <pivotArea dataOnly="0" labelOnly="1" outline="0" fieldPosition="0">
        <references count="3">
          <reference field="0" count="1" selected="0">
            <x v="100"/>
          </reference>
          <reference field="1" count="1" selected="0">
            <x v="87"/>
          </reference>
          <reference field="2" count="1">
            <x v="75"/>
          </reference>
        </references>
      </pivotArea>
    </format>
    <format dxfId="1030">
      <pivotArea dataOnly="0" labelOnly="1" outline="0" fieldPosition="0">
        <references count="3">
          <reference field="0" count="1" selected="0">
            <x v="101"/>
          </reference>
          <reference field="1" count="1" selected="0">
            <x v="88"/>
          </reference>
          <reference field="2" count="1">
            <x v="29"/>
          </reference>
        </references>
      </pivotArea>
    </format>
    <format dxfId="1029">
      <pivotArea dataOnly="0" labelOnly="1" outline="0" fieldPosition="0">
        <references count="3">
          <reference field="0" count="1" selected="0">
            <x v="102"/>
          </reference>
          <reference field="1" count="1" selected="0">
            <x v="89"/>
          </reference>
          <reference field="2" count="1">
            <x v="14"/>
          </reference>
        </references>
      </pivotArea>
    </format>
    <format dxfId="1028">
      <pivotArea dataOnly="0" labelOnly="1" outline="0" fieldPosition="0">
        <references count="3">
          <reference field="0" count="1" selected="0">
            <x v="103"/>
          </reference>
          <reference field="1" count="1" selected="0">
            <x v="90"/>
          </reference>
          <reference field="2" count="1">
            <x v="73"/>
          </reference>
        </references>
      </pivotArea>
    </format>
    <format dxfId="1027">
      <pivotArea dataOnly="0" labelOnly="1" outline="0" fieldPosition="0">
        <references count="3">
          <reference field="0" count="1" selected="0">
            <x v="104"/>
          </reference>
          <reference field="1" count="1" selected="0">
            <x v="91"/>
          </reference>
          <reference field="2" count="1">
            <x v="68"/>
          </reference>
        </references>
      </pivotArea>
    </format>
    <format dxfId="1026">
      <pivotArea dataOnly="0" labelOnly="1" outline="0" fieldPosition="0">
        <references count="3">
          <reference field="0" count="1" selected="0">
            <x v="105"/>
          </reference>
          <reference field="1" count="1" selected="0">
            <x v="92"/>
          </reference>
          <reference field="2" count="1">
            <x v="134"/>
          </reference>
        </references>
      </pivotArea>
    </format>
    <format dxfId="1025">
      <pivotArea dataOnly="0" labelOnly="1" outline="0" fieldPosition="0">
        <references count="3">
          <reference field="0" count="1" selected="0">
            <x v="106"/>
          </reference>
          <reference field="1" count="1" selected="0">
            <x v="93"/>
          </reference>
          <reference field="2" count="1">
            <x v="76"/>
          </reference>
        </references>
      </pivotArea>
    </format>
    <format dxfId="1024">
      <pivotArea dataOnly="0" labelOnly="1" outline="0" fieldPosition="0">
        <references count="3">
          <reference field="0" count="1" selected="0">
            <x v="107"/>
          </reference>
          <reference field="1" count="1" selected="0">
            <x v="94"/>
          </reference>
          <reference field="2" count="1">
            <x v="190"/>
          </reference>
        </references>
      </pivotArea>
    </format>
    <format dxfId="1023">
      <pivotArea dataOnly="0" labelOnly="1" outline="0" fieldPosition="0">
        <references count="3">
          <reference field="0" count="1" selected="0">
            <x v="108"/>
          </reference>
          <reference field="1" count="1" selected="0">
            <x v="95"/>
          </reference>
          <reference field="2" count="1">
            <x v="236"/>
          </reference>
        </references>
      </pivotArea>
    </format>
    <format dxfId="1022">
      <pivotArea dataOnly="0" labelOnly="1" outline="0" fieldPosition="0">
        <references count="3">
          <reference field="0" count="1" selected="0">
            <x v="110"/>
          </reference>
          <reference field="1" count="1" selected="0">
            <x v="97"/>
          </reference>
          <reference field="2" count="1">
            <x v="123"/>
          </reference>
        </references>
      </pivotArea>
    </format>
    <format dxfId="1021">
      <pivotArea dataOnly="0" labelOnly="1" outline="0" fieldPosition="0">
        <references count="3">
          <reference field="0" count="1" selected="0">
            <x v="111"/>
          </reference>
          <reference field="1" count="1" selected="0">
            <x v="98"/>
          </reference>
          <reference field="2" count="1">
            <x v="83"/>
          </reference>
        </references>
      </pivotArea>
    </format>
    <format dxfId="1020">
      <pivotArea dataOnly="0" labelOnly="1" outline="0" fieldPosition="0">
        <references count="3">
          <reference field="0" count="1" selected="0">
            <x v="113"/>
          </reference>
          <reference field="1" count="1" selected="0">
            <x v="100"/>
          </reference>
          <reference field="2" count="1">
            <x v="124"/>
          </reference>
        </references>
      </pivotArea>
    </format>
    <format dxfId="1019">
      <pivotArea dataOnly="0" labelOnly="1" outline="0" fieldPosition="0">
        <references count="3">
          <reference field="0" count="1" selected="0">
            <x v="121"/>
          </reference>
          <reference field="1" count="1" selected="0">
            <x v="108"/>
          </reference>
          <reference field="2" count="1">
            <x v="207"/>
          </reference>
        </references>
      </pivotArea>
    </format>
    <format dxfId="1018">
      <pivotArea dataOnly="0" labelOnly="1" outline="0" fieldPosition="0">
        <references count="3">
          <reference field="0" count="1" selected="0">
            <x v="122"/>
          </reference>
          <reference field="1" count="1" selected="0">
            <x v="109"/>
          </reference>
          <reference field="2" count="1">
            <x v="35"/>
          </reference>
        </references>
      </pivotArea>
    </format>
    <format dxfId="1017">
      <pivotArea dataOnly="0" labelOnly="1" outline="0" fieldPosition="0">
        <references count="3">
          <reference field="0" count="1" selected="0">
            <x v="123"/>
          </reference>
          <reference field="1" count="1" selected="0">
            <x v="110"/>
          </reference>
          <reference field="2" count="1">
            <x v="176"/>
          </reference>
        </references>
      </pivotArea>
    </format>
    <format dxfId="1016">
      <pivotArea dataOnly="0" labelOnly="1" outline="0" fieldPosition="0">
        <references count="3">
          <reference field="0" count="1" selected="0">
            <x v="124"/>
          </reference>
          <reference field="1" count="1" selected="0">
            <x v="111"/>
          </reference>
          <reference field="2" count="1">
            <x v="218"/>
          </reference>
        </references>
      </pivotArea>
    </format>
    <format dxfId="1015">
      <pivotArea dataOnly="0" labelOnly="1" outline="0" fieldPosition="0">
        <references count="3">
          <reference field="0" count="1" selected="0">
            <x v="125"/>
          </reference>
          <reference field="1" count="1" selected="0">
            <x v="112"/>
          </reference>
          <reference field="2" count="1">
            <x v="197"/>
          </reference>
        </references>
      </pivotArea>
    </format>
    <format dxfId="1014">
      <pivotArea dataOnly="0" labelOnly="1" outline="0" fieldPosition="0">
        <references count="3">
          <reference field="0" count="1" selected="0">
            <x v="126"/>
          </reference>
          <reference field="1" count="1" selected="0">
            <x v="113"/>
          </reference>
          <reference field="2" count="1">
            <x v="191"/>
          </reference>
        </references>
      </pivotArea>
    </format>
    <format dxfId="1013">
      <pivotArea dataOnly="0" labelOnly="1" outline="0" fieldPosition="0">
        <references count="3">
          <reference field="0" count="1" selected="0">
            <x v="127"/>
          </reference>
          <reference field="1" count="1" selected="0">
            <x v="114"/>
          </reference>
          <reference field="2" count="1">
            <x v="174"/>
          </reference>
        </references>
      </pivotArea>
    </format>
    <format dxfId="1012">
      <pivotArea dataOnly="0" labelOnly="1" outline="0" fieldPosition="0">
        <references count="3">
          <reference field="0" count="1" selected="0">
            <x v="128"/>
          </reference>
          <reference field="1" count="1" selected="0">
            <x v="115"/>
          </reference>
          <reference field="2" count="1">
            <x v="59"/>
          </reference>
        </references>
      </pivotArea>
    </format>
    <format dxfId="1011">
      <pivotArea dataOnly="0" labelOnly="1" outline="0" fieldPosition="0">
        <references count="3">
          <reference field="0" count="1" selected="0">
            <x v="129"/>
          </reference>
          <reference field="1" count="1" selected="0">
            <x v="116"/>
          </reference>
          <reference field="2" count="1">
            <x v="212"/>
          </reference>
        </references>
      </pivotArea>
    </format>
    <format dxfId="1010">
      <pivotArea dataOnly="0" labelOnly="1" outline="0" fieldPosition="0">
        <references count="3">
          <reference field="0" count="1" selected="0">
            <x v="130"/>
          </reference>
          <reference field="1" count="1" selected="0">
            <x v="117"/>
          </reference>
          <reference field="2" count="1">
            <x v="118"/>
          </reference>
        </references>
      </pivotArea>
    </format>
    <format dxfId="1009">
      <pivotArea dataOnly="0" labelOnly="1" outline="0" fieldPosition="0">
        <references count="3">
          <reference field="0" count="1" selected="0">
            <x v="134"/>
          </reference>
          <reference field="1" count="1" selected="0">
            <x v="127"/>
          </reference>
          <reference field="2" count="1">
            <x v="2"/>
          </reference>
        </references>
      </pivotArea>
    </format>
    <format dxfId="1008">
      <pivotArea dataOnly="0" labelOnly="1" outline="0" fieldPosition="0">
        <references count="3">
          <reference field="0" count="1" selected="0">
            <x v="135"/>
          </reference>
          <reference field="1" count="1" selected="0">
            <x v="128"/>
          </reference>
          <reference field="2" count="1">
            <x v="151"/>
          </reference>
        </references>
      </pivotArea>
    </format>
    <format dxfId="1007">
      <pivotArea dataOnly="0" labelOnly="1" outline="0" fieldPosition="0">
        <references count="3">
          <reference field="0" count="1" selected="0">
            <x v="136"/>
          </reference>
          <reference field="1" count="1" selected="0">
            <x v="129"/>
          </reference>
          <reference field="2" count="1">
            <x v="219"/>
          </reference>
        </references>
      </pivotArea>
    </format>
    <format dxfId="1006">
      <pivotArea dataOnly="0" labelOnly="1" outline="0" fieldPosition="0">
        <references count="3">
          <reference field="0" count="1" selected="0">
            <x v="144"/>
          </reference>
          <reference field="1" count="1" selected="0">
            <x v="137"/>
          </reference>
          <reference field="2" count="1">
            <x v="79"/>
          </reference>
        </references>
      </pivotArea>
    </format>
    <format dxfId="1005">
      <pivotArea dataOnly="0" labelOnly="1" outline="0" fieldPosition="0">
        <references count="3">
          <reference field="0" count="1" selected="0">
            <x v="146"/>
          </reference>
          <reference field="1" count="1" selected="0">
            <x v="139"/>
          </reference>
          <reference field="2" count="1">
            <x v="30"/>
          </reference>
        </references>
      </pivotArea>
    </format>
    <format dxfId="1004">
      <pivotArea dataOnly="0" labelOnly="1" outline="0" fieldPosition="0">
        <references count="3">
          <reference field="0" count="1" selected="0">
            <x v="147"/>
          </reference>
          <reference field="1" count="1" selected="0">
            <x v="140"/>
          </reference>
          <reference field="2" count="1">
            <x v="211"/>
          </reference>
        </references>
      </pivotArea>
    </format>
    <format dxfId="1003">
      <pivotArea dataOnly="0" labelOnly="1" outline="0" fieldPosition="0">
        <references count="3">
          <reference field="0" count="1" selected="0">
            <x v="148"/>
          </reference>
          <reference field="1" count="1" selected="0">
            <x v="141"/>
          </reference>
          <reference field="2" count="1">
            <x v="95"/>
          </reference>
        </references>
      </pivotArea>
    </format>
    <format dxfId="1002">
      <pivotArea dataOnly="0" labelOnly="1" outline="0" fieldPosition="0">
        <references count="3">
          <reference field="0" count="1" selected="0">
            <x v="149"/>
          </reference>
          <reference field="1" count="1" selected="0">
            <x v="142"/>
          </reference>
          <reference field="2" count="1">
            <x v="165"/>
          </reference>
        </references>
      </pivotArea>
    </format>
    <format dxfId="1001">
      <pivotArea dataOnly="0" labelOnly="1" outline="0" fieldPosition="0">
        <references count="3">
          <reference field="0" count="1" selected="0">
            <x v="150"/>
          </reference>
          <reference field="1" count="1" selected="0">
            <x v="143"/>
          </reference>
          <reference field="2" count="1">
            <x v="166"/>
          </reference>
        </references>
      </pivotArea>
    </format>
    <format dxfId="1000">
      <pivotArea dataOnly="0" labelOnly="1" outline="0" fieldPosition="0">
        <references count="3">
          <reference field="0" count="1" selected="0">
            <x v="151"/>
          </reference>
          <reference field="1" count="1" selected="0">
            <x v="144"/>
          </reference>
          <reference field="2" count="1">
            <x v="85"/>
          </reference>
        </references>
      </pivotArea>
    </format>
    <format dxfId="999">
      <pivotArea dataOnly="0" labelOnly="1" outline="0" fieldPosition="0">
        <references count="3">
          <reference field="0" count="1" selected="0">
            <x v="152"/>
          </reference>
          <reference field="1" count="1" selected="0">
            <x v="145"/>
          </reference>
          <reference field="2" count="1">
            <x v="86"/>
          </reference>
        </references>
      </pivotArea>
    </format>
    <format dxfId="998">
      <pivotArea dataOnly="0" labelOnly="1" outline="0" fieldPosition="0">
        <references count="3">
          <reference field="0" count="1" selected="0">
            <x v="153"/>
          </reference>
          <reference field="1" count="1" selected="0">
            <x v="146"/>
          </reference>
          <reference field="2" count="1">
            <x v="54"/>
          </reference>
        </references>
      </pivotArea>
    </format>
    <format dxfId="997">
      <pivotArea dataOnly="0" labelOnly="1" outline="0" fieldPosition="0">
        <references count="3">
          <reference field="0" count="1" selected="0">
            <x v="154"/>
          </reference>
          <reference field="1" count="1" selected="0">
            <x v="147"/>
          </reference>
          <reference field="2" count="1">
            <x v="109"/>
          </reference>
        </references>
      </pivotArea>
    </format>
    <format dxfId="996">
      <pivotArea dataOnly="0" labelOnly="1" outline="0" fieldPosition="0">
        <references count="3">
          <reference field="0" count="1" selected="0">
            <x v="155"/>
          </reference>
          <reference field="1" count="1" selected="0">
            <x v="148"/>
          </reference>
          <reference field="2" count="1">
            <x v="3"/>
          </reference>
        </references>
      </pivotArea>
    </format>
    <format dxfId="995">
      <pivotArea dataOnly="0" labelOnly="1" outline="0" fieldPosition="0">
        <references count="3">
          <reference field="0" count="1" selected="0">
            <x v="159"/>
          </reference>
          <reference field="1" count="1" selected="0">
            <x v="183"/>
          </reference>
          <reference field="2" count="1">
            <x v="122"/>
          </reference>
        </references>
      </pivotArea>
    </format>
    <format dxfId="994">
      <pivotArea dataOnly="0" labelOnly="1" outline="0" fieldPosition="0">
        <references count="3">
          <reference field="0" count="1" selected="0">
            <x v="160"/>
          </reference>
          <reference field="1" count="1" selected="0">
            <x v="184"/>
          </reference>
          <reference field="2" count="1">
            <x v="187"/>
          </reference>
        </references>
      </pivotArea>
    </format>
    <format dxfId="993">
      <pivotArea dataOnly="0" labelOnly="1" outline="0" fieldPosition="0">
        <references count="3">
          <reference field="0" count="1" selected="0">
            <x v="161"/>
          </reference>
          <reference field="1" count="1" selected="0">
            <x v="185"/>
          </reference>
          <reference field="2" count="1">
            <x v="186"/>
          </reference>
        </references>
      </pivotArea>
    </format>
    <format dxfId="992">
      <pivotArea dataOnly="0" labelOnly="1" outline="0" fieldPosition="0">
        <references count="3">
          <reference field="0" count="1" selected="0">
            <x v="162"/>
          </reference>
          <reference field="1" count="1" selected="0">
            <x v="186"/>
          </reference>
          <reference field="2" count="1">
            <x v="125"/>
          </reference>
        </references>
      </pivotArea>
    </format>
    <format dxfId="991">
      <pivotArea dataOnly="0" labelOnly="1" outline="0" fieldPosition="0">
        <references count="3">
          <reference field="0" count="1" selected="0">
            <x v="164"/>
          </reference>
          <reference field="1" count="1" selected="0">
            <x v="188"/>
          </reference>
          <reference field="2" count="1">
            <x v="119"/>
          </reference>
        </references>
      </pivotArea>
    </format>
    <format dxfId="990">
      <pivotArea dataOnly="0" labelOnly="1" outline="0" fieldPosition="0">
        <references count="3">
          <reference field="0" count="1" selected="0">
            <x v="165"/>
          </reference>
          <reference field="1" count="1" selected="0">
            <x v="189"/>
          </reference>
          <reference field="2" count="1">
            <x v="156"/>
          </reference>
        </references>
      </pivotArea>
    </format>
    <format dxfId="989">
      <pivotArea dataOnly="0" labelOnly="1" outline="0" fieldPosition="0">
        <references count="3">
          <reference field="0" count="1" selected="0">
            <x v="166"/>
          </reference>
          <reference field="1" count="1" selected="0">
            <x v="190"/>
          </reference>
          <reference field="2" count="1">
            <x v="213"/>
          </reference>
        </references>
      </pivotArea>
    </format>
    <format dxfId="988">
      <pivotArea dataOnly="0" labelOnly="1" outline="0" fieldPosition="0">
        <references count="3">
          <reference field="0" count="1" selected="0">
            <x v="167"/>
          </reference>
          <reference field="1" count="1" selected="0">
            <x v="199"/>
          </reference>
          <reference field="2" count="1">
            <x v="56"/>
          </reference>
        </references>
      </pivotArea>
    </format>
    <format dxfId="987">
      <pivotArea dataOnly="0" labelOnly="1" outline="0" fieldPosition="0">
        <references count="3">
          <reference field="0" count="1" selected="0">
            <x v="168"/>
          </reference>
          <reference field="1" count="1" selected="0">
            <x v="200"/>
          </reference>
          <reference field="2" count="1">
            <x v="9"/>
          </reference>
        </references>
      </pivotArea>
    </format>
    <format dxfId="986">
      <pivotArea dataOnly="0" labelOnly="1" outline="0" fieldPosition="0">
        <references count="3">
          <reference field="0" count="1" selected="0">
            <x v="171"/>
          </reference>
          <reference field="1" count="1" selected="0">
            <x v="203"/>
          </reference>
          <reference field="2" count="1">
            <x v="10"/>
          </reference>
        </references>
      </pivotArea>
    </format>
    <format dxfId="985">
      <pivotArea dataOnly="0" labelOnly="1" outline="0" fieldPosition="0">
        <references count="3">
          <reference field="0" count="1" selected="0">
            <x v="172"/>
          </reference>
          <reference field="1" count="1" selected="0">
            <x v="204"/>
          </reference>
          <reference field="2" count="1">
            <x v="216"/>
          </reference>
        </references>
      </pivotArea>
    </format>
    <format dxfId="984">
      <pivotArea dataOnly="0" labelOnly="1" outline="0" fieldPosition="0">
        <references count="3">
          <reference field="0" count="1" selected="0">
            <x v="173"/>
          </reference>
          <reference field="1" count="1" selected="0">
            <x v="205"/>
          </reference>
          <reference field="2" count="1">
            <x v="94"/>
          </reference>
        </references>
      </pivotArea>
    </format>
    <format dxfId="983">
      <pivotArea dataOnly="0" labelOnly="1" outline="0" fieldPosition="0">
        <references count="3">
          <reference field="0" count="1" selected="0">
            <x v="175"/>
          </reference>
          <reference field="1" count="1" selected="0">
            <x v="207"/>
          </reference>
          <reference field="2" count="1">
            <x v="172"/>
          </reference>
        </references>
      </pivotArea>
    </format>
    <format dxfId="982">
      <pivotArea dataOnly="0" labelOnly="1" outline="0" fieldPosition="0">
        <references count="3">
          <reference field="0" count="1" selected="0">
            <x v="176"/>
          </reference>
          <reference field="1" count="1" selected="0">
            <x v="208"/>
          </reference>
          <reference field="2" count="1">
            <x v="215"/>
          </reference>
        </references>
      </pivotArea>
    </format>
    <format dxfId="981">
      <pivotArea dataOnly="0" labelOnly="1" outline="0" fieldPosition="0">
        <references count="3">
          <reference field="0" count="1" selected="0">
            <x v="177"/>
          </reference>
          <reference field="1" count="1" selected="0">
            <x v="209"/>
          </reference>
          <reference field="2" count="1">
            <x v="114"/>
          </reference>
        </references>
      </pivotArea>
    </format>
    <format dxfId="980">
      <pivotArea dataOnly="0" labelOnly="1" outline="0" fieldPosition="0">
        <references count="3">
          <reference field="0" count="1" selected="0">
            <x v="178"/>
          </reference>
          <reference field="1" count="1" selected="0">
            <x v="210"/>
          </reference>
          <reference field="2" count="1">
            <x v="11"/>
          </reference>
        </references>
      </pivotArea>
    </format>
    <format dxfId="979">
      <pivotArea dataOnly="0" labelOnly="1" outline="0" fieldPosition="0">
        <references count="3">
          <reference field="0" count="1" selected="0">
            <x v="179"/>
          </reference>
          <reference field="1" count="1" selected="0">
            <x v="211"/>
          </reference>
          <reference field="2" count="1">
            <x v="96"/>
          </reference>
        </references>
      </pivotArea>
    </format>
    <format dxfId="978">
      <pivotArea dataOnly="0" labelOnly="1" outline="0" fieldPosition="0">
        <references count="3">
          <reference field="0" count="1" selected="0">
            <x v="180"/>
          </reference>
          <reference field="1" count="1" selected="0">
            <x v="212"/>
          </reference>
          <reference field="2" count="1">
            <x v="97"/>
          </reference>
        </references>
      </pivotArea>
    </format>
    <format dxfId="977">
      <pivotArea dataOnly="0" labelOnly="1" outline="0" fieldPosition="0">
        <references count="3">
          <reference field="0" count="1" selected="0">
            <x v="181"/>
          </reference>
          <reference field="1" count="1" selected="0">
            <x v="213"/>
          </reference>
          <reference field="2" count="1">
            <x v="234"/>
          </reference>
        </references>
      </pivotArea>
    </format>
    <format dxfId="976">
      <pivotArea dataOnly="0" labelOnly="1" outline="0" fieldPosition="0">
        <references count="3">
          <reference field="0" count="1" selected="0">
            <x v="182"/>
          </reference>
          <reference field="1" count="1" selected="0">
            <x v="214"/>
          </reference>
          <reference field="2" count="1">
            <x v="235"/>
          </reference>
        </references>
      </pivotArea>
    </format>
    <format dxfId="975">
      <pivotArea dataOnly="0" labelOnly="1" outline="0" fieldPosition="0">
        <references count="3">
          <reference field="0" count="1" selected="0">
            <x v="183"/>
          </reference>
          <reference field="1" count="1" selected="0">
            <x v="215"/>
          </reference>
          <reference field="2" count="1">
            <x v="206"/>
          </reference>
        </references>
      </pivotArea>
    </format>
    <format dxfId="974">
      <pivotArea dataOnly="0" labelOnly="1" outline="0" fieldPosition="0">
        <references count="3">
          <reference field="0" count="1" selected="0">
            <x v="184"/>
          </reference>
          <reference field="1" count="1" selected="0">
            <x v="216"/>
          </reference>
          <reference field="2" count="1">
            <x v="111"/>
          </reference>
        </references>
      </pivotArea>
    </format>
    <format dxfId="973">
      <pivotArea dataOnly="0" labelOnly="1" outline="0" fieldPosition="0">
        <references count="3">
          <reference field="0" count="1" selected="0">
            <x v="185"/>
          </reference>
          <reference field="1" count="1" selected="0">
            <x v="217"/>
          </reference>
          <reference field="2" count="1">
            <x v="113"/>
          </reference>
        </references>
      </pivotArea>
    </format>
    <format dxfId="972">
      <pivotArea dataOnly="0" labelOnly="1" outline="0" fieldPosition="0">
        <references count="3">
          <reference field="0" count="1" selected="0">
            <x v="186"/>
          </reference>
          <reference field="1" count="1" selected="0">
            <x v="218"/>
          </reference>
          <reference field="2" count="1">
            <x v="93"/>
          </reference>
        </references>
      </pivotArea>
    </format>
    <format dxfId="971">
      <pivotArea dataOnly="0" labelOnly="1" outline="0" fieldPosition="0">
        <references count="3">
          <reference field="0" count="1" selected="0">
            <x v="187"/>
          </reference>
          <reference field="1" count="1" selected="0">
            <x v="219"/>
          </reference>
          <reference field="2" count="1">
            <x v="104"/>
          </reference>
        </references>
      </pivotArea>
    </format>
    <format dxfId="970">
      <pivotArea dataOnly="0" labelOnly="1" outline="0" fieldPosition="0">
        <references count="3">
          <reference field="0" count="1" selected="0">
            <x v="188"/>
          </reference>
          <reference field="1" count="1" selected="0">
            <x v="220"/>
          </reference>
          <reference field="2" count="1">
            <x v="196"/>
          </reference>
        </references>
      </pivotArea>
    </format>
    <format dxfId="969">
      <pivotArea dataOnly="0" labelOnly="1" outline="0" fieldPosition="0">
        <references count="3">
          <reference field="0" count="1" selected="0">
            <x v="189"/>
          </reference>
          <reference field="1" count="1" selected="0">
            <x v="221"/>
          </reference>
          <reference field="2" count="1">
            <x v="182"/>
          </reference>
        </references>
      </pivotArea>
    </format>
    <format dxfId="968">
      <pivotArea dataOnly="0" labelOnly="1" outline="0" fieldPosition="0">
        <references count="3">
          <reference field="0" count="1" selected="0">
            <x v="192"/>
          </reference>
          <reference field="1" count="1" selected="0">
            <x v="224"/>
          </reference>
          <reference field="2" count="1">
            <x v="80"/>
          </reference>
        </references>
      </pivotArea>
    </format>
    <format dxfId="967">
      <pivotArea dataOnly="0" labelOnly="1" outline="0" fieldPosition="0">
        <references count="3">
          <reference field="0" count="1" selected="0">
            <x v="193"/>
          </reference>
          <reference field="1" count="1" selected="0">
            <x v="225"/>
          </reference>
          <reference field="2" count="1">
            <x v="238"/>
          </reference>
        </references>
      </pivotArea>
    </format>
    <format dxfId="966">
      <pivotArea dataOnly="0" labelOnly="1" outline="0" fieldPosition="0">
        <references count="3">
          <reference field="0" count="1" selected="0">
            <x v="197"/>
          </reference>
          <reference field="1" count="1" selected="0">
            <x v="236"/>
          </reference>
          <reference field="2" count="1">
            <x v="102"/>
          </reference>
        </references>
      </pivotArea>
    </format>
    <format dxfId="965">
      <pivotArea dataOnly="0" labelOnly="1" outline="0" fieldPosition="0">
        <references count="3">
          <reference field="0" count="1" selected="0">
            <x v="199"/>
          </reference>
          <reference field="1" count="1" selected="0">
            <x v="238"/>
          </reference>
          <reference field="2" count="1">
            <x v="33"/>
          </reference>
        </references>
      </pivotArea>
    </format>
    <format dxfId="964">
      <pivotArea dataOnly="0" labelOnly="1" outline="0" fieldPosition="0">
        <references count="3">
          <reference field="0" count="1" selected="0">
            <x v="200"/>
          </reference>
          <reference field="1" count="1" selected="0">
            <x v="239"/>
          </reference>
          <reference field="2" count="1">
            <x v="34"/>
          </reference>
        </references>
      </pivotArea>
    </format>
    <format dxfId="963">
      <pivotArea dataOnly="0" labelOnly="1" outline="0" fieldPosition="0">
        <references count="3">
          <reference field="0" count="1" selected="0">
            <x v="201"/>
          </reference>
          <reference field="1" count="1" selected="0">
            <x v="240"/>
          </reference>
          <reference field="2" count="1">
            <x v="37"/>
          </reference>
        </references>
      </pivotArea>
    </format>
    <format dxfId="962">
      <pivotArea dataOnly="0" labelOnly="1" outline="0" fieldPosition="0">
        <references count="3">
          <reference field="0" count="1" selected="0">
            <x v="204"/>
          </reference>
          <reference field="1" count="1" selected="0">
            <x v="149"/>
          </reference>
          <reference field="2" count="1">
            <x v="117"/>
          </reference>
        </references>
      </pivotArea>
    </format>
    <format dxfId="961">
      <pivotArea dataOnly="0" labelOnly="1" outline="0" fieldPosition="0">
        <references count="3">
          <reference field="0" count="1" selected="0">
            <x v="206"/>
          </reference>
          <reference field="1" count="1" selected="0">
            <x v="151"/>
          </reference>
          <reference field="2" count="1">
            <x v="159"/>
          </reference>
        </references>
      </pivotArea>
    </format>
    <format dxfId="960">
      <pivotArea dataOnly="0" labelOnly="1" outline="0" fieldPosition="0">
        <references count="3">
          <reference field="0" count="1" selected="0">
            <x v="207"/>
          </reference>
          <reference field="1" count="1" selected="0">
            <x v="152"/>
          </reference>
          <reference field="2" count="1">
            <x v="81"/>
          </reference>
        </references>
      </pivotArea>
    </format>
    <format dxfId="959">
      <pivotArea dataOnly="0" labelOnly="1" outline="0" fieldPosition="0">
        <references count="3">
          <reference field="0" count="1" selected="0">
            <x v="208"/>
          </reference>
          <reference field="1" count="1" selected="0">
            <x v="153"/>
          </reference>
          <reference field="2" count="1">
            <x v="103"/>
          </reference>
        </references>
      </pivotArea>
    </format>
    <format dxfId="958">
      <pivotArea dataOnly="0" labelOnly="1" outline="0" fieldPosition="0">
        <references count="3">
          <reference field="0" count="1" selected="0">
            <x v="209"/>
          </reference>
          <reference field="1" count="1" selected="0">
            <x v="154"/>
          </reference>
          <reference field="2" count="1">
            <x v="98"/>
          </reference>
        </references>
      </pivotArea>
    </format>
    <format dxfId="957">
      <pivotArea dataOnly="0" labelOnly="1" outline="0" fieldPosition="0">
        <references count="3">
          <reference field="0" count="1" selected="0">
            <x v="210"/>
          </reference>
          <reference field="1" count="1" selected="0">
            <x v="155"/>
          </reference>
          <reference field="2" count="1">
            <x v="162"/>
          </reference>
        </references>
      </pivotArea>
    </format>
    <format dxfId="956">
      <pivotArea dataOnly="0" labelOnly="1" outline="0" fieldPosition="0">
        <references count="3">
          <reference field="0" count="1" selected="0">
            <x v="211"/>
          </reference>
          <reference field="1" count="1" selected="0">
            <x v="156"/>
          </reference>
          <reference field="2" count="1">
            <x v="164"/>
          </reference>
        </references>
      </pivotArea>
    </format>
    <format dxfId="955">
      <pivotArea dataOnly="0" labelOnly="1" outline="0" fieldPosition="0">
        <references count="3">
          <reference field="0" count="1" selected="0">
            <x v="212"/>
          </reference>
          <reference field="1" count="1" selected="0">
            <x v="157"/>
          </reference>
          <reference field="2" count="1">
            <x v="170"/>
          </reference>
        </references>
      </pivotArea>
    </format>
    <format dxfId="954">
      <pivotArea dataOnly="0" labelOnly="1" outline="0" fieldPosition="0">
        <references count="3">
          <reference field="0" count="1" selected="0">
            <x v="214"/>
          </reference>
          <reference field="1" count="1" selected="0">
            <x v="159"/>
          </reference>
          <reference field="2" count="1">
            <x v="139"/>
          </reference>
        </references>
      </pivotArea>
    </format>
    <format dxfId="953">
      <pivotArea dataOnly="0" labelOnly="1" outline="0" fieldPosition="0">
        <references count="3">
          <reference field="0" count="1" selected="0">
            <x v="215"/>
          </reference>
          <reference field="1" count="1" selected="0">
            <x v="160"/>
          </reference>
          <reference field="2" count="1">
            <x v="137"/>
          </reference>
        </references>
      </pivotArea>
    </format>
    <format dxfId="952">
      <pivotArea dataOnly="0" labelOnly="1" outline="0" fieldPosition="0">
        <references count="3">
          <reference field="0" count="1" selected="0">
            <x v="216"/>
          </reference>
          <reference field="1" count="1" selected="0">
            <x v="161"/>
          </reference>
          <reference field="2" count="1">
            <x v="136"/>
          </reference>
        </references>
      </pivotArea>
    </format>
    <format dxfId="951">
      <pivotArea dataOnly="0" labelOnly="1" outline="0" fieldPosition="0">
        <references count="3">
          <reference field="0" count="1" selected="0">
            <x v="217"/>
          </reference>
          <reference field="1" count="1" selected="0">
            <x v="162"/>
          </reference>
          <reference field="2" count="1">
            <x v="13"/>
          </reference>
        </references>
      </pivotArea>
    </format>
    <format dxfId="950">
      <pivotArea dataOnly="0" labelOnly="1" outline="0" fieldPosition="0">
        <references count="3">
          <reference field="0" count="1" selected="0">
            <x v="218"/>
          </reference>
          <reference field="1" count="1" selected="0">
            <x v="163"/>
          </reference>
          <reference field="2" count="1">
            <x v="179"/>
          </reference>
        </references>
      </pivotArea>
    </format>
    <format dxfId="949">
      <pivotArea dataOnly="0" labelOnly="1" outline="0" fieldPosition="0">
        <references count="3">
          <reference field="0" count="1" selected="0">
            <x v="219"/>
          </reference>
          <reference field="1" count="1" selected="0">
            <x v="164"/>
          </reference>
          <reference field="2" count="1">
            <x v="138"/>
          </reference>
        </references>
      </pivotArea>
    </format>
    <format dxfId="948">
      <pivotArea dataOnly="0" labelOnly="1" outline="0" fieldPosition="0">
        <references count="3">
          <reference field="0" count="1" selected="0">
            <x v="220"/>
          </reference>
          <reference field="1" count="1" selected="0">
            <x v="165"/>
          </reference>
          <reference field="2" count="1">
            <x v="142"/>
          </reference>
        </references>
      </pivotArea>
    </format>
    <format dxfId="947">
      <pivotArea dataOnly="0" labelOnly="1" outline="0" fieldPosition="0">
        <references count="3">
          <reference field="0" count="1" selected="0">
            <x v="221"/>
          </reference>
          <reference field="1" count="1" selected="0">
            <x v="166"/>
          </reference>
          <reference field="2" count="1">
            <x v="143"/>
          </reference>
        </references>
      </pivotArea>
    </format>
    <format dxfId="946">
      <pivotArea dataOnly="0" labelOnly="1" outline="0" fieldPosition="0">
        <references count="3">
          <reference field="0" count="1" selected="0">
            <x v="223"/>
          </reference>
          <reference field="1" count="1" selected="0">
            <x v="168"/>
          </reference>
          <reference field="2" count="1">
            <x v="71"/>
          </reference>
        </references>
      </pivotArea>
    </format>
    <format dxfId="945">
      <pivotArea dataOnly="0" labelOnly="1" outline="0" fieldPosition="0">
        <references count="3">
          <reference field="0" count="1" selected="0">
            <x v="224"/>
          </reference>
          <reference field="1" count="1" selected="0">
            <x v="169"/>
          </reference>
          <reference field="2" count="1">
            <x v="121"/>
          </reference>
        </references>
      </pivotArea>
    </format>
    <format dxfId="944">
      <pivotArea dataOnly="0" labelOnly="1" outline="0" fieldPosition="0">
        <references count="3">
          <reference field="0" count="1" selected="0">
            <x v="225"/>
          </reference>
          <reference field="1" count="1" selected="0">
            <x v="170"/>
          </reference>
          <reference field="2" count="1">
            <x v="120"/>
          </reference>
        </references>
      </pivotArea>
    </format>
    <format dxfId="943">
      <pivotArea dataOnly="0" labelOnly="1" outline="0" fieldPosition="0">
        <references count="3">
          <reference field="0" count="1" selected="0">
            <x v="226"/>
          </reference>
          <reference field="1" count="1" selected="0">
            <x v="171"/>
          </reference>
          <reference field="2" count="1">
            <x v="41"/>
          </reference>
        </references>
      </pivotArea>
    </format>
    <format dxfId="942">
      <pivotArea dataOnly="0" labelOnly="1" outline="0" fieldPosition="0">
        <references count="3">
          <reference field="0" count="1" selected="0">
            <x v="227"/>
          </reference>
          <reference field="1" count="1" selected="0">
            <x v="172"/>
          </reference>
          <reference field="2" count="1">
            <x v="42"/>
          </reference>
        </references>
      </pivotArea>
    </format>
    <format dxfId="941">
      <pivotArea dataOnly="0" labelOnly="1" outline="0" fieldPosition="0">
        <references count="3">
          <reference field="0" count="1" selected="0">
            <x v="228"/>
          </reference>
          <reference field="1" count="1" selected="0">
            <x v="173"/>
          </reference>
          <reference field="2" count="1">
            <x v="145"/>
          </reference>
        </references>
      </pivotArea>
    </format>
    <format dxfId="940">
      <pivotArea dataOnly="0" labelOnly="1" outline="0" fieldPosition="0">
        <references count="3">
          <reference field="0" count="1" selected="0">
            <x v="229"/>
          </reference>
          <reference field="1" count="1" selected="0">
            <x v="174"/>
          </reference>
          <reference field="2" count="1">
            <x v="91"/>
          </reference>
        </references>
      </pivotArea>
    </format>
    <format dxfId="939">
      <pivotArea dataOnly="0" labelOnly="1" outline="0" fieldPosition="0">
        <references count="3">
          <reference field="0" count="1" selected="0">
            <x v="230"/>
          </reference>
          <reference field="1" count="1" selected="0">
            <x v="175"/>
          </reference>
          <reference field="2" count="1">
            <x v="160"/>
          </reference>
        </references>
      </pivotArea>
    </format>
    <format dxfId="938">
      <pivotArea dataOnly="0" labelOnly="1" outline="0" fieldPosition="0">
        <references count="3">
          <reference field="0" count="1" selected="0">
            <x v="231"/>
          </reference>
          <reference field="1" count="1" selected="0">
            <x v="176"/>
          </reference>
          <reference field="2" count="1">
            <x v="42"/>
          </reference>
        </references>
      </pivotArea>
    </format>
    <format dxfId="937">
      <pivotArea dataOnly="0" labelOnly="1" outline="0" fieldPosition="0">
        <references count="3">
          <reference field="0" count="1" selected="0">
            <x v="232"/>
          </reference>
          <reference field="1" count="1" selected="0">
            <x v="177"/>
          </reference>
          <reference field="2" count="1">
            <x v="47"/>
          </reference>
        </references>
      </pivotArea>
    </format>
    <format dxfId="936">
      <pivotArea dataOnly="0" labelOnly="1" outline="0" fieldPosition="0">
        <references count="3">
          <reference field="0" count="1" selected="0">
            <x v="233"/>
          </reference>
          <reference field="1" count="1" selected="0">
            <x v="178"/>
          </reference>
          <reference field="2" count="1">
            <x v="32"/>
          </reference>
        </references>
      </pivotArea>
    </format>
    <format dxfId="935">
      <pivotArea dataOnly="0" labelOnly="1" outline="0" fieldPosition="0">
        <references count="3">
          <reference field="0" count="1" selected="0">
            <x v="234"/>
          </reference>
          <reference field="1" count="1" selected="0">
            <x v="179"/>
          </reference>
          <reference field="2" count="1">
            <x v="163"/>
          </reference>
        </references>
      </pivotArea>
    </format>
    <format dxfId="934">
      <pivotArea dataOnly="0" labelOnly="1" outline="0" fieldPosition="0">
        <references count="3">
          <reference field="0" count="1" selected="0">
            <x v="235"/>
          </reference>
          <reference field="1" count="1" selected="0">
            <x v="191"/>
          </reference>
          <reference field="2" count="1">
            <x v="155"/>
          </reference>
        </references>
      </pivotArea>
    </format>
    <format dxfId="933">
      <pivotArea dataOnly="0" labelOnly="1" outline="0" fieldPosition="0">
        <references count="3">
          <reference field="0" count="1" selected="0">
            <x v="236"/>
          </reference>
          <reference field="1" count="1" selected="0">
            <x v="192"/>
          </reference>
          <reference field="2" count="1">
            <x v="27"/>
          </reference>
        </references>
      </pivotArea>
    </format>
    <format dxfId="932">
      <pivotArea dataOnly="0" labelOnly="1" outline="0" fieldPosition="0">
        <references count="3">
          <reference field="0" count="1" selected="0">
            <x v="237"/>
          </reference>
          <reference field="1" count="1" selected="0">
            <x v="193"/>
          </reference>
          <reference field="2" count="1">
            <x v="89"/>
          </reference>
        </references>
      </pivotArea>
    </format>
    <format dxfId="931">
      <pivotArea dataOnly="0" labelOnly="1" outline="0" fieldPosition="0">
        <references count="3">
          <reference field="0" count="1" selected="0">
            <x v="238"/>
          </reference>
          <reference field="1" count="1" selected="0">
            <x v="194"/>
          </reference>
          <reference field="2" count="1">
            <x v="25"/>
          </reference>
        </references>
      </pivotArea>
    </format>
    <format dxfId="930">
      <pivotArea dataOnly="0" labelOnly="1" outline="0" fieldPosition="0">
        <references count="3">
          <reference field="0" count="1" selected="0">
            <x v="239"/>
          </reference>
          <reference field="1" count="1" selected="0">
            <x v="195"/>
          </reference>
          <reference field="2" count="1">
            <x v="28"/>
          </reference>
        </references>
      </pivotArea>
    </format>
    <format dxfId="929">
      <pivotArea dataOnly="0" labelOnly="1" outline="0" fieldPosition="0">
        <references count="3">
          <reference field="0" count="1" selected="0">
            <x v="240"/>
          </reference>
          <reference field="1" count="1" selected="0">
            <x v="196"/>
          </reference>
          <reference field="2" count="1">
            <x v="40"/>
          </reference>
        </references>
      </pivotArea>
    </format>
    <format dxfId="928">
      <pivotArea dataOnly="0" labelOnly="1" outline="0" fieldPosition="0">
        <references count="3">
          <reference field="0" count="1" selected="0">
            <x v="241"/>
          </reference>
          <reference field="1" count="1" selected="0">
            <x v="197"/>
          </reference>
          <reference field="2" count="1">
            <x v="195"/>
          </reference>
        </references>
      </pivotArea>
    </format>
    <format dxfId="927">
      <pivotArea dataOnly="0" labelOnly="1" outline="0" fieldPosition="0">
        <references count="3">
          <reference field="0" count="1" selected="0">
            <x v="242"/>
          </reference>
          <reference field="1" count="1" selected="0">
            <x v="198"/>
          </reference>
          <reference field="2" count="1">
            <x v="132"/>
          </reference>
        </references>
      </pivotArea>
    </format>
    <format dxfId="926">
      <pivotArea dataOnly="0" labelOnly="1" outline="0" fieldPosition="0">
        <references count="4">
          <reference field="0" count="1" selected="0">
            <x v="0"/>
          </reference>
          <reference field="1" count="1" selected="0">
            <x v="228"/>
          </reference>
          <reference field="2" count="1" selected="0">
            <x v="153"/>
          </reference>
          <reference field="3" count="1">
            <x v="0"/>
          </reference>
        </references>
      </pivotArea>
    </format>
    <format dxfId="925">
      <pivotArea dataOnly="0" labelOnly="1" outline="0" fieldPosition="0">
        <references count="4">
          <reference field="0" count="1" selected="0">
            <x v="42"/>
          </reference>
          <reference field="1" count="1" selected="0">
            <x v="4"/>
          </reference>
          <reference field="2" count="1" selected="0">
            <x v="64"/>
          </reference>
          <reference field="3" count="1">
            <x v="0"/>
          </reference>
        </references>
      </pivotArea>
    </format>
    <format dxfId="924">
      <pivotArea dataOnly="0" labelOnly="1" outline="0" fieldPosition="0">
        <references count="5">
          <reference field="0" count="1" selected="0">
            <x v="0"/>
          </reference>
          <reference field="1" count="1" selected="0">
            <x v="228"/>
          </reference>
          <reference field="2" count="1" selected="0">
            <x v="153"/>
          </reference>
          <reference field="3" count="1" selected="0">
            <x v="0"/>
          </reference>
          <reference field="12" count="1">
            <x v="7"/>
          </reference>
        </references>
      </pivotArea>
    </format>
    <format dxfId="923">
      <pivotArea dataOnly="0" labelOnly="1" outline="0" fieldPosition="0">
        <references count="5">
          <reference field="0" count="1" selected="0">
            <x v="3"/>
          </reference>
          <reference field="1" count="1" selected="0">
            <x v="231"/>
          </reference>
          <reference field="2" count="1" selected="0">
            <x v="88"/>
          </reference>
          <reference field="3" count="1" selected="0">
            <x v="0"/>
          </reference>
          <reference field="12" count="1">
            <x v="3"/>
          </reference>
        </references>
      </pivotArea>
    </format>
    <format dxfId="922">
      <pivotArea dataOnly="0" labelOnly="1" outline="0" fieldPosition="0">
        <references count="5">
          <reference field="0" count="1" selected="0">
            <x v="5"/>
          </reference>
          <reference field="1" count="1" selected="0">
            <x v="233"/>
          </reference>
          <reference field="2" count="1" selected="0">
            <x v="224"/>
          </reference>
          <reference field="3" count="1" selected="0">
            <x v="0"/>
          </reference>
          <reference field="12" count="1">
            <x v="7"/>
          </reference>
        </references>
      </pivotArea>
    </format>
    <format dxfId="921">
      <pivotArea dataOnly="0" labelOnly="1" outline="0" fieldPosition="0">
        <references count="5">
          <reference field="0" count="1" selected="0">
            <x v="7"/>
          </reference>
          <reference field="1" count="1" selected="0">
            <x v="118"/>
          </reference>
          <reference field="2" count="1" selected="0">
            <x v="171"/>
          </reference>
          <reference field="3" count="1" selected="0">
            <x v="0"/>
          </reference>
          <reference field="12" count="1">
            <x v="0"/>
          </reference>
        </references>
      </pivotArea>
    </format>
    <format dxfId="920">
      <pivotArea dataOnly="0" labelOnly="1" outline="0" fieldPosition="0">
        <references count="5">
          <reference field="0" count="1" selected="0">
            <x v="16"/>
          </reference>
          <reference field="1" count="1" selected="0">
            <x v="64"/>
          </reference>
          <reference field="2" count="1" selected="0">
            <x v="157"/>
          </reference>
          <reference field="3" count="1" selected="0">
            <x v="0"/>
          </reference>
          <reference field="12" count="1">
            <x v="7"/>
          </reference>
        </references>
      </pivotArea>
    </format>
    <format dxfId="919">
      <pivotArea dataOnly="0" labelOnly="1" outline="0" fieldPosition="0">
        <references count="5">
          <reference field="0" count="1" selected="0">
            <x v="22"/>
          </reference>
          <reference field="1" count="1" selected="0">
            <x v="19"/>
          </reference>
          <reference field="2" count="1" selected="0">
            <x v="39"/>
          </reference>
          <reference field="3" count="1" selected="0">
            <x v="0"/>
          </reference>
          <reference field="12" count="1">
            <x v="9"/>
          </reference>
        </references>
      </pivotArea>
    </format>
    <format dxfId="918">
      <pivotArea dataOnly="0" labelOnly="1" outline="0" fieldPosition="0">
        <references count="5">
          <reference field="0" count="1" selected="0">
            <x v="26"/>
          </reference>
          <reference field="1" count="1" selected="0">
            <x v="23"/>
          </reference>
          <reference field="2" count="1" selected="0">
            <x v="217"/>
          </reference>
          <reference field="3" count="1" selected="0">
            <x v="0"/>
          </reference>
          <reference field="12" count="1">
            <x v="5"/>
          </reference>
        </references>
      </pivotArea>
    </format>
    <format dxfId="917">
      <pivotArea dataOnly="0" labelOnly="1" outline="0" fieldPosition="0">
        <references count="5">
          <reference field="0" count="1" selected="0">
            <x v="28"/>
          </reference>
          <reference field="1" count="1" selected="0">
            <x v="25"/>
          </reference>
          <reference field="2" count="1" selected="0">
            <x v="52"/>
          </reference>
          <reference field="3" count="1" selected="0">
            <x v="0"/>
          </reference>
          <reference field="12" count="1">
            <x v="0"/>
          </reference>
        </references>
      </pivotArea>
    </format>
    <format dxfId="916">
      <pivotArea dataOnly="0" labelOnly="1" outline="0" fieldPosition="0">
        <references count="5">
          <reference field="0" count="1" selected="0">
            <x v="29"/>
          </reference>
          <reference field="1" count="1" selected="0">
            <x v="26"/>
          </reference>
          <reference field="2" count="1" selected="0">
            <x v="62"/>
          </reference>
          <reference field="3" count="1" selected="0">
            <x v="0"/>
          </reference>
          <reference field="12" count="1">
            <x v="15"/>
          </reference>
        </references>
      </pivotArea>
    </format>
    <format dxfId="915">
      <pivotArea dataOnly="0" labelOnly="1" outline="0" fieldPosition="0">
        <references count="5">
          <reference field="0" count="1" selected="0">
            <x v="31"/>
          </reference>
          <reference field="1" count="1" selected="0">
            <x v="28"/>
          </reference>
          <reference field="2" count="1" selected="0">
            <x v="53"/>
          </reference>
          <reference field="3" count="1" selected="0">
            <x v="0"/>
          </reference>
          <reference field="12" count="1">
            <x v="7"/>
          </reference>
        </references>
      </pivotArea>
    </format>
    <format dxfId="914">
      <pivotArea dataOnly="0" labelOnly="1" outline="0" fieldPosition="0">
        <references count="5">
          <reference field="0" count="1" selected="0">
            <x v="35"/>
          </reference>
          <reference field="1" count="1" selected="0">
            <x v="32"/>
          </reference>
          <reference field="2" count="1" selected="0">
            <x v="51"/>
          </reference>
          <reference field="3" count="1" selected="0">
            <x v="0"/>
          </reference>
          <reference field="12" count="1">
            <x v="9"/>
          </reference>
        </references>
      </pivotArea>
    </format>
    <format dxfId="913">
      <pivotArea dataOnly="0" labelOnly="1" outline="0" fieldPosition="0">
        <references count="5">
          <reference field="0" count="1" selected="0">
            <x v="36"/>
          </reference>
          <reference field="1" count="1" selected="0">
            <x v="33"/>
          </reference>
          <reference field="2" count="1" selected="0">
            <x v="130"/>
          </reference>
          <reference field="3" count="1" selected="0">
            <x v="0"/>
          </reference>
          <reference field="12" count="1">
            <x v="22"/>
          </reference>
        </references>
      </pivotArea>
    </format>
    <format dxfId="912">
      <pivotArea dataOnly="0" labelOnly="1" outline="0" fieldPosition="0">
        <references count="5">
          <reference field="0" count="1" selected="0">
            <x v="37"/>
          </reference>
          <reference field="1" count="1" selected="0">
            <x v="34"/>
          </reference>
          <reference field="2" count="1" selected="0">
            <x v="70"/>
          </reference>
          <reference field="3" count="1" selected="0">
            <x v="0"/>
          </reference>
          <reference field="12" count="1">
            <x v="10"/>
          </reference>
        </references>
      </pivotArea>
    </format>
    <format dxfId="911">
      <pivotArea dataOnly="0" labelOnly="1" outline="0" fieldPosition="0">
        <references count="5">
          <reference field="0" count="1" selected="0">
            <x v="55"/>
          </reference>
          <reference field="1" count="1" selected="0">
            <x v="35"/>
          </reference>
          <reference field="2" count="1" selected="0">
            <x v="65"/>
          </reference>
          <reference field="3" count="1" selected="0">
            <x v="0"/>
          </reference>
          <reference field="12" count="1">
            <x v="3"/>
          </reference>
        </references>
      </pivotArea>
    </format>
    <format dxfId="910">
      <pivotArea dataOnly="0" labelOnly="1" outline="0" fieldPosition="0">
        <references count="5">
          <reference field="0" count="1" selected="0">
            <x v="81"/>
          </reference>
          <reference field="1" count="1" selected="0">
            <x v="68"/>
          </reference>
          <reference field="2" count="1" selected="0">
            <x v="112"/>
          </reference>
          <reference field="3" count="1" selected="0">
            <x v="0"/>
          </reference>
          <reference field="12" count="1">
            <x v="0"/>
          </reference>
        </references>
      </pivotArea>
    </format>
    <format dxfId="909">
      <pivotArea dataOnly="0" labelOnly="1" outline="0" fieldPosition="0">
        <references count="5">
          <reference field="0" count="1" selected="0">
            <x v="82"/>
          </reference>
          <reference field="1" count="1" selected="0">
            <x v="69"/>
          </reference>
          <reference field="2" count="1" selected="0">
            <x v="226"/>
          </reference>
          <reference field="3" count="1" selected="0">
            <x v="0"/>
          </reference>
          <reference field="12" count="1">
            <x v="5"/>
          </reference>
        </references>
      </pivotArea>
    </format>
    <format dxfId="908">
      <pivotArea dataOnly="0" labelOnly="1" outline="0" fieldPosition="0">
        <references count="5">
          <reference field="0" count="1" selected="0">
            <x v="84"/>
          </reference>
          <reference field="1" count="1" selected="0">
            <x v="71"/>
          </reference>
          <reference field="2" count="1" selected="0">
            <x v="192"/>
          </reference>
          <reference field="3" count="1" selected="0">
            <x v="0"/>
          </reference>
          <reference field="12" count="1">
            <x v="7"/>
          </reference>
        </references>
      </pivotArea>
    </format>
    <format dxfId="907">
      <pivotArea dataOnly="0" labelOnly="1" outline="0" fieldPosition="0">
        <references count="5">
          <reference field="0" count="1" selected="0">
            <x v="88"/>
          </reference>
          <reference field="1" count="1" selected="0">
            <x v="75"/>
          </reference>
          <reference field="2" count="1" selected="0">
            <x v="38"/>
          </reference>
          <reference field="3" count="1" selected="0">
            <x v="0"/>
          </reference>
          <reference field="12" count="1">
            <x v="2"/>
          </reference>
        </references>
      </pivotArea>
    </format>
    <format dxfId="906">
      <pivotArea dataOnly="0" labelOnly="1" outline="0" fieldPosition="0">
        <references count="5">
          <reference field="0" count="1" selected="0">
            <x v="89"/>
          </reference>
          <reference field="1" count="1" selected="0">
            <x v="76"/>
          </reference>
          <reference field="2" count="1" selected="0">
            <x v="232"/>
          </reference>
          <reference field="3" count="1" selected="0">
            <x v="0"/>
          </reference>
          <reference field="12" count="1">
            <x v="7"/>
          </reference>
        </references>
      </pivotArea>
    </format>
    <format dxfId="905">
      <pivotArea dataOnly="0" labelOnly="1" outline="0" fieldPosition="0">
        <references count="5">
          <reference field="0" count="1" selected="0">
            <x v="95"/>
          </reference>
          <reference field="1" count="1" selected="0">
            <x v="82"/>
          </reference>
          <reference field="2" count="1" selected="0">
            <x v="5"/>
          </reference>
          <reference field="3" count="1" selected="0">
            <x v="0"/>
          </reference>
          <reference field="12" count="1">
            <x v="1"/>
          </reference>
        </references>
      </pivotArea>
    </format>
    <format dxfId="904">
      <pivotArea dataOnly="0" labelOnly="1" outline="0" fieldPosition="0">
        <references count="5">
          <reference field="0" count="1" selected="0">
            <x v="96"/>
          </reference>
          <reference field="1" count="1" selected="0">
            <x v="83"/>
          </reference>
          <reference field="2" count="1" selected="0">
            <x v="173"/>
          </reference>
          <reference field="3" count="1" selected="0">
            <x v="0"/>
          </reference>
          <reference field="12" count="1">
            <x v="3"/>
          </reference>
        </references>
      </pivotArea>
    </format>
    <format dxfId="903">
      <pivotArea dataOnly="0" labelOnly="1" outline="0" fieldPosition="0">
        <references count="5">
          <reference field="0" count="1" selected="0">
            <x v="105"/>
          </reference>
          <reference field="1" count="1" selected="0">
            <x v="92"/>
          </reference>
          <reference field="2" count="1" selected="0">
            <x v="134"/>
          </reference>
          <reference field="3" count="1" selected="0">
            <x v="0"/>
          </reference>
          <reference field="12" count="1">
            <x v="7"/>
          </reference>
        </references>
      </pivotArea>
    </format>
    <format dxfId="902">
      <pivotArea dataOnly="0" labelOnly="1" outline="0" fieldPosition="0">
        <references count="5">
          <reference field="0" count="1" selected="0">
            <x v="122"/>
          </reference>
          <reference field="1" count="1" selected="0">
            <x v="109"/>
          </reference>
          <reference field="2" count="1" selected="0">
            <x v="35"/>
          </reference>
          <reference field="3" count="1" selected="0">
            <x v="0"/>
          </reference>
          <reference field="12" count="1">
            <x v="3"/>
          </reference>
        </references>
      </pivotArea>
    </format>
    <format dxfId="901">
      <pivotArea dataOnly="0" labelOnly="1" outline="0" fieldPosition="0">
        <references count="5">
          <reference field="0" count="1" selected="0">
            <x v="123"/>
          </reference>
          <reference field="1" count="1" selected="0">
            <x v="110"/>
          </reference>
          <reference field="2" count="1" selected="0">
            <x v="176"/>
          </reference>
          <reference field="3" count="1" selected="0">
            <x v="0"/>
          </reference>
          <reference field="12" count="1">
            <x v="5"/>
          </reference>
        </references>
      </pivotArea>
    </format>
    <format dxfId="900">
      <pivotArea dataOnly="0" labelOnly="1" outline="0" fieldPosition="0">
        <references count="5">
          <reference field="0" count="1" selected="0">
            <x v="124"/>
          </reference>
          <reference field="1" count="1" selected="0">
            <x v="111"/>
          </reference>
          <reference field="2" count="1" selected="0">
            <x v="218"/>
          </reference>
          <reference field="3" count="1" selected="0">
            <x v="0"/>
          </reference>
          <reference field="12" count="1">
            <x v="0"/>
          </reference>
        </references>
      </pivotArea>
    </format>
    <format dxfId="899">
      <pivotArea dataOnly="0" labelOnly="1" outline="0" fieldPosition="0">
        <references count="5">
          <reference field="0" count="1" selected="0">
            <x v="125"/>
          </reference>
          <reference field="1" count="1" selected="0">
            <x v="112"/>
          </reference>
          <reference field="2" count="1" selected="0">
            <x v="197"/>
          </reference>
          <reference field="3" count="1" selected="0">
            <x v="0"/>
          </reference>
          <reference field="12" count="1">
            <x v="3"/>
          </reference>
        </references>
      </pivotArea>
    </format>
    <format dxfId="898">
      <pivotArea dataOnly="0" labelOnly="1" outline="0" fieldPosition="0">
        <references count="5">
          <reference field="0" count="1" selected="0">
            <x v="126"/>
          </reference>
          <reference field="1" count="1" selected="0">
            <x v="113"/>
          </reference>
          <reference field="2" count="1" selected="0">
            <x v="191"/>
          </reference>
          <reference field="3" count="1" selected="0">
            <x v="0"/>
          </reference>
          <reference field="12" count="1">
            <x v="0"/>
          </reference>
        </references>
      </pivotArea>
    </format>
    <format dxfId="897">
      <pivotArea dataOnly="0" labelOnly="1" outline="0" fieldPosition="0">
        <references count="5">
          <reference field="0" count="1" selected="0">
            <x v="129"/>
          </reference>
          <reference field="1" count="1" selected="0">
            <x v="116"/>
          </reference>
          <reference field="2" count="1" selected="0">
            <x v="212"/>
          </reference>
          <reference field="3" count="1" selected="0">
            <x v="0"/>
          </reference>
          <reference field="12" count="1">
            <x v="3"/>
          </reference>
        </references>
      </pivotArea>
    </format>
    <format dxfId="896">
      <pivotArea dataOnly="0" labelOnly="1" outline="0" fieldPosition="0">
        <references count="5">
          <reference field="0" count="1" selected="0">
            <x v="130"/>
          </reference>
          <reference field="1" count="1" selected="0">
            <x v="117"/>
          </reference>
          <reference field="2" count="1" selected="0">
            <x v="118"/>
          </reference>
          <reference field="3" count="1" selected="0">
            <x v="0"/>
          </reference>
          <reference field="12" count="1">
            <x v="7"/>
          </reference>
        </references>
      </pivotArea>
    </format>
    <format dxfId="895">
      <pivotArea dataOnly="0" labelOnly="1" outline="0" fieldPosition="0">
        <references count="5">
          <reference field="0" count="1" selected="0">
            <x v="134"/>
          </reference>
          <reference field="1" count="1" selected="0">
            <x v="127"/>
          </reference>
          <reference field="2" count="1" selected="0">
            <x v="2"/>
          </reference>
          <reference field="3" count="1" selected="0">
            <x v="0"/>
          </reference>
          <reference field="12" count="1">
            <x v="4"/>
          </reference>
        </references>
      </pivotArea>
    </format>
    <format dxfId="894">
      <pivotArea dataOnly="0" labelOnly="1" outline="0" fieldPosition="0">
        <references count="5">
          <reference field="0" count="1" selected="0">
            <x v="135"/>
          </reference>
          <reference field="1" count="1" selected="0">
            <x v="128"/>
          </reference>
          <reference field="2" count="1" selected="0">
            <x v="151"/>
          </reference>
          <reference field="3" count="1" selected="0">
            <x v="0"/>
          </reference>
          <reference field="12" count="1">
            <x v="3"/>
          </reference>
        </references>
      </pivotArea>
    </format>
    <format dxfId="893">
      <pivotArea dataOnly="0" labelOnly="1" outline="0" fieldPosition="0">
        <references count="5">
          <reference field="0" count="1" selected="0">
            <x v="144"/>
          </reference>
          <reference field="1" count="1" selected="0">
            <x v="137"/>
          </reference>
          <reference field="2" count="1" selected="0">
            <x v="79"/>
          </reference>
          <reference field="3" count="1" selected="0">
            <x v="0"/>
          </reference>
          <reference field="12" count="1">
            <x v="0"/>
          </reference>
        </references>
      </pivotArea>
    </format>
    <format dxfId="892">
      <pivotArea dataOnly="0" labelOnly="1" outline="0" fieldPosition="0">
        <references count="5">
          <reference field="0" count="1" selected="0">
            <x v="146"/>
          </reference>
          <reference field="1" count="1" selected="0">
            <x v="139"/>
          </reference>
          <reference field="2" count="1" selected="0">
            <x v="30"/>
          </reference>
          <reference field="3" count="1" selected="0">
            <x v="0"/>
          </reference>
          <reference field="12" count="1">
            <x v="26"/>
          </reference>
        </references>
      </pivotArea>
    </format>
    <format dxfId="891">
      <pivotArea dataOnly="0" labelOnly="1" outline="0" fieldPosition="0">
        <references count="5">
          <reference field="0" count="1" selected="0">
            <x v="149"/>
          </reference>
          <reference field="1" count="1" selected="0">
            <x v="142"/>
          </reference>
          <reference field="2" count="1" selected="0">
            <x v="165"/>
          </reference>
          <reference field="3" count="1" selected="0">
            <x v="0"/>
          </reference>
          <reference field="12" count="1">
            <x v="14"/>
          </reference>
        </references>
      </pivotArea>
    </format>
    <format dxfId="890">
      <pivotArea dataOnly="0" labelOnly="1" outline="0" fieldPosition="0">
        <references count="5">
          <reference field="0" count="1" selected="0">
            <x v="155"/>
          </reference>
          <reference field="1" count="1" selected="0">
            <x v="148"/>
          </reference>
          <reference field="2" count="1" selected="0">
            <x v="3"/>
          </reference>
          <reference field="3" count="1" selected="0">
            <x v="0"/>
          </reference>
          <reference field="12" count="1">
            <x v="23"/>
          </reference>
        </references>
      </pivotArea>
    </format>
    <format dxfId="889">
      <pivotArea dataOnly="0" labelOnly="1" outline="0" fieldPosition="0">
        <references count="5">
          <reference field="0" count="1" selected="0">
            <x v="159"/>
          </reference>
          <reference field="1" count="1" selected="0">
            <x v="183"/>
          </reference>
          <reference field="2" count="1" selected="0">
            <x v="122"/>
          </reference>
          <reference field="3" count="1" selected="0">
            <x v="0"/>
          </reference>
          <reference field="12" count="1">
            <x v="8"/>
          </reference>
        </references>
      </pivotArea>
    </format>
    <format dxfId="888">
      <pivotArea dataOnly="0" labelOnly="1" outline="0" fieldPosition="0">
        <references count="5">
          <reference field="0" count="1" selected="0">
            <x v="160"/>
          </reference>
          <reference field="1" count="1" selected="0">
            <x v="184"/>
          </reference>
          <reference field="2" count="1" selected="0">
            <x v="187"/>
          </reference>
          <reference field="3" count="1" selected="0">
            <x v="0"/>
          </reference>
          <reference field="12" count="1">
            <x v="7"/>
          </reference>
        </references>
      </pivotArea>
    </format>
    <format dxfId="887">
      <pivotArea dataOnly="0" labelOnly="1" outline="0" fieldPosition="0">
        <references count="5">
          <reference field="0" count="1" selected="0">
            <x v="161"/>
          </reference>
          <reference field="1" count="1" selected="0">
            <x v="185"/>
          </reference>
          <reference field="2" count="1" selected="0">
            <x v="186"/>
          </reference>
          <reference field="3" count="1" selected="0">
            <x v="0"/>
          </reference>
          <reference field="12" count="1">
            <x v="9"/>
          </reference>
        </references>
      </pivotArea>
    </format>
    <format dxfId="886">
      <pivotArea dataOnly="0" labelOnly="1" outline="0" fieldPosition="0">
        <references count="5">
          <reference field="0" count="1" selected="0">
            <x v="162"/>
          </reference>
          <reference field="1" count="1" selected="0">
            <x v="186"/>
          </reference>
          <reference field="2" count="1" selected="0">
            <x v="125"/>
          </reference>
          <reference field="3" count="1" selected="0">
            <x v="0"/>
          </reference>
          <reference field="12" count="1">
            <x v="10"/>
          </reference>
        </references>
      </pivotArea>
    </format>
    <format dxfId="885">
      <pivotArea dataOnly="0" labelOnly="1" outline="0" fieldPosition="0">
        <references count="5">
          <reference field="0" count="1" selected="0">
            <x v="164"/>
          </reference>
          <reference field="1" count="1" selected="0">
            <x v="188"/>
          </reference>
          <reference field="2" count="1" selected="0">
            <x v="119"/>
          </reference>
          <reference field="3" count="1" selected="0">
            <x v="0"/>
          </reference>
          <reference field="12" count="1">
            <x v="13"/>
          </reference>
        </references>
      </pivotArea>
    </format>
    <format dxfId="884">
      <pivotArea dataOnly="0" labelOnly="1" outline="0" fieldPosition="0">
        <references count="5">
          <reference field="0" count="1" selected="0">
            <x v="167"/>
          </reference>
          <reference field="1" count="1" selected="0">
            <x v="199"/>
          </reference>
          <reference field="2" count="1" selected="0">
            <x v="56"/>
          </reference>
          <reference field="3" count="1" selected="0">
            <x v="0"/>
          </reference>
          <reference field="12" count="1">
            <x v="18"/>
          </reference>
        </references>
      </pivotArea>
    </format>
    <format dxfId="883">
      <pivotArea dataOnly="0" labelOnly="1" outline="0" fieldPosition="0">
        <references count="5">
          <reference field="0" count="1" selected="0">
            <x v="168"/>
          </reference>
          <reference field="1" count="1" selected="0">
            <x v="200"/>
          </reference>
          <reference field="2" count="1" selected="0">
            <x v="9"/>
          </reference>
          <reference field="3" count="1" selected="0">
            <x v="0"/>
          </reference>
          <reference field="12" count="1">
            <x v="7"/>
          </reference>
        </references>
      </pivotArea>
    </format>
    <format dxfId="882">
      <pivotArea dataOnly="0" labelOnly="1" outline="0" fieldPosition="0">
        <references count="5">
          <reference field="0" count="1" selected="0">
            <x v="171"/>
          </reference>
          <reference field="1" count="1" selected="0">
            <x v="203"/>
          </reference>
          <reference field="2" count="1" selected="0">
            <x v="10"/>
          </reference>
          <reference field="3" count="1" selected="0">
            <x v="0"/>
          </reference>
          <reference field="12" count="1">
            <x v="9"/>
          </reference>
        </references>
      </pivotArea>
    </format>
    <format dxfId="881">
      <pivotArea dataOnly="0" labelOnly="1" outline="0" fieldPosition="0">
        <references count="5">
          <reference field="0" count="1" selected="0">
            <x v="172"/>
          </reference>
          <reference field="1" count="1" selected="0">
            <x v="204"/>
          </reference>
          <reference field="2" count="1" selected="0">
            <x v="216"/>
          </reference>
          <reference field="3" count="1" selected="0">
            <x v="0"/>
          </reference>
          <reference field="12" count="1">
            <x v="2"/>
          </reference>
        </references>
      </pivotArea>
    </format>
    <format dxfId="880">
      <pivotArea dataOnly="0" labelOnly="1" outline="0" fieldPosition="0">
        <references count="5">
          <reference field="0" count="1" selected="0">
            <x v="173"/>
          </reference>
          <reference field="1" count="1" selected="0">
            <x v="205"/>
          </reference>
          <reference field="2" count="1" selected="0">
            <x v="94"/>
          </reference>
          <reference field="3" count="1" selected="0">
            <x v="0"/>
          </reference>
          <reference field="12" count="1">
            <x v="20"/>
          </reference>
        </references>
      </pivotArea>
    </format>
    <format dxfId="879">
      <pivotArea dataOnly="0" labelOnly="1" outline="0" fieldPosition="0">
        <references count="5">
          <reference field="0" count="1" selected="0">
            <x v="175"/>
          </reference>
          <reference field="1" count="1" selected="0">
            <x v="207"/>
          </reference>
          <reference field="2" count="1" selected="0">
            <x v="172"/>
          </reference>
          <reference field="3" count="1" selected="0">
            <x v="0"/>
          </reference>
          <reference field="12" count="1">
            <x v="21"/>
          </reference>
        </references>
      </pivotArea>
    </format>
    <format dxfId="878">
      <pivotArea dataOnly="0" labelOnly="1" outline="0" fieldPosition="0">
        <references count="5">
          <reference field="0" count="1" selected="0">
            <x v="176"/>
          </reference>
          <reference field="1" count="1" selected="0">
            <x v="208"/>
          </reference>
          <reference field="2" count="1" selected="0">
            <x v="215"/>
          </reference>
          <reference field="3" count="1" selected="0">
            <x v="0"/>
          </reference>
          <reference field="12" count="1">
            <x v="20"/>
          </reference>
        </references>
      </pivotArea>
    </format>
    <format dxfId="877">
      <pivotArea dataOnly="0" labelOnly="1" outline="0" fieldPosition="0">
        <references count="5">
          <reference field="0" count="1" selected="0">
            <x v="180"/>
          </reference>
          <reference field="1" count="1" selected="0">
            <x v="212"/>
          </reference>
          <reference field="2" count="1" selected="0">
            <x v="97"/>
          </reference>
          <reference field="3" count="1" selected="0">
            <x v="0"/>
          </reference>
          <reference field="12" count="1">
            <x v="14"/>
          </reference>
        </references>
      </pivotArea>
    </format>
    <format dxfId="876">
      <pivotArea dataOnly="0" labelOnly="1" outline="0" fieldPosition="0">
        <references count="5">
          <reference field="0" count="1" selected="0">
            <x v="182"/>
          </reference>
          <reference field="1" count="1" selected="0">
            <x v="214"/>
          </reference>
          <reference field="2" count="1" selected="0">
            <x v="235"/>
          </reference>
          <reference field="3" count="1" selected="0">
            <x v="0"/>
          </reference>
          <reference field="12" count="1">
            <x v="7"/>
          </reference>
        </references>
      </pivotArea>
    </format>
    <format dxfId="875">
      <pivotArea dataOnly="0" labelOnly="1" outline="0" fieldPosition="0">
        <references count="5">
          <reference field="0" count="1" selected="0">
            <x v="183"/>
          </reference>
          <reference field="1" count="1" selected="0">
            <x v="215"/>
          </reference>
          <reference field="2" count="1" selected="0">
            <x v="206"/>
          </reference>
          <reference field="3" count="1" selected="0">
            <x v="0"/>
          </reference>
          <reference field="12" count="1">
            <x v="14"/>
          </reference>
        </references>
      </pivotArea>
    </format>
    <format dxfId="874">
      <pivotArea dataOnly="0" labelOnly="1" outline="0" fieldPosition="0">
        <references count="5">
          <reference field="0" count="1" selected="0">
            <x v="184"/>
          </reference>
          <reference field="1" count="1" selected="0">
            <x v="216"/>
          </reference>
          <reference field="2" count="1" selected="0">
            <x v="111"/>
          </reference>
          <reference field="3" count="1" selected="0">
            <x v="0"/>
          </reference>
          <reference field="12" count="1">
            <x v="22"/>
          </reference>
        </references>
      </pivotArea>
    </format>
    <format dxfId="873">
      <pivotArea dataOnly="0" labelOnly="1" outline="0" fieldPosition="0">
        <references count="5">
          <reference field="0" count="1" selected="0">
            <x v="185"/>
          </reference>
          <reference field="1" count="1" selected="0">
            <x v="217"/>
          </reference>
          <reference field="2" count="1" selected="0">
            <x v="113"/>
          </reference>
          <reference field="3" count="1" selected="0">
            <x v="0"/>
          </reference>
          <reference field="12" count="1">
            <x v="12"/>
          </reference>
        </references>
      </pivotArea>
    </format>
    <format dxfId="872">
      <pivotArea dataOnly="0" labelOnly="1" outline="0" fieldPosition="0">
        <references count="5">
          <reference field="0" count="1" selected="0">
            <x v="192"/>
          </reference>
          <reference field="1" count="1" selected="0">
            <x v="224"/>
          </reference>
          <reference field="2" count="1" selected="0">
            <x v="80"/>
          </reference>
          <reference field="3" count="1" selected="0">
            <x v="0"/>
          </reference>
          <reference field="12" count="1">
            <x v="7"/>
          </reference>
        </references>
      </pivotArea>
    </format>
    <format dxfId="871">
      <pivotArea dataOnly="0" labelOnly="1" outline="0" fieldPosition="0">
        <references count="5">
          <reference field="0" count="1" selected="0">
            <x v="197"/>
          </reference>
          <reference field="1" count="1" selected="0">
            <x v="236"/>
          </reference>
          <reference field="2" count="1" selected="0">
            <x v="102"/>
          </reference>
          <reference field="3" count="1" selected="0">
            <x v="0"/>
          </reference>
          <reference field="12" count="1">
            <x v="18"/>
          </reference>
        </references>
      </pivotArea>
    </format>
    <format dxfId="870">
      <pivotArea dataOnly="0" labelOnly="1" outline="0" fieldPosition="0">
        <references count="5">
          <reference field="0" count="1" selected="0">
            <x v="199"/>
          </reference>
          <reference field="1" count="1" selected="0">
            <x v="238"/>
          </reference>
          <reference field="2" count="1" selected="0">
            <x v="33"/>
          </reference>
          <reference field="3" count="1" selected="0">
            <x v="0"/>
          </reference>
          <reference field="12" count="1">
            <x v="20"/>
          </reference>
        </references>
      </pivotArea>
    </format>
    <format dxfId="869">
      <pivotArea dataOnly="0" labelOnly="1" outline="0" fieldPosition="0">
        <references count="5">
          <reference field="0" count="1" selected="0">
            <x v="204"/>
          </reference>
          <reference field="1" count="1" selected="0">
            <x v="149"/>
          </reference>
          <reference field="2" count="1" selected="0">
            <x v="117"/>
          </reference>
          <reference field="3" count="1" selected="0">
            <x v="0"/>
          </reference>
          <reference field="12" count="1">
            <x v="12"/>
          </reference>
        </references>
      </pivotArea>
    </format>
    <format dxfId="868">
      <pivotArea dataOnly="0" labelOnly="1" outline="0" fieldPosition="0">
        <references count="5">
          <reference field="0" count="1" selected="0">
            <x v="207"/>
          </reference>
          <reference field="1" count="1" selected="0">
            <x v="152"/>
          </reference>
          <reference field="2" count="1" selected="0">
            <x v="81"/>
          </reference>
          <reference field="3" count="1" selected="0">
            <x v="0"/>
          </reference>
          <reference field="12" count="1">
            <x v="7"/>
          </reference>
        </references>
      </pivotArea>
    </format>
    <format dxfId="867">
      <pivotArea dataOnly="0" labelOnly="1" outline="0" fieldPosition="0">
        <references count="5">
          <reference field="0" count="1" selected="0">
            <x v="208"/>
          </reference>
          <reference field="1" count="1" selected="0">
            <x v="153"/>
          </reference>
          <reference field="2" count="1" selected="0">
            <x v="103"/>
          </reference>
          <reference field="3" count="1" selected="0">
            <x v="0"/>
          </reference>
          <reference field="12" count="1">
            <x v="14"/>
          </reference>
        </references>
      </pivotArea>
    </format>
    <format dxfId="866">
      <pivotArea dataOnly="0" labelOnly="1" outline="0" fieldPosition="0">
        <references count="5">
          <reference field="0" count="1" selected="0">
            <x v="210"/>
          </reference>
          <reference field="1" count="1" selected="0">
            <x v="155"/>
          </reference>
          <reference field="2" count="1" selected="0">
            <x v="162"/>
          </reference>
          <reference field="3" count="1" selected="0">
            <x v="0"/>
          </reference>
          <reference field="12" count="1">
            <x v="7"/>
          </reference>
        </references>
      </pivotArea>
    </format>
    <format dxfId="865">
      <pivotArea dataOnly="0" labelOnly="1" outline="0" fieldPosition="0">
        <references count="5">
          <reference field="0" count="1" selected="0">
            <x v="211"/>
          </reference>
          <reference field="1" count="1" selected="0">
            <x v="156"/>
          </reference>
          <reference field="2" count="1" selected="0">
            <x v="164"/>
          </reference>
          <reference field="3" count="1" selected="0">
            <x v="0"/>
          </reference>
          <reference field="12" count="1">
            <x v="20"/>
          </reference>
        </references>
      </pivotArea>
    </format>
    <format dxfId="864">
      <pivotArea dataOnly="0" labelOnly="1" outline="0" fieldPosition="0">
        <references count="5">
          <reference field="0" count="1" selected="0">
            <x v="214"/>
          </reference>
          <reference field="1" count="1" selected="0">
            <x v="159"/>
          </reference>
          <reference field="2" count="1" selected="0">
            <x v="139"/>
          </reference>
          <reference field="3" count="1" selected="0">
            <x v="0"/>
          </reference>
          <reference field="12" count="1">
            <x v="10"/>
          </reference>
        </references>
      </pivotArea>
    </format>
    <format dxfId="863">
      <pivotArea dataOnly="0" labelOnly="1" outline="0" fieldPosition="0">
        <references count="5">
          <reference field="0" count="1" selected="0">
            <x v="220"/>
          </reference>
          <reference field="1" count="1" selected="0">
            <x v="165"/>
          </reference>
          <reference field="2" count="1" selected="0">
            <x v="142"/>
          </reference>
          <reference field="3" count="1" selected="0">
            <x v="0"/>
          </reference>
          <reference field="12" count="1">
            <x v="11"/>
          </reference>
        </references>
      </pivotArea>
    </format>
    <format dxfId="862">
      <pivotArea dataOnly="0" labelOnly="1" outline="0" fieldPosition="0">
        <references count="5">
          <reference field="0" count="1" selected="0">
            <x v="221"/>
          </reference>
          <reference field="1" count="1" selected="0">
            <x v="166"/>
          </reference>
          <reference field="2" count="1" selected="0">
            <x v="143"/>
          </reference>
          <reference field="3" count="1" selected="0">
            <x v="0"/>
          </reference>
          <reference field="12" count="1">
            <x v="10"/>
          </reference>
        </references>
      </pivotArea>
    </format>
    <format dxfId="861">
      <pivotArea dataOnly="0" labelOnly="1" outline="0" fieldPosition="0">
        <references count="5">
          <reference field="0" count="1" selected="0">
            <x v="223"/>
          </reference>
          <reference field="1" count="1" selected="0">
            <x v="168"/>
          </reference>
          <reference field="2" count="1" selected="0">
            <x v="71"/>
          </reference>
          <reference field="3" count="1" selected="0">
            <x v="0"/>
          </reference>
          <reference field="12" count="1">
            <x v="24"/>
          </reference>
        </references>
      </pivotArea>
    </format>
    <format dxfId="860">
      <pivotArea dataOnly="0" labelOnly="1" outline="0" fieldPosition="0">
        <references count="5">
          <reference field="0" count="1" selected="0">
            <x v="224"/>
          </reference>
          <reference field="1" count="1" selected="0">
            <x v="169"/>
          </reference>
          <reference field="2" count="1" selected="0">
            <x v="121"/>
          </reference>
          <reference field="3" count="1" selected="0">
            <x v="0"/>
          </reference>
          <reference field="12" count="1">
            <x v="23"/>
          </reference>
        </references>
      </pivotArea>
    </format>
    <format dxfId="859">
      <pivotArea dataOnly="0" labelOnly="1" outline="0" fieldPosition="0">
        <references count="5">
          <reference field="0" count="1" selected="0">
            <x v="228"/>
          </reference>
          <reference field="1" count="1" selected="0">
            <x v="173"/>
          </reference>
          <reference field="2" count="1" selected="0">
            <x v="145"/>
          </reference>
          <reference field="3" count="1" selected="0">
            <x v="0"/>
          </reference>
          <reference field="12" count="1">
            <x v="3"/>
          </reference>
        </references>
      </pivotArea>
    </format>
    <format dxfId="858">
      <pivotArea dataOnly="0" labelOnly="1" outline="0" fieldPosition="0">
        <references count="5">
          <reference field="0" count="1" selected="0">
            <x v="234"/>
          </reference>
          <reference field="1" count="1" selected="0">
            <x v="179"/>
          </reference>
          <reference field="2" count="1" selected="0">
            <x v="163"/>
          </reference>
          <reference field="3" count="1" selected="0">
            <x v="0"/>
          </reference>
          <reference field="12" count="1">
            <x v="28"/>
          </reference>
        </references>
      </pivotArea>
    </format>
    <format dxfId="857">
      <pivotArea dataOnly="0" labelOnly="1" outline="0" fieldPosition="0">
        <references count="5">
          <reference field="0" count="1" selected="0">
            <x v="235"/>
          </reference>
          <reference field="1" count="1" selected="0">
            <x v="191"/>
          </reference>
          <reference field="2" count="1" selected="0">
            <x v="155"/>
          </reference>
          <reference field="3" count="1" selected="0">
            <x v="0"/>
          </reference>
          <reference field="12" count="1">
            <x v="3"/>
          </reference>
        </references>
      </pivotArea>
    </format>
    <format dxfId="856">
      <pivotArea dataOnly="0" labelOnly="1" outline="0" fieldPosition="0">
        <references count="5">
          <reference field="0" count="1" selected="0">
            <x v="238"/>
          </reference>
          <reference field="1" count="1" selected="0">
            <x v="194"/>
          </reference>
          <reference field="2" count="1" selected="0">
            <x v="25"/>
          </reference>
          <reference field="3" count="1" selected="0">
            <x v="0"/>
          </reference>
          <reference field="12" count="1">
            <x v="0"/>
          </reference>
        </references>
      </pivotArea>
    </format>
    <format dxfId="855">
      <pivotArea dataOnly="0" labelOnly="1" outline="0" fieldPosition="0">
        <references count="5">
          <reference field="0" count="1" selected="0">
            <x v="240"/>
          </reference>
          <reference field="1" count="1" selected="0">
            <x v="196"/>
          </reference>
          <reference field="2" count="1" selected="0">
            <x v="40"/>
          </reference>
          <reference field="3" count="1" selected="0">
            <x v="0"/>
          </reference>
          <reference field="12" count="1">
            <x v="3"/>
          </reference>
        </references>
      </pivotArea>
    </format>
    <format dxfId="854">
      <pivotArea dataOnly="0" labelOnly="1" outline="0" fieldPosition="0">
        <references count="5">
          <reference field="0" count="1" selected="0">
            <x v="241"/>
          </reference>
          <reference field="1" count="1" selected="0">
            <x v="197"/>
          </reference>
          <reference field="2" count="1" selected="0">
            <x v="195"/>
          </reference>
          <reference field="3" count="1" selected="0">
            <x v="0"/>
          </reference>
          <reference field="12" count="1">
            <x v="0"/>
          </reference>
        </references>
      </pivotArea>
    </format>
    <format dxfId="853">
      <pivotArea dataOnly="0" labelOnly="1" outline="0" fieldPosition="0">
        <references count="5">
          <reference field="0" count="1" selected="0">
            <x v="242"/>
          </reference>
          <reference field="1" count="1" selected="0">
            <x v="198"/>
          </reference>
          <reference field="2" count="1" selected="0">
            <x v="132"/>
          </reference>
          <reference field="3" count="1" selected="0">
            <x v="0"/>
          </reference>
          <reference field="12" count="1">
            <x v="6"/>
          </reference>
        </references>
      </pivotArea>
    </format>
    <format dxfId="852">
      <pivotArea dataOnly="0" labelOnly="1" outline="0" fieldPosition="0">
        <references count="6">
          <reference field="0" count="1" selected="0">
            <x v="0"/>
          </reference>
          <reference field="1" count="1" selected="0">
            <x v="228"/>
          </reference>
          <reference field="2" count="1" selected="0">
            <x v="153"/>
          </reference>
          <reference field="3" count="1" selected="0">
            <x v="0"/>
          </reference>
          <reference field="12" count="1" selected="0">
            <x v="7"/>
          </reference>
          <reference field="13" count="1">
            <x v="24"/>
          </reference>
        </references>
      </pivotArea>
    </format>
    <format dxfId="851">
      <pivotArea dataOnly="0" labelOnly="1" outline="0" fieldPosition="0">
        <references count="6">
          <reference field="0" count="1" selected="0">
            <x v="2"/>
          </reference>
          <reference field="1" count="1" selected="0">
            <x v="230"/>
          </reference>
          <reference field="2" count="1" selected="0">
            <x v="225"/>
          </reference>
          <reference field="3" count="1" selected="0">
            <x v="0"/>
          </reference>
          <reference field="12" count="1" selected="0">
            <x v="7"/>
          </reference>
          <reference field="13" count="1">
            <x v="0"/>
          </reference>
        </references>
      </pivotArea>
    </format>
    <format dxfId="850">
      <pivotArea dataOnly="0" labelOnly="1" outline="0" fieldPosition="0">
        <references count="6">
          <reference field="0" count="1" selected="0">
            <x v="12"/>
          </reference>
          <reference field="1" count="1" selected="0">
            <x v="123"/>
          </reference>
          <reference field="2" count="1" selected="0">
            <x v="150"/>
          </reference>
          <reference field="3" count="1" selected="0">
            <x v="0"/>
          </reference>
          <reference field="12" count="1" selected="0">
            <x v="0"/>
          </reference>
          <reference field="13" count="1">
            <x v="2"/>
          </reference>
        </references>
      </pivotArea>
    </format>
    <format dxfId="849">
      <pivotArea dataOnly="0" labelOnly="1" outline="0" fieldPosition="0">
        <references count="6">
          <reference field="0" count="1" selected="0">
            <x v="16"/>
          </reference>
          <reference field="1" count="1" selected="0">
            <x v="64"/>
          </reference>
          <reference field="2" count="1" selected="0">
            <x v="157"/>
          </reference>
          <reference field="3" count="1" selected="0">
            <x v="0"/>
          </reference>
          <reference field="12" count="1" selected="0">
            <x v="7"/>
          </reference>
          <reference field="13" count="1">
            <x v="0"/>
          </reference>
        </references>
      </pivotArea>
    </format>
    <format dxfId="848">
      <pivotArea dataOnly="0" labelOnly="1" outline="0" fieldPosition="0">
        <references count="6">
          <reference field="0" count="1" selected="0">
            <x v="186"/>
          </reference>
          <reference field="1" count="1" selected="0">
            <x v="218"/>
          </reference>
          <reference field="2" count="1" selected="0">
            <x v="93"/>
          </reference>
          <reference field="3" count="1" selected="0">
            <x v="0"/>
          </reference>
          <reference field="12" count="1" selected="0">
            <x v="12"/>
          </reference>
          <reference field="13" count="1">
            <x v="2"/>
          </reference>
        </references>
      </pivotArea>
    </format>
    <format dxfId="847">
      <pivotArea dataOnly="0" labelOnly="1" outline="0" fieldPosition="0">
        <references count="6">
          <reference field="0" count="1" selected="0">
            <x v="187"/>
          </reference>
          <reference field="1" count="1" selected="0">
            <x v="219"/>
          </reference>
          <reference field="2" count="1" selected="0">
            <x v="104"/>
          </reference>
          <reference field="3" count="1" selected="0">
            <x v="0"/>
          </reference>
          <reference field="12" count="1" selected="0">
            <x v="12"/>
          </reference>
          <reference field="13" count="1">
            <x v="14"/>
          </reference>
        </references>
      </pivotArea>
    </format>
    <format dxfId="846">
      <pivotArea dataOnly="0" labelOnly="1" outline="0" fieldPosition="0">
        <references count="6">
          <reference field="0" count="1" selected="0">
            <x v="189"/>
          </reference>
          <reference field="1" count="1" selected="0">
            <x v="221"/>
          </reference>
          <reference field="2" count="1" selected="0">
            <x v="182"/>
          </reference>
          <reference field="3" count="1" selected="0">
            <x v="0"/>
          </reference>
          <reference field="12" count="1" selected="0">
            <x v="12"/>
          </reference>
          <reference field="13" count="1">
            <x v="0"/>
          </reference>
        </references>
      </pivotArea>
    </format>
    <format dxfId="845">
      <pivotArea dataOnly="0" labelOnly="1" outline="0" fieldPosition="0">
        <references count="6">
          <reference field="0" count="1" selected="0">
            <x v="204"/>
          </reference>
          <reference field="1" count="1" selected="0">
            <x v="149"/>
          </reference>
          <reference field="2" count="1" selected="0">
            <x v="117"/>
          </reference>
          <reference field="3" count="1" selected="0">
            <x v="0"/>
          </reference>
          <reference field="12" count="1" selected="0">
            <x v="12"/>
          </reference>
          <reference field="13" count="1">
            <x v="14"/>
          </reference>
        </references>
      </pivotArea>
    </format>
    <format dxfId="844">
      <pivotArea dataOnly="0" labelOnly="1" outline="0" fieldPosition="0">
        <references count="6">
          <reference field="0" count="1" selected="0">
            <x v="206"/>
          </reference>
          <reference field="1" count="1" selected="0">
            <x v="151"/>
          </reference>
          <reference field="2" count="1" selected="0">
            <x v="159"/>
          </reference>
          <reference field="3" count="1" selected="0">
            <x v="0"/>
          </reference>
          <reference field="12" count="1" selected="0">
            <x v="12"/>
          </reference>
          <reference field="13" count="1">
            <x v="5"/>
          </reference>
        </references>
      </pivotArea>
    </format>
    <format dxfId="843">
      <pivotArea dataOnly="0" labelOnly="1" outline="0" fieldPosition="0">
        <references count="6">
          <reference field="0" count="1" selected="0">
            <x v="207"/>
          </reference>
          <reference field="1" count="1" selected="0">
            <x v="152"/>
          </reference>
          <reference field="2" count="1" selected="0">
            <x v="81"/>
          </reference>
          <reference field="3" count="1" selected="0">
            <x v="0"/>
          </reference>
          <reference field="12" count="1" selected="0">
            <x v="7"/>
          </reference>
          <reference field="13" count="1">
            <x v="0"/>
          </reference>
        </references>
      </pivotArea>
    </format>
    <format dxfId="842">
      <pivotArea dataOnly="0" labelOnly="1" outline="0" fieldPosition="0">
        <references count="6">
          <reference field="0" count="1" selected="0">
            <x v="208"/>
          </reference>
          <reference field="1" count="1" selected="0">
            <x v="153"/>
          </reference>
          <reference field="2" count="1" selected="0">
            <x v="103"/>
          </reference>
          <reference field="3" count="1" selected="0">
            <x v="0"/>
          </reference>
          <reference field="12" count="1" selected="0">
            <x v="14"/>
          </reference>
          <reference field="13" count="1">
            <x v="16"/>
          </reference>
        </references>
      </pivotArea>
    </format>
    <format dxfId="841">
      <pivotArea dataOnly="0" labelOnly="1" outline="0" fieldPosition="0">
        <references count="6">
          <reference field="0" count="1" selected="0">
            <x v="209"/>
          </reference>
          <reference field="1" count="1" selected="0">
            <x v="154"/>
          </reference>
          <reference field="2" count="1" selected="0">
            <x v="98"/>
          </reference>
          <reference field="3" count="1" selected="0">
            <x v="0"/>
          </reference>
          <reference field="12" count="1" selected="0">
            <x v="14"/>
          </reference>
          <reference field="13" count="1">
            <x v="17"/>
          </reference>
        </references>
      </pivotArea>
    </format>
    <format dxfId="840">
      <pivotArea dataOnly="0" labelOnly="1" outline="0" fieldPosition="0">
        <references count="6">
          <reference field="0" count="1" selected="0">
            <x v="210"/>
          </reference>
          <reference field="1" count="1" selected="0">
            <x v="155"/>
          </reference>
          <reference field="2" count="1" selected="0">
            <x v="162"/>
          </reference>
          <reference field="3" count="1" selected="0">
            <x v="0"/>
          </reference>
          <reference field="12" count="1" selected="0">
            <x v="7"/>
          </reference>
          <reference field="13" count="1">
            <x v="2"/>
          </reference>
        </references>
      </pivotArea>
    </format>
    <format dxfId="839">
      <pivotArea dataOnly="0" labelOnly="1" outline="0" fieldPosition="0">
        <references count="6">
          <reference field="0" count="1" selected="0">
            <x v="211"/>
          </reference>
          <reference field="1" count="1" selected="0">
            <x v="156"/>
          </reference>
          <reference field="2" count="1" selected="0">
            <x v="164"/>
          </reference>
          <reference field="3" count="1" selected="0">
            <x v="0"/>
          </reference>
          <reference field="12" count="1" selected="0">
            <x v="20"/>
          </reference>
          <reference field="13" count="1">
            <x v="3"/>
          </reference>
        </references>
      </pivotArea>
    </format>
    <format dxfId="838">
      <pivotArea dataOnly="0" labelOnly="1" outline="0" fieldPosition="0">
        <references count="6">
          <reference field="0" count="1" selected="0">
            <x v="212"/>
          </reference>
          <reference field="1" count="1" selected="0">
            <x v="157"/>
          </reference>
          <reference field="2" count="1" selected="0">
            <x v="170"/>
          </reference>
          <reference field="3" count="1" selected="0">
            <x v="0"/>
          </reference>
          <reference field="12" count="1" selected="0">
            <x v="20"/>
          </reference>
          <reference field="13" count="1">
            <x v="4"/>
          </reference>
        </references>
      </pivotArea>
    </format>
    <format dxfId="837">
      <pivotArea dataOnly="0" labelOnly="1" outline="0" fieldPosition="0">
        <references count="6">
          <reference field="0" count="1" selected="0">
            <x v="214"/>
          </reference>
          <reference field="1" count="1" selected="0">
            <x v="159"/>
          </reference>
          <reference field="2" count="1" selected="0">
            <x v="139"/>
          </reference>
          <reference field="3" count="1" selected="0">
            <x v="0"/>
          </reference>
          <reference field="12" count="1" selected="0">
            <x v="10"/>
          </reference>
          <reference field="13" count="1">
            <x v="15"/>
          </reference>
        </references>
      </pivotArea>
    </format>
    <format dxfId="836">
      <pivotArea dataOnly="0" labelOnly="1" outline="0" fieldPosition="0">
        <references count="6">
          <reference field="0" count="1" selected="0">
            <x v="215"/>
          </reference>
          <reference field="1" count="1" selected="0">
            <x v="160"/>
          </reference>
          <reference field="2" count="1" selected="0">
            <x v="137"/>
          </reference>
          <reference field="3" count="1" selected="0">
            <x v="0"/>
          </reference>
          <reference field="12" count="1" selected="0">
            <x v="10"/>
          </reference>
          <reference field="13" count="1">
            <x v="11"/>
          </reference>
        </references>
      </pivotArea>
    </format>
    <format dxfId="835">
      <pivotArea dataOnly="0" labelOnly="1" outline="0" fieldPosition="0">
        <references count="6">
          <reference field="0" count="1" selected="0">
            <x v="216"/>
          </reference>
          <reference field="1" count="1" selected="0">
            <x v="161"/>
          </reference>
          <reference field="2" count="1" selected="0">
            <x v="136"/>
          </reference>
          <reference field="3" count="1" selected="0">
            <x v="0"/>
          </reference>
          <reference field="12" count="1" selected="0">
            <x v="10"/>
          </reference>
          <reference field="13" count="1">
            <x v="13"/>
          </reference>
        </references>
      </pivotArea>
    </format>
    <format dxfId="834">
      <pivotArea dataOnly="0" labelOnly="1" outline="0" fieldPosition="0">
        <references count="6">
          <reference field="0" count="1" selected="0">
            <x v="217"/>
          </reference>
          <reference field="1" count="1" selected="0">
            <x v="162"/>
          </reference>
          <reference field="2" count="1" selected="0">
            <x v="13"/>
          </reference>
          <reference field="3" count="1" selected="0">
            <x v="0"/>
          </reference>
          <reference field="12" count="1" selected="0">
            <x v="10"/>
          </reference>
          <reference field="13" count="1">
            <x v="10"/>
          </reference>
        </references>
      </pivotArea>
    </format>
    <format dxfId="833">
      <pivotArea dataOnly="0" labelOnly="1" outline="0" fieldPosition="0">
        <references count="6">
          <reference field="0" count="1" selected="0">
            <x v="219"/>
          </reference>
          <reference field="1" count="1" selected="0">
            <x v="164"/>
          </reference>
          <reference field="2" count="1" selected="0">
            <x v="138"/>
          </reference>
          <reference field="3" count="1" selected="0">
            <x v="0"/>
          </reference>
          <reference field="12" count="1" selected="0">
            <x v="10"/>
          </reference>
          <reference field="13" count="1">
            <x v="8"/>
          </reference>
        </references>
      </pivotArea>
    </format>
    <format dxfId="832">
      <pivotArea dataOnly="0" labelOnly="1" outline="0" fieldPosition="0">
        <references count="6">
          <reference field="0" count="1" selected="0">
            <x v="220"/>
          </reference>
          <reference field="1" count="1" selected="0">
            <x v="165"/>
          </reference>
          <reference field="2" count="1" selected="0">
            <x v="142"/>
          </reference>
          <reference field="3" count="1" selected="0">
            <x v="0"/>
          </reference>
          <reference field="12" count="1" selected="0">
            <x v="11"/>
          </reference>
          <reference field="13" count="1">
            <x v="12"/>
          </reference>
        </references>
      </pivotArea>
    </format>
    <format dxfId="831">
      <pivotArea dataOnly="0" labelOnly="1" outline="0" fieldPosition="0">
        <references count="6">
          <reference field="0" count="1" selected="0">
            <x v="221"/>
          </reference>
          <reference field="1" count="1" selected="0">
            <x v="166"/>
          </reference>
          <reference field="2" count="1" selected="0">
            <x v="143"/>
          </reference>
          <reference field="3" count="1" selected="0">
            <x v="0"/>
          </reference>
          <reference field="12" count="1" selected="0">
            <x v="10"/>
          </reference>
          <reference field="13" count="1">
            <x v="9"/>
          </reference>
        </references>
      </pivotArea>
    </format>
    <format dxfId="830">
      <pivotArea dataOnly="0" labelOnly="1" outline="0" fieldPosition="0">
        <references count="6">
          <reference field="0" count="1" selected="0">
            <x v="223"/>
          </reference>
          <reference field="1" count="1" selected="0">
            <x v="168"/>
          </reference>
          <reference field="2" count="1" selected="0">
            <x v="71"/>
          </reference>
          <reference field="3" count="1" selected="0">
            <x v="0"/>
          </reference>
          <reference field="12" count="1" selected="0">
            <x v="24"/>
          </reference>
          <reference field="13" count="1">
            <x v="7"/>
          </reference>
        </references>
      </pivotArea>
    </format>
    <format dxfId="829">
      <pivotArea dataOnly="0" labelOnly="1" outline="0" fieldPosition="0">
        <references count="6">
          <reference field="0" count="1" selected="0">
            <x v="224"/>
          </reference>
          <reference field="1" count="1" selected="0">
            <x v="169"/>
          </reference>
          <reference field="2" count="1" selected="0">
            <x v="121"/>
          </reference>
          <reference field="3" count="1" selected="0">
            <x v="0"/>
          </reference>
          <reference field="12" count="1" selected="0">
            <x v="23"/>
          </reference>
          <reference field="13" count="1">
            <x v="1"/>
          </reference>
        </references>
      </pivotArea>
    </format>
    <format dxfId="828">
      <pivotArea dataOnly="0" labelOnly="1" outline="0" fieldPosition="0">
        <references count="6">
          <reference field="0" count="1" selected="0">
            <x v="225"/>
          </reference>
          <reference field="1" count="1" selected="0">
            <x v="170"/>
          </reference>
          <reference field="2" count="1" selected="0">
            <x v="120"/>
          </reference>
          <reference field="3" count="1" selected="0">
            <x v="0"/>
          </reference>
          <reference field="12" count="1" selected="0">
            <x v="23"/>
          </reference>
          <reference field="13" count="1">
            <x v="22"/>
          </reference>
        </references>
      </pivotArea>
    </format>
    <format dxfId="827">
      <pivotArea dataOnly="0" labelOnly="1" outline="0" fieldPosition="0">
        <references count="6">
          <reference field="0" count="1" selected="0">
            <x v="228"/>
          </reference>
          <reference field="1" count="1" selected="0">
            <x v="173"/>
          </reference>
          <reference field="2" count="1" selected="0">
            <x v="145"/>
          </reference>
          <reference field="3" count="1" selected="0">
            <x v="0"/>
          </reference>
          <reference field="12" count="1" selected="0">
            <x v="3"/>
          </reference>
          <reference field="13" count="1">
            <x v="21"/>
          </reference>
        </references>
      </pivotArea>
    </format>
    <format dxfId="826">
      <pivotArea dataOnly="0" labelOnly="1" outline="0" fieldPosition="0">
        <references count="6">
          <reference field="0" count="1" selected="0">
            <x v="229"/>
          </reference>
          <reference field="1" count="1" selected="0">
            <x v="174"/>
          </reference>
          <reference field="2" count="1" selected="0">
            <x v="91"/>
          </reference>
          <reference field="3" count="1" selected="0">
            <x v="0"/>
          </reference>
          <reference field="12" count="1" selected="0">
            <x v="3"/>
          </reference>
          <reference field="13" count="1">
            <x v="18"/>
          </reference>
        </references>
      </pivotArea>
    </format>
    <format dxfId="825">
      <pivotArea dataOnly="0" labelOnly="1" outline="0" fieldPosition="0">
        <references count="6">
          <reference field="0" count="1" selected="0">
            <x v="231"/>
          </reference>
          <reference field="1" count="1" selected="0">
            <x v="176"/>
          </reference>
          <reference field="2" count="1" selected="0">
            <x v="42"/>
          </reference>
          <reference field="3" count="1" selected="0">
            <x v="0"/>
          </reference>
          <reference field="12" count="1" selected="0">
            <x v="3"/>
          </reference>
          <reference field="13" count="1">
            <x v="20"/>
          </reference>
        </references>
      </pivotArea>
    </format>
    <format dxfId="824">
      <pivotArea dataOnly="0" labelOnly="1" outline="0" fieldPosition="0">
        <references count="6">
          <reference field="0" count="1" selected="0">
            <x v="232"/>
          </reference>
          <reference field="1" count="1" selected="0">
            <x v="177"/>
          </reference>
          <reference field="2" count="1" selected="0">
            <x v="47"/>
          </reference>
          <reference field="3" count="1" selected="0">
            <x v="0"/>
          </reference>
          <reference field="12" count="1" selected="0">
            <x v="3"/>
          </reference>
          <reference field="13" count="1">
            <x v="19"/>
          </reference>
        </references>
      </pivotArea>
    </format>
    <format dxfId="823">
      <pivotArea dataOnly="0" labelOnly="1" outline="0" fieldPosition="0">
        <references count="6">
          <reference field="0" count="1" selected="0">
            <x v="233"/>
          </reference>
          <reference field="1" count="1" selected="0">
            <x v="178"/>
          </reference>
          <reference field="2" count="1" selected="0">
            <x v="32"/>
          </reference>
          <reference field="3" count="1" selected="0">
            <x v="0"/>
          </reference>
          <reference field="12" count="1" selected="0">
            <x v="3"/>
          </reference>
          <reference field="13" count="1">
            <x v="6"/>
          </reference>
        </references>
      </pivotArea>
    </format>
    <format dxfId="822">
      <pivotArea dataOnly="0" labelOnly="1" outline="0" fieldPosition="0">
        <references count="6">
          <reference field="0" count="1" selected="0">
            <x v="234"/>
          </reference>
          <reference field="1" count="1" selected="0">
            <x v="179"/>
          </reference>
          <reference field="2" count="1" selected="0">
            <x v="163"/>
          </reference>
          <reference field="3" count="1" selected="0">
            <x v="0"/>
          </reference>
          <reference field="12" count="1" selected="0">
            <x v="28"/>
          </reference>
          <reference field="13" count="1">
            <x v="25"/>
          </reference>
        </references>
      </pivotArea>
    </format>
    <format dxfId="821">
      <pivotArea dataOnly="0" labelOnly="1" outline="0" fieldPosition="0">
        <references count="6">
          <reference field="0" count="1" selected="0">
            <x v="235"/>
          </reference>
          <reference field="1" count="1" selected="0">
            <x v="191"/>
          </reference>
          <reference field="2" count="1" selected="0">
            <x v="155"/>
          </reference>
          <reference field="3" count="1" selected="0">
            <x v="0"/>
          </reference>
          <reference field="12" count="1" selected="0">
            <x v="3"/>
          </reference>
          <reference field="13" count="1">
            <x v="0"/>
          </reference>
        </references>
      </pivotArea>
    </format>
    <format dxfId="820">
      <pivotArea dataOnly="0" labelOnly="1" outline="0" fieldPosition="0">
        <references count="7">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x v="38"/>
          </reference>
        </references>
      </pivotArea>
    </format>
    <format dxfId="819">
      <pivotArea dataOnly="0" labelOnly="1" outline="0" fieldPosition="0">
        <references count="7">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x v="0"/>
          </reference>
        </references>
      </pivotArea>
    </format>
    <format dxfId="818">
      <pivotArea dataOnly="0" labelOnly="1" outline="0" fieldPosition="0">
        <references count="7">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x v="35"/>
          </reference>
        </references>
      </pivotArea>
    </format>
    <format dxfId="817">
      <pivotArea dataOnly="0" labelOnly="1" outline="0" fieldPosition="0">
        <references count="7">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x v="38"/>
          </reference>
        </references>
      </pivotArea>
    </format>
    <format dxfId="816">
      <pivotArea dataOnly="0" labelOnly="1" outline="0" fieldPosition="0">
        <references count="7">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x v="28"/>
          </reference>
        </references>
      </pivotArea>
    </format>
    <format dxfId="815">
      <pivotArea dataOnly="0" labelOnly="1" outline="0" fieldPosition="0">
        <references count="7">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x v="38"/>
          </reference>
        </references>
      </pivotArea>
    </format>
    <format dxfId="814">
      <pivotArea dataOnly="0" labelOnly="1" outline="0" fieldPosition="0">
        <references count="7">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x v="40"/>
          </reference>
        </references>
      </pivotArea>
    </format>
    <format dxfId="813">
      <pivotArea dataOnly="0" labelOnly="1" outline="0" fieldPosition="0">
        <references count="7">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x v="38"/>
          </reference>
        </references>
      </pivotArea>
    </format>
    <format dxfId="812">
      <pivotArea dataOnly="0" labelOnly="1" outline="0" fieldPosition="0">
        <references count="7">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x v="1"/>
          </reference>
        </references>
      </pivotArea>
    </format>
    <format dxfId="811">
      <pivotArea dataOnly="0" labelOnly="1" outline="0" fieldPosition="0">
        <references count="7">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x v="3"/>
          </reference>
        </references>
      </pivotArea>
    </format>
    <format dxfId="810">
      <pivotArea dataOnly="0" labelOnly="1" outline="0" fieldPosition="0">
        <references count="7">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x v="19"/>
          </reference>
        </references>
      </pivotArea>
    </format>
    <format dxfId="809">
      <pivotArea dataOnly="0" labelOnly="1" outline="0" fieldPosition="0">
        <references count="7">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x v="13"/>
          </reference>
        </references>
      </pivotArea>
    </format>
    <format dxfId="808">
      <pivotArea dataOnly="0" labelOnly="1" outline="0" fieldPosition="0">
        <references count="7">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x v="15"/>
          </reference>
        </references>
      </pivotArea>
    </format>
    <format dxfId="807">
      <pivotArea dataOnly="0" labelOnly="1" outline="0" fieldPosition="0">
        <references count="7">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x v="61"/>
          </reference>
        </references>
      </pivotArea>
    </format>
    <format dxfId="806">
      <pivotArea dataOnly="0" labelOnly="1" outline="0" fieldPosition="0">
        <references count="7">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x v="2"/>
          </reference>
        </references>
      </pivotArea>
    </format>
    <format dxfId="805">
      <pivotArea dataOnly="0" labelOnly="1" outline="0" fieldPosition="0">
        <references count="7">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x v="62"/>
          </reference>
        </references>
      </pivotArea>
    </format>
    <format dxfId="804">
      <pivotArea dataOnly="0" labelOnly="1" outline="0" fieldPosition="0">
        <references count="7">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x v="58"/>
          </reference>
        </references>
      </pivotArea>
    </format>
    <format dxfId="803">
      <pivotArea dataOnly="0" labelOnly="1" outline="0" fieldPosition="0">
        <references count="7">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x v="56"/>
          </reference>
        </references>
      </pivotArea>
    </format>
    <format dxfId="802">
      <pivotArea dataOnly="0" labelOnly="1" outline="0" fieldPosition="0">
        <references count="7">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x v="66"/>
          </reference>
        </references>
      </pivotArea>
    </format>
    <format dxfId="801">
      <pivotArea dataOnly="0" labelOnly="1" outline="0" fieldPosition="0">
        <references count="7">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x v="34"/>
          </reference>
        </references>
      </pivotArea>
    </format>
    <format dxfId="800">
      <pivotArea dataOnly="0" labelOnly="1" outline="0" fieldPosition="0">
        <references count="7">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x v="47"/>
          </reference>
        </references>
      </pivotArea>
    </format>
    <format dxfId="799">
      <pivotArea dataOnly="0" labelOnly="1" outline="0" fieldPosition="0">
        <references count="7">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x v="37"/>
          </reference>
        </references>
      </pivotArea>
    </format>
    <format dxfId="798">
      <pivotArea dataOnly="0" labelOnly="1" outline="0" fieldPosition="0">
        <references count="7">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x v="36"/>
          </reference>
        </references>
      </pivotArea>
    </format>
    <format dxfId="797">
      <pivotArea dataOnly="0" labelOnly="1" outline="0" fieldPosition="0">
        <references count="7">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x v="0"/>
          </reference>
        </references>
      </pivotArea>
    </format>
    <format dxfId="796">
      <pivotArea dataOnly="0" labelOnly="1" outline="0" fieldPosition="0">
        <references count="7">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x v="14"/>
          </reference>
        </references>
      </pivotArea>
    </format>
    <format dxfId="795">
      <pivotArea dataOnly="0" labelOnly="1" outline="0" fieldPosition="0">
        <references count="7">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x v="0"/>
          </reference>
        </references>
      </pivotArea>
    </format>
    <format dxfId="794">
      <pivotArea dataOnly="0" labelOnly="1" outline="0" fieldPosition="0">
        <references count="7">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x v="0"/>
          </reference>
        </references>
      </pivotArea>
    </format>
    <format dxfId="793">
      <pivotArea dataOnly="0" labelOnly="1" outline="0" fieldPosition="0">
        <references count="7">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x v="4"/>
          </reference>
        </references>
      </pivotArea>
    </format>
    <format dxfId="792">
      <pivotArea dataOnly="0" labelOnly="1" outline="0" fieldPosition="0">
        <references count="7">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x v="53"/>
          </reference>
        </references>
      </pivotArea>
    </format>
    <format dxfId="791">
      <pivotArea dataOnly="0" labelOnly="1" outline="0" fieldPosition="0">
        <references count="7">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x v="25"/>
          </reference>
        </references>
      </pivotArea>
    </format>
    <format dxfId="790">
      <pivotArea dataOnly="0" labelOnly="1" outline="0" fieldPosition="0">
        <references count="7">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x v="0"/>
          </reference>
        </references>
      </pivotArea>
    </format>
    <format dxfId="789">
      <pivotArea dataOnly="0" labelOnly="1" outline="0" fieldPosition="0">
        <references count="7">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x v="50"/>
          </reference>
        </references>
      </pivotArea>
    </format>
    <format dxfId="788">
      <pivotArea dataOnly="0" labelOnly="1" outline="0" fieldPosition="0">
        <references count="7">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x v="49"/>
          </reference>
        </references>
      </pivotArea>
    </format>
    <format dxfId="787">
      <pivotArea dataOnly="0" labelOnly="1" outline="0" fieldPosition="0">
        <references count="7">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x v="16"/>
          </reference>
        </references>
      </pivotArea>
    </format>
    <format dxfId="786">
      <pivotArea dataOnly="0" labelOnly="1" outline="0" fieldPosition="0">
        <references count="7">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x v="6"/>
          </reference>
        </references>
      </pivotArea>
    </format>
    <format dxfId="785">
      <pivotArea dataOnly="0" labelOnly="1" outline="0" fieldPosition="0">
        <references count="7">
          <reference field="0" count="1" selected="0">
            <x v="102"/>
          </reference>
          <reference field="1" count="1" selected="0">
            <x v="89"/>
          </reference>
          <reference field="2" count="1" selected="0">
            <x v="14"/>
          </reference>
          <reference field="3" count="1" selected="0">
            <x v="0"/>
          </reference>
          <reference field="12" count="1" selected="0">
            <x v="3"/>
          </reference>
          <reference field="13" count="1" selected="0">
            <x v="0"/>
          </reference>
          <reference field="14" count="1">
            <x v="16"/>
          </reference>
        </references>
      </pivotArea>
    </format>
    <format dxfId="784">
      <pivotArea dataOnly="0" labelOnly="1" outline="0" fieldPosition="0">
        <references count="7">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x v="54"/>
          </reference>
        </references>
      </pivotArea>
    </format>
    <format dxfId="783">
      <pivotArea dataOnly="0" labelOnly="1" outline="0" fieldPosition="0">
        <references count="7">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x v="55"/>
          </reference>
        </references>
      </pivotArea>
    </format>
    <format dxfId="782">
      <pivotArea dataOnly="0" labelOnly="1" outline="0" fieldPosition="0">
        <references count="7">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x v="4"/>
          </reference>
        </references>
      </pivotArea>
    </format>
    <format dxfId="781">
      <pivotArea dataOnly="0" labelOnly="1" outline="0" fieldPosition="0">
        <references count="7">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x v="7"/>
          </reference>
        </references>
      </pivotArea>
    </format>
    <format dxfId="780">
      <pivotArea dataOnly="0" labelOnly="1" outline="0" fieldPosition="0">
        <references count="7">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x v="11"/>
          </reference>
        </references>
      </pivotArea>
    </format>
    <format dxfId="779">
      <pivotArea dataOnly="0" labelOnly="1" outline="0" fieldPosition="0">
        <references count="7">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x v="38"/>
          </reference>
        </references>
      </pivotArea>
    </format>
    <format dxfId="778">
      <pivotArea dataOnly="0" labelOnly="1" outline="0" fieldPosition="0">
        <references count="7">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x v="34"/>
          </reference>
        </references>
      </pivotArea>
    </format>
    <format dxfId="777">
      <pivotArea dataOnly="0" labelOnly="1" outline="0" fieldPosition="0">
        <references count="7">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x v="37"/>
          </reference>
        </references>
      </pivotArea>
    </format>
    <format dxfId="776">
      <pivotArea dataOnly="0" labelOnly="1" outline="0" fieldPosition="0">
        <references count="7">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x v="36"/>
          </reference>
        </references>
      </pivotArea>
    </format>
    <format dxfId="775">
      <pivotArea dataOnly="0" labelOnly="1" outline="0" fieldPosition="0">
        <references count="7">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x v="37"/>
          </reference>
        </references>
      </pivotArea>
    </format>
    <format dxfId="774">
      <pivotArea dataOnly="0" labelOnly="1" outline="0" fieldPosition="0">
        <references count="7">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x v="34"/>
          </reference>
        </references>
      </pivotArea>
    </format>
    <format dxfId="773">
      <pivotArea dataOnly="0" labelOnly="1" outline="0" fieldPosition="0">
        <references count="7">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x v="37"/>
          </reference>
        </references>
      </pivotArea>
    </format>
    <format dxfId="772">
      <pivotArea dataOnly="0" labelOnly="1" outline="0" fieldPosition="0">
        <references count="7">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x v="0"/>
          </reference>
        </references>
      </pivotArea>
    </format>
    <format dxfId="771">
      <pivotArea dataOnly="0" labelOnly="1" outline="0" fieldPosition="0">
        <references count="7">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x v="23"/>
          </reference>
        </references>
      </pivotArea>
    </format>
    <format dxfId="770">
      <pivotArea dataOnly="0" labelOnly="1" outline="0" fieldPosition="0">
        <references count="7">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x v="22"/>
          </reference>
        </references>
      </pivotArea>
    </format>
    <format dxfId="769">
      <pivotArea dataOnly="0" labelOnly="1" outline="0" fieldPosition="0">
        <references count="7">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x v="14"/>
          </reference>
        </references>
      </pivotArea>
    </format>
    <format dxfId="768">
      <pivotArea dataOnly="0" labelOnly="1" outline="0" fieldPosition="0">
        <references count="7">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x v="24"/>
          </reference>
        </references>
      </pivotArea>
    </format>
    <format dxfId="767">
      <pivotArea dataOnly="0" labelOnly="1" outline="0" fieldPosition="0">
        <references count="7">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x v="18"/>
          </reference>
        </references>
      </pivotArea>
    </format>
    <format dxfId="766">
      <pivotArea dataOnly="0" labelOnly="1" outline="0" fieldPosition="0">
        <references count="7">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x v="51"/>
          </reference>
        </references>
      </pivotArea>
    </format>
    <format dxfId="765">
      <pivotArea dataOnly="0" labelOnly="1" outline="0" fieldPosition="0">
        <references count="7">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x v="52"/>
          </reference>
        </references>
      </pivotArea>
    </format>
    <format dxfId="764">
      <pivotArea dataOnly="0" labelOnly="1" outline="0" fieldPosition="0">
        <references count="7">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x v="65"/>
          </reference>
        </references>
      </pivotArea>
    </format>
    <format dxfId="763">
      <pivotArea dataOnly="0" labelOnly="1" outline="0" fieldPosition="0">
        <references count="7">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x v="26"/>
          </reference>
        </references>
      </pivotArea>
    </format>
    <format dxfId="762">
      <pivotArea dataOnly="0" labelOnly="1" outline="0" fieldPosition="0">
        <references count="7">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x v="21"/>
          </reference>
        </references>
      </pivotArea>
    </format>
    <format dxfId="761">
      <pivotArea dataOnly="0" labelOnly="1" outline="0" fieldPosition="0">
        <references count="7">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x v="7"/>
          </reference>
        </references>
      </pivotArea>
    </format>
    <format dxfId="760">
      <pivotArea dataOnly="0" labelOnly="1" outline="0" fieldPosition="0">
        <references count="7">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x v="52"/>
          </reference>
        </references>
      </pivotArea>
    </format>
    <format dxfId="759">
      <pivotArea dataOnly="0" labelOnly="1" outline="0" fieldPosition="0">
        <references count="7">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x v="8"/>
          </reference>
        </references>
      </pivotArea>
    </format>
    <format dxfId="758">
      <pivotArea dataOnly="0" labelOnly="1" outline="0" fieldPosition="0">
        <references count="7">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x v="20"/>
          </reference>
        </references>
      </pivotArea>
    </format>
    <format dxfId="757">
      <pivotArea dataOnly="0" labelOnly="1" outline="0" fieldPosition="0">
        <references count="7">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x v="26"/>
          </reference>
        </references>
      </pivotArea>
    </format>
    <format dxfId="756">
      <pivotArea dataOnly="0" labelOnly="1" outline="0" fieldPosition="0">
        <references count="7">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x v="27"/>
          </reference>
        </references>
      </pivotArea>
    </format>
    <format dxfId="755">
      <pivotArea dataOnly="0" labelOnly="1" outline="0" fieldPosition="0">
        <references count="7">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x v="26"/>
          </reference>
        </references>
      </pivotArea>
    </format>
    <format dxfId="754">
      <pivotArea dataOnly="0" labelOnly="1" outline="0" fieldPosition="0">
        <references count="7">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x v="32"/>
          </reference>
        </references>
      </pivotArea>
    </format>
    <format dxfId="753">
      <pivotArea dataOnly="0" labelOnly="1" outline="0" fieldPosition="0">
        <references count="7">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x v="38"/>
          </reference>
        </references>
      </pivotArea>
    </format>
    <format dxfId="752">
      <pivotArea dataOnly="0" labelOnly="1" outline="0" fieldPosition="0">
        <references count="7">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x v="44"/>
          </reference>
        </references>
      </pivotArea>
    </format>
    <format dxfId="751">
      <pivotArea dataOnly="0" labelOnly="1" outline="0" fieldPosition="0">
        <references count="7">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x v="45"/>
          </reference>
        </references>
      </pivotArea>
    </format>
    <format dxfId="750">
      <pivotArea dataOnly="0" labelOnly="1" outline="0" fieldPosition="0">
        <references count="7">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x v="42"/>
          </reference>
        </references>
      </pivotArea>
    </format>
    <format dxfId="749">
      <pivotArea dataOnly="0" labelOnly="1" outline="0" fieldPosition="0">
        <references count="7">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x v="46"/>
          </reference>
        </references>
      </pivotArea>
    </format>
    <format dxfId="748">
      <pivotArea dataOnly="0" labelOnly="1" outline="0" fieldPosition="0">
        <references count="7">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x v="63"/>
          </reference>
        </references>
      </pivotArea>
    </format>
    <format dxfId="747">
      <pivotArea dataOnly="0" labelOnly="1" outline="0" fieldPosition="0">
        <references count="7">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x v="38"/>
          </reference>
        </references>
      </pivotArea>
    </format>
    <format dxfId="746">
      <pivotArea dataOnly="0" labelOnly="1" outline="0" fieldPosition="0">
        <references count="7">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x v="0"/>
          </reference>
        </references>
      </pivotArea>
    </format>
    <format dxfId="745">
      <pivotArea dataOnly="0" labelOnly="1" outline="0" fieldPosition="0">
        <references count="7">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x v="20"/>
          </reference>
        </references>
      </pivotArea>
    </format>
    <format dxfId="744">
      <pivotArea dataOnly="0" labelOnly="1" outline="0" fieldPosition="0">
        <references count="7">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x v="0"/>
          </reference>
        </references>
      </pivotArea>
    </format>
    <format dxfId="743">
      <pivotArea dataOnly="0" labelOnly="1" outline="0" fieldPosition="0">
        <references count="7">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x v="39"/>
          </reference>
        </references>
      </pivotArea>
    </format>
    <format dxfId="742">
      <pivotArea dataOnly="0" labelOnly="1" outline="0" fieldPosition="0">
        <references count="7">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x v="38"/>
          </reference>
        </references>
      </pivotArea>
    </format>
    <format dxfId="741">
      <pivotArea dataOnly="0" labelOnly="1" outline="0" fieldPosition="0">
        <references count="7">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x v="29"/>
          </reference>
        </references>
      </pivotArea>
    </format>
    <format dxfId="740">
      <pivotArea dataOnly="0" labelOnly="1" outline="0" fieldPosition="0">
        <references count="7">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x v="31"/>
          </reference>
        </references>
      </pivotArea>
    </format>
    <format dxfId="739">
      <pivotArea dataOnly="0" labelOnly="1" outline="0" fieldPosition="0">
        <references count="7">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x v="0"/>
          </reference>
        </references>
      </pivotArea>
    </format>
    <format dxfId="738">
      <pivotArea dataOnly="0" labelOnly="1" outline="0" fieldPosition="0">
        <references count="7">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x v="66"/>
          </reference>
        </references>
      </pivotArea>
    </format>
    <format dxfId="737">
      <pivotArea dataOnly="0" labelOnly="1" outline="0" fieldPosition="0">
        <references count="7">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x v="0"/>
          </reference>
        </references>
      </pivotArea>
    </format>
    <format dxfId="736">
      <pivotArea dataOnly="0" labelOnly="1" outline="0" fieldPosition="0">
        <references count="7">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x v="57"/>
          </reference>
        </references>
      </pivotArea>
    </format>
    <format dxfId="735">
      <pivotArea dataOnly="0" labelOnly="1" outline="0" fieldPosition="0">
        <references count="7">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x v="60"/>
          </reference>
        </references>
      </pivotArea>
    </format>
    <format dxfId="734">
      <pivotArea dataOnly="0" labelOnly="1" outline="0" fieldPosition="0">
        <references count="7">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x v="0"/>
          </reference>
        </references>
      </pivotArea>
    </format>
    <format dxfId="733">
      <pivotArea dataOnly="0" labelOnly="1" outline="0" fieldPosition="0">
        <references count="7">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x v="18"/>
          </reference>
        </references>
      </pivotArea>
    </format>
    <format dxfId="732">
      <pivotArea dataOnly="0" labelOnly="1" outline="0" fieldPosition="0">
        <references count="7">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x v="38"/>
          </reference>
        </references>
      </pivotArea>
    </format>
    <format dxfId="731">
      <pivotArea dataOnly="0" labelOnly="1" outline="0" fieldPosition="0">
        <references count="7">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x v="34"/>
          </reference>
        </references>
      </pivotArea>
    </format>
    <format dxfId="730">
      <pivotArea dataOnly="0" labelOnly="1" outline="0" fieldPosition="0">
        <references count="7">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x v="36"/>
          </reference>
        </references>
      </pivotArea>
    </format>
    <format dxfId="729">
      <pivotArea dataOnly="0" labelOnly="1" outline="0" fieldPosition="0">
        <references count="7">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x v="38"/>
          </reference>
        </references>
      </pivotArea>
    </format>
    <format dxfId="728">
      <pivotArea dataOnly="0" labelOnly="1" outline="0" fieldPosition="0">
        <references count="7">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x v="67"/>
          </reference>
        </references>
      </pivotArea>
    </format>
    <format dxfId="727">
      <pivotArea dataOnly="0" labelOnly="1" outline="0" fieldPosition="0">
        <references count="7">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x v="38"/>
          </reference>
        </references>
      </pivotArea>
    </format>
    <format dxfId="726">
      <pivotArea dataOnly="0" labelOnly="1" outline="0" fieldPosition="0">
        <references count="7">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x v="0"/>
          </reference>
        </references>
      </pivotArea>
    </format>
    <format dxfId="725">
      <pivotArea dataOnly="0" labelOnly="1" outline="0" fieldPosition="0">
        <references count="8">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x v="15"/>
          </reference>
        </references>
      </pivotArea>
    </format>
    <format dxfId="724">
      <pivotArea dataOnly="0" labelOnly="1" outline="0" fieldPosition="0">
        <references count="8">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x v="14"/>
          </reference>
        </references>
      </pivotArea>
    </format>
    <format dxfId="723">
      <pivotArea dataOnly="0" labelOnly="1" outline="0" fieldPosition="0">
        <references count="8">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722">
      <pivotArea dataOnly="0" labelOnly="1" outline="0" fieldPosition="0">
        <references count="8">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721">
      <pivotArea dataOnly="0" labelOnly="1" outline="0" fieldPosition="0">
        <references count="8">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720">
      <pivotArea dataOnly="0" labelOnly="1" outline="0" fieldPosition="0">
        <references count="8">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x v="15"/>
          </reference>
        </references>
      </pivotArea>
    </format>
    <format dxfId="719">
      <pivotArea dataOnly="0" labelOnly="1" outline="0" fieldPosition="0">
        <references count="8">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x v="14"/>
          </reference>
        </references>
      </pivotArea>
    </format>
    <format dxfId="718">
      <pivotArea dataOnly="0" labelOnly="1" outline="0" fieldPosition="0">
        <references count="8">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x v="21"/>
          </reference>
        </references>
      </pivotArea>
    </format>
    <format dxfId="717">
      <pivotArea dataOnly="0" labelOnly="1" outline="0" fieldPosition="0">
        <references count="8">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x v="45"/>
          </reference>
        </references>
      </pivotArea>
    </format>
    <format dxfId="716">
      <pivotArea dataOnly="0" labelOnly="1" outline="0" fieldPosition="0">
        <references count="8">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x v="0"/>
          </reference>
        </references>
      </pivotArea>
    </format>
    <format dxfId="715">
      <pivotArea dataOnly="0" labelOnly="1" outline="0" fieldPosition="0">
        <references count="8">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x v="12"/>
          </reference>
        </references>
      </pivotArea>
    </format>
    <format dxfId="714">
      <pivotArea dataOnly="0" labelOnly="1" outline="0" fieldPosition="0">
        <references count="8">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x v="11"/>
          </reference>
        </references>
      </pivotArea>
    </format>
    <format dxfId="713">
      <pivotArea dataOnly="0" labelOnly="1" outline="0" fieldPosition="0">
        <references count="8">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x v="0"/>
          </reference>
        </references>
      </pivotArea>
    </format>
    <format dxfId="712">
      <pivotArea dataOnly="0" labelOnly="1" outline="0" fieldPosition="0">
        <references count="8">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x v="23"/>
          </reference>
        </references>
      </pivotArea>
    </format>
    <format dxfId="711">
      <pivotArea dataOnly="0" labelOnly="1" outline="0" fieldPosition="0">
        <references count="8">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710">
      <pivotArea dataOnly="0" labelOnly="1" outline="0" fieldPosition="0">
        <references count="8">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x v="0"/>
          </reference>
        </references>
      </pivotArea>
    </format>
    <format dxfId="709">
      <pivotArea dataOnly="0" labelOnly="1" outline="0" fieldPosition="0">
        <references count="8">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708">
      <pivotArea dataOnly="0" labelOnly="1" outline="0" fieldPosition="0">
        <references count="8">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x v="22"/>
          </reference>
        </references>
      </pivotArea>
    </format>
    <format dxfId="707">
      <pivotArea dataOnly="0" labelOnly="1" outline="0" fieldPosition="0">
        <references count="8">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x v="17"/>
          </reference>
        </references>
      </pivotArea>
    </format>
    <format dxfId="706">
      <pivotArea dataOnly="0" labelOnly="1" outline="0" fieldPosition="0">
        <references count="8">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705">
      <pivotArea dataOnly="0" labelOnly="1" outline="0" fieldPosition="0">
        <references count="8">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x v="40"/>
          </reference>
        </references>
      </pivotArea>
    </format>
    <format dxfId="704">
      <pivotArea dataOnly="0" labelOnly="1" outline="0" fieldPosition="0">
        <references count="8">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x v="41"/>
          </reference>
        </references>
      </pivotArea>
    </format>
    <format dxfId="703">
      <pivotArea dataOnly="0" labelOnly="1" outline="0" fieldPosition="0">
        <references count="8">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x v="0"/>
          </reference>
        </references>
      </pivotArea>
    </format>
    <format dxfId="702">
      <pivotArea dataOnly="0" labelOnly="1" outline="0" fieldPosition="0">
        <references count="8">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701">
      <pivotArea dataOnly="0" labelOnly="1" outline="0" fieldPosition="0">
        <references count="8">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x v="29"/>
          </reference>
        </references>
      </pivotArea>
    </format>
    <format dxfId="700">
      <pivotArea dataOnly="0" labelOnly="1" outline="0" fieldPosition="0">
        <references count="8">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x v="26"/>
          </reference>
        </references>
      </pivotArea>
    </format>
    <format dxfId="699">
      <pivotArea dataOnly="0" labelOnly="1" outline="0" fieldPosition="0">
        <references count="8">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x v="0"/>
          </reference>
        </references>
      </pivotArea>
    </format>
    <format dxfId="698">
      <pivotArea dataOnly="0" labelOnly="1" outline="0" fieldPosition="0">
        <references count="8">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x v="29"/>
          </reference>
        </references>
      </pivotArea>
    </format>
    <format dxfId="697">
      <pivotArea dataOnly="0" labelOnly="1" outline="0" fieldPosition="0">
        <references count="8">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x v="0"/>
          </reference>
        </references>
      </pivotArea>
    </format>
    <format dxfId="696">
      <pivotArea dataOnly="0" labelOnly="1" outline="0" fieldPosition="0">
        <references count="8">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695">
      <pivotArea dataOnly="0" labelOnly="1" outline="0" fieldPosition="0">
        <references count="8">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x v="28"/>
          </reference>
        </references>
      </pivotArea>
    </format>
    <format dxfId="694">
      <pivotArea dataOnly="0" labelOnly="1" outline="0" fieldPosition="0">
        <references count="8">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selected="0">
            <x v="16"/>
          </reference>
          <reference field="15" count="1">
            <x v="26"/>
          </reference>
        </references>
      </pivotArea>
    </format>
    <format dxfId="693">
      <pivotArea dataOnly="0" labelOnly="1" outline="0" fieldPosition="0">
        <references count="8">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x v="0"/>
          </reference>
        </references>
      </pivotArea>
    </format>
    <format dxfId="692">
      <pivotArea dataOnly="0" labelOnly="1" outline="0" fieldPosition="0">
        <references count="8">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691">
      <pivotArea dataOnly="0" labelOnly="1" outline="0" fieldPosition="0">
        <references count="8">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x v="0"/>
          </reference>
        </references>
      </pivotArea>
    </format>
    <format dxfId="690">
      <pivotArea dataOnly="0" labelOnly="1" outline="0" fieldPosition="0">
        <references count="8">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x v="30"/>
          </reference>
        </references>
      </pivotArea>
    </format>
    <format dxfId="689">
      <pivotArea dataOnly="0" labelOnly="1" outline="0" fieldPosition="0">
        <references count="8">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x v="31"/>
          </reference>
        </references>
      </pivotArea>
    </format>
    <format dxfId="688">
      <pivotArea dataOnly="0" labelOnly="1" outline="0" fieldPosition="0">
        <references count="8">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x v="26"/>
          </reference>
        </references>
      </pivotArea>
    </format>
    <format dxfId="687">
      <pivotArea dataOnly="0" labelOnly="1" outline="0" fieldPosition="0">
        <references count="8">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x v="27"/>
          </reference>
        </references>
      </pivotArea>
    </format>
    <format dxfId="686">
      <pivotArea dataOnly="0" labelOnly="1" outline="0" fieldPosition="0">
        <references count="8">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x v="0"/>
          </reference>
        </references>
      </pivotArea>
    </format>
    <format dxfId="685">
      <pivotArea dataOnly="0" labelOnly="1" outline="0" fieldPosition="0">
        <references count="8">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x v="32"/>
          </reference>
        </references>
      </pivotArea>
    </format>
    <format dxfId="684">
      <pivotArea dataOnly="0" labelOnly="1" outline="0" fieldPosition="0">
        <references count="8">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x v="0"/>
          </reference>
        </references>
      </pivotArea>
    </format>
    <format dxfId="683">
      <pivotArea dataOnly="0" labelOnly="1" outline="0" fieldPosition="0">
        <references count="8">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x v="32"/>
          </reference>
        </references>
      </pivotArea>
    </format>
    <format dxfId="682">
      <pivotArea dataOnly="0" labelOnly="1" outline="0" fieldPosition="0">
        <references count="8">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x v="43"/>
          </reference>
        </references>
      </pivotArea>
    </format>
    <format dxfId="681">
      <pivotArea dataOnly="0" labelOnly="1" outline="0" fieldPosition="0">
        <references count="8">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x v="0"/>
          </reference>
        </references>
      </pivotArea>
    </format>
    <format dxfId="680">
      <pivotArea dataOnly="0" labelOnly="1" outline="0" fieldPosition="0">
        <references count="8">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x v="33"/>
          </reference>
        </references>
      </pivotArea>
    </format>
    <format dxfId="679">
      <pivotArea dataOnly="0" labelOnly="1" outline="0" fieldPosition="0">
        <references count="8">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x v="24"/>
          </reference>
        </references>
      </pivotArea>
    </format>
    <format dxfId="678">
      <pivotArea dataOnly="0" labelOnly="1" outline="0" fieldPosition="0">
        <references count="8">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677">
      <pivotArea dataOnly="0" labelOnly="1" outline="0" fieldPosition="0">
        <references count="8">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x v="0"/>
          </reference>
        </references>
      </pivotArea>
    </format>
    <format dxfId="676">
      <pivotArea dataOnly="0" labelOnly="1" outline="0" fieldPosition="0">
        <references count="8">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x v="3"/>
          </reference>
        </references>
      </pivotArea>
    </format>
    <format dxfId="675">
      <pivotArea dataOnly="0" labelOnly="1" outline="0" fieldPosition="0">
        <references count="8">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x v="1"/>
          </reference>
        </references>
      </pivotArea>
    </format>
    <format dxfId="674">
      <pivotArea dataOnly="0" labelOnly="1" outline="0" fieldPosition="0">
        <references count="8">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x v="8"/>
          </reference>
        </references>
      </pivotArea>
    </format>
    <format dxfId="673">
      <pivotArea dataOnly="0" labelOnly="1" outline="0" fieldPosition="0">
        <references count="8">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x v="7"/>
          </reference>
        </references>
      </pivotArea>
    </format>
    <format dxfId="672">
      <pivotArea dataOnly="0" labelOnly="1" outline="0" fieldPosition="0">
        <references count="8">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x v="0"/>
          </reference>
        </references>
      </pivotArea>
    </format>
    <format dxfId="671">
      <pivotArea dataOnly="0" labelOnly="1" outline="0" fieldPosition="0">
        <references count="8">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x v="5"/>
          </reference>
        </references>
      </pivotArea>
    </format>
    <format dxfId="670">
      <pivotArea dataOnly="0" labelOnly="1" outline="0" fieldPosition="0">
        <references count="8">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669">
      <pivotArea dataOnly="0" labelOnly="1" outline="0" fieldPosition="0">
        <references count="8">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x v="19"/>
          </reference>
        </references>
      </pivotArea>
    </format>
    <format dxfId="668">
      <pivotArea dataOnly="0" labelOnly="1" outline="0" fieldPosition="0">
        <references count="8">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x v="18"/>
          </reference>
        </references>
      </pivotArea>
    </format>
    <format dxfId="667">
      <pivotArea dataOnly="0" labelOnly="1" outline="0" fieldPosition="0">
        <references count="8">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x v="30"/>
          </reference>
        </references>
      </pivotArea>
    </format>
    <format dxfId="666">
      <pivotArea dataOnly="0" labelOnly="1" outline="0" fieldPosition="0">
        <references count="8">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x v="38"/>
          </reference>
        </references>
      </pivotArea>
    </format>
    <format dxfId="665">
      <pivotArea dataOnly="0" labelOnly="1" outline="0" fieldPosition="0">
        <references count="8">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x v="0"/>
          </reference>
        </references>
      </pivotArea>
    </format>
    <format dxfId="664">
      <pivotArea dataOnly="0" labelOnly="1" outline="0" fieldPosition="0">
        <references count="8">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x v="10"/>
          </reference>
        </references>
      </pivotArea>
    </format>
    <format dxfId="663">
      <pivotArea dataOnly="0" labelOnly="1" outline="0" fieldPosition="0">
        <references count="8">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662">
      <pivotArea dataOnly="0" labelOnly="1" outline="0" fieldPosition="0">
        <references count="8">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x v="39"/>
          </reference>
        </references>
      </pivotArea>
    </format>
    <format dxfId="661">
      <pivotArea dataOnly="0" labelOnly="1" outline="0" fieldPosition="0">
        <references count="8">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x v="43"/>
          </reference>
        </references>
      </pivotArea>
    </format>
    <format dxfId="660">
      <pivotArea dataOnly="0" labelOnly="1" outline="0" fieldPosition="0">
        <references count="8">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659">
      <pivotArea dataOnly="0" labelOnly="1" outline="0" fieldPosition="0">
        <references count="8">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658">
      <pivotArea dataOnly="0" labelOnly="1" outline="0" fieldPosition="0">
        <references count="8">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657">
      <pivotArea dataOnly="0" labelOnly="1" outline="0" fieldPosition="0">
        <references count="8">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x v="37"/>
          </reference>
        </references>
      </pivotArea>
    </format>
    <format dxfId="656">
      <pivotArea dataOnly="0" labelOnly="1" outline="0" fieldPosition="0">
        <references count="8">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x v="15"/>
          </reference>
        </references>
      </pivotArea>
    </format>
    <format dxfId="655">
      <pivotArea dataOnly="0" labelOnly="1" outline="0" fieldPosition="0">
        <references count="8">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654">
      <pivotArea dataOnly="0" labelOnly="1" outline="0" fieldPosition="0">
        <references count="8">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x v="23"/>
          </reference>
        </references>
      </pivotArea>
    </format>
    <format dxfId="653">
      <pivotArea dataOnly="0" labelOnly="1" outline="0" fieldPosition="0">
        <references count="8">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652">
      <pivotArea dataOnly="0" labelOnly="1" outline="0" fieldPosition="0">
        <references count="8">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x v="36"/>
          </reference>
        </references>
      </pivotArea>
    </format>
    <format dxfId="651">
      <pivotArea dataOnly="0" labelOnly="1" outline="0" fieldPosition="0">
        <references count="8">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x v="9"/>
          </reference>
        </references>
      </pivotArea>
    </format>
    <format dxfId="650">
      <pivotArea dataOnly="0" labelOnly="1" outline="0" fieldPosition="0">
        <references count="8">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x v="15"/>
          </reference>
        </references>
      </pivotArea>
    </format>
    <format dxfId="649">
      <pivotArea dataOnly="0" labelOnly="1" outline="0" fieldPosition="0">
        <references count="8">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x v="47"/>
          </reference>
        </references>
      </pivotArea>
    </format>
    <format dxfId="648">
      <pivotArea dataOnly="0" labelOnly="1" outline="0" fieldPosition="0">
        <references count="8">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647">
      <pivotArea dataOnly="0" labelOnly="1" outline="0" fieldPosition="0">
        <references count="9">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selected="0">
            <x v="15"/>
          </reference>
          <reference field="16" count="1">
            <x v="63"/>
          </reference>
        </references>
      </pivotArea>
    </format>
    <format dxfId="646">
      <pivotArea dataOnly="0" labelOnly="1" outline="0" fieldPosition="0">
        <references count="9">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selected="0">
            <x v="14"/>
          </reference>
          <reference field="16" count="1">
            <x v="62"/>
          </reference>
        </references>
      </pivotArea>
    </format>
    <format dxfId="645">
      <pivotArea dataOnly="0" labelOnly="1" outline="0" fieldPosition="0">
        <references count="9">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644">
      <pivotArea dataOnly="0" labelOnly="1" outline="0" fieldPosition="0">
        <references count="9">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63"/>
          </reference>
        </references>
      </pivotArea>
    </format>
    <format dxfId="643">
      <pivotArea dataOnly="0" labelOnly="1" outline="0" fieldPosition="0">
        <references count="9">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642">
      <pivotArea dataOnly="0" labelOnly="1" outline="0" fieldPosition="0">
        <references count="9">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selected="0">
            <x v="15"/>
          </reference>
          <reference field="16" count="1">
            <x v="63"/>
          </reference>
        </references>
      </pivotArea>
    </format>
    <format dxfId="641">
      <pivotArea dataOnly="0" labelOnly="1" outline="0" fieldPosition="0">
        <references count="9">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selected="0">
            <x v="14"/>
          </reference>
          <reference field="16" count="1">
            <x v="0"/>
          </reference>
        </references>
      </pivotArea>
    </format>
    <format dxfId="640">
      <pivotArea dataOnly="0" labelOnly="1" outline="0" fieldPosition="0">
        <references count="9">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selected="0">
            <x v="21"/>
          </reference>
          <reference field="16" count="1">
            <x v="7"/>
          </reference>
        </references>
      </pivotArea>
    </format>
    <format dxfId="639">
      <pivotArea dataOnly="0" labelOnly="1" outline="0" fieldPosition="0">
        <references count="9">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selected="0">
            <x v="45"/>
          </reference>
          <reference field="16" count="1">
            <x v="4"/>
          </reference>
        </references>
      </pivotArea>
    </format>
    <format dxfId="638">
      <pivotArea dataOnly="0" labelOnly="1" outline="0" fieldPosition="0">
        <references count="9">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selected="0">
            <x v="0"/>
          </reference>
          <reference field="16" count="1">
            <x v="0"/>
          </reference>
        </references>
      </pivotArea>
    </format>
    <format dxfId="637">
      <pivotArea dataOnly="0" labelOnly="1" outline="0" fieldPosition="0">
        <references count="9">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selected="0">
            <x v="23"/>
          </reference>
          <reference field="16" count="1">
            <x v="13"/>
          </reference>
        </references>
      </pivotArea>
    </format>
    <format dxfId="636">
      <pivotArea dataOnly="0" labelOnly="1" outline="0" fieldPosition="0">
        <references count="9">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selected="0">
            <x v="23"/>
          </reference>
          <reference field="16" count="1">
            <x v="2"/>
          </reference>
        </references>
      </pivotArea>
    </format>
    <format dxfId="635">
      <pivotArea dataOnly="0" labelOnly="1" outline="0" fieldPosition="0">
        <references count="9">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39"/>
          </reference>
        </references>
      </pivotArea>
    </format>
    <format dxfId="634">
      <pivotArea dataOnly="0" labelOnly="1" outline="0" fieldPosition="0">
        <references count="9">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40"/>
          </reference>
        </references>
      </pivotArea>
    </format>
    <format dxfId="633">
      <pivotArea dataOnly="0" labelOnly="1" outline="0" fieldPosition="0">
        <references count="9">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selected="0">
            <x v="16"/>
          </reference>
          <reference field="16" count="1">
            <x v="35"/>
          </reference>
        </references>
      </pivotArea>
    </format>
    <format dxfId="632">
      <pivotArea dataOnly="0" labelOnly="1" outline="0" fieldPosition="0">
        <references count="9">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selected="0">
            <x v="0"/>
          </reference>
          <reference field="16" count="1">
            <x v="0"/>
          </reference>
        </references>
      </pivotArea>
    </format>
    <format dxfId="631">
      <pivotArea dataOnly="0" labelOnly="1" outline="0" fieldPosition="0">
        <references count="9">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36"/>
          </reference>
        </references>
      </pivotArea>
    </format>
    <format dxfId="630">
      <pivotArea dataOnly="0" labelOnly="1" outline="0" fieldPosition="0">
        <references count="9">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629">
      <pivotArea dataOnly="0" labelOnly="1" outline="0" fieldPosition="0">
        <references count="9">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selected="0">
            <x v="22"/>
          </reference>
          <reference field="16" count="1">
            <x v="37"/>
          </reference>
        </references>
      </pivotArea>
    </format>
    <format dxfId="628">
      <pivotArea dataOnly="0" labelOnly="1" outline="0" fieldPosition="0">
        <references count="9">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selected="0">
            <x v="17"/>
          </reference>
          <reference field="16" count="1">
            <x v="0"/>
          </reference>
        </references>
      </pivotArea>
    </format>
    <format dxfId="627">
      <pivotArea dataOnly="0" labelOnly="1" outline="0" fieldPosition="0">
        <references count="9">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626">
      <pivotArea dataOnly="0" labelOnly="1" outline="0" fieldPosition="0">
        <references count="9">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selected="0">
            <x v="43"/>
          </reference>
          <reference field="16" count="1">
            <x v="0"/>
          </reference>
        </references>
      </pivotArea>
    </format>
    <format dxfId="625">
      <pivotArea dataOnly="0" labelOnly="1" outline="0" fieldPosition="0">
        <references count="9">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selected="0">
            <x v="40"/>
          </reference>
          <reference field="16" count="1">
            <x v="31"/>
          </reference>
        </references>
      </pivotArea>
    </format>
    <format dxfId="624">
      <pivotArea dataOnly="0" labelOnly="1" outline="0" fieldPosition="0">
        <references count="9">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selected="0">
            <x v="41"/>
          </reference>
          <reference field="16" count="1">
            <x v="32"/>
          </reference>
        </references>
      </pivotArea>
    </format>
    <format dxfId="623">
      <pivotArea dataOnly="0" labelOnly="1" outline="0" fieldPosition="0">
        <references count="9">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selected="0">
            <x v="0"/>
          </reference>
          <reference field="16" count="1">
            <x v="0"/>
          </reference>
        </references>
      </pivotArea>
    </format>
    <format dxfId="622">
      <pivotArea dataOnly="0" labelOnly="1" outline="0" fieldPosition="0">
        <references count="9">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2"/>
          </reference>
        </references>
      </pivotArea>
    </format>
    <format dxfId="621">
      <pivotArea dataOnly="0" labelOnly="1" outline="0" fieldPosition="0">
        <references count="9">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0"/>
          </reference>
        </references>
      </pivotArea>
    </format>
    <format dxfId="620">
      <pivotArea dataOnly="0" labelOnly="1" outline="0" fieldPosition="0">
        <references count="9">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selected="0">
            <x v="29"/>
          </reference>
          <reference field="16" count="1">
            <x v="0"/>
          </reference>
        </references>
      </pivotArea>
    </format>
    <format dxfId="619">
      <pivotArea dataOnly="0" labelOnly="1" outline="0" fieldPosition="0">
        <references count="9">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selected="0">
            <x v="26"/>
          </reference>
          <reference field="16" count="1">
            <x v="6"/>
          </reference>
        </references>
      </pivotArea>
    </format>
    <format dxfId="618">
      <pivotArea dataOnly="0" labelOnly="1" outline="0" fieldPosition="0">
        <references count="9">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selected="0">
            <x v="0"/>
          </reference>
          <reference field="16" count="1">
            <x v="59"/>
          </reference>
        </references>
      </pivotArea>
    </format>
    <format dxfId="617">
      <pivotArea dataOnly="0" labelOnly="1" outline="0" fieldPosition="0">
        <references count="9">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selected="0">
            <x v="29"/>
          </reference>
          <reference field="16" count="1">
            <x v="0"/>
          </reference>
        </references>
      </pivotArea>
    </format>
    <format dxfId="616">
      <pivotArea dataOnly="0" labelOnly="1" outline="0" fieldPosition="0">
        <references count="9">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selected="0">
            <x v="0"/>
          </reference>
          <reference field="16" count="1">
            <x v="52"/>
          </reference>
        </references>
      </pivotArea>
    </format>
    <format dxfId="615">
      <pivotArea dataOnly="0" labelOnly="1" outline="0" fieldPosition="0">
        <references count="9">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0"/>
          </reference>
        </references>
      </pivotArea>
    </format>
    <format dxfId="614">
      <pivotArea dataOnly="0" labelOnly="1" outline="0" fieldPosition="0">
        <references count="9">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2"/>
          </reference>
        </references>
      </pivotArea>
    </format>
    <format dxfId="613">
      <pivotArea dataOnly="0" labelOnly="1" outline="0" fieldPosition="0">
        <references count="9">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7"/>
          </reference>
        </references>
      </pivotArea>
    </format>
    <format dxfId="612">
      <pivotArea dataOnly="0" labelOnly="1" outline="0" fieldPosition="0">
        <references count="9">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selected="0">
            <x v="0"/>
          </reference>
          <reference field="16" count="1">
            <x v="52"/>
          </reference>
        </references>
      </pivotArea>
    </format>
    <format dxfId="611">
      <pivotArea dataOnly="0" labelOnly="1" outline="0" fieldPosition="0">
        <references count="9">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610">
      <pivotArea dataOnly="0" labelOnly="1" outline="0" fieldPosition="0">
        <references count="9">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selected="0">
            <x v="0"/>
          </reference>
          <reference field="16" count="1">
            <x v="20"/>
          </reference>
        </references>
      </pivotArea>
    </format>
    <format dxfId="609">
      <pivotArea dataOnly="0" labelOnly="1" outline="0" fieldPosition="0">
        <references count="9">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6"/>
          </reference>
        </references>
      </pivotArea>
    </format>
    <format dxfId="608">
      <pivotArea dataOnly="0" labelOnly="1" outline="0" fieldPosition="0">
        <references count="9">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5"/>
          </reference>
        </references>
      </pivotArea>
    </format>
    <format dxfId="607">
      <pivotArea dataOnly="0" labelOnly="1" outline="0" fieldPosition="0">
        <references count="9">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selected="0">
            <x v="0"/>
          </reference>
          <reference field="16" count="1">
            <x v="60"/>
          </reference>
        </references>
      </pivotArea>
    </format>
    <format dxfId="606">
      <pivotArea dataOnly="0" labelOnly="1" outline="0" fieldPosition="0">
        <references count="9">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selected="0">
            <x v="30"/>
          </reference>
          <reference field="16" count="1">
            <x v="49"/>
          </reference>
        </references>
      </pivotArea>
    </format>
    <format dxfId="605">
      <pivotArea dataOnly="0" labelOnly="1" outline="0" fieldPosition="0">
        <references count="9">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selected="0">
            <x v="30"/>
          </reference>
          <reference field="16" count="1">
            <x v="51"/>
          </reference>
        </references>
      </pivotArea>
    </format>
    <format dxfId="604">
      <pivotArea dataOnly="0" labelOnly="1" outline="0" fieldPosition="0">
        <references count="9">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selected="0">
            <x v="26"/>
          </reference>
          <reference field="16" count="1">
            <x v="0"/>
          </reference>
        </references>
      </pivotArea>
    </format>
    <format dxfId="603">
      <pivotArea dataOnly="0" labelOnly="1" outline="0" fieldPosition="0">
        <references count="9">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selected="0">
            <x v="0"/>
          </reference>
          <reference field="16" count="1">
            <x v="45"/>
          </reference>
        </references>
      </pivotArea>
    </format>
    <format dxfId="602">
      <pivotArea dataOnly="0" labelOnly="1" outline="0" fieldPosition="0">
        <references count="9">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selected="0">
            <x v="33"/>
          </reference>
          <reference field="16" count="1">
            <x v="0"/>
          </reference>
        </references>
      </pivotArea>
    </format>
    <format dxfId="601">
      <pivotArea dataOnly="0" labelOnly="1" outline="0" fieldPosition="0">
        <references count="9">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600">
      <pivotArea dataOnly="0" labelOnly="1" outline="0" fieldPosition="0">
        <references count="9">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selected="0">
            <x v="1"/>
          </reference>
          <reference field="16" count="1">
            <x v="28"/>
          </reference>
        </references>
      </pivotArea>
    </format>
    <format dxfId="599">
      <pivotArea dataOnly="0" labelOnly="1" outline="0" fieldPosition="0">
        <references count="9">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selected="0">
            <x v="8"/>
          </reference>
          <reference field="16" count="1">
            <x v="0"/>
          </reference>
        </references>
      </pivotArea>
    </format>
    <format dxfId="598">
      <pivotArea dataOnly="0" labelOnly="1" outline="0" fieldPosition="0">
        <references count="9">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selected="0">
            <x v="8"/>
          </reference>
          <reference field="16" count="1">
            <x v="5"/>
          </reference>
        </references>
      </pivotArea>
    </format>
    <format dxfId="597">
      <pivotArea dataOnly="0" labelOnly="1" outline="0" fieldPosition="0">
        <references count="9">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selected="0">
            <x v="7"/>
          </reference>
          <reference field="16" count="1">
            <x v="0"/>
          </reference>
        </references>
      </pivotArea>
    </format>
    <format dxfId="596">
      <pivotArea dataOnly="0" labelOnly="1" outline="0" fieldPosition="0">
        <references count="9">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selected="0">
            <x v="19"/>
          </reference>
          <reference field="16" count="1">
            <x v="58"/>
          </reference>
        </references>
      </pivotArea>
    </format>
    <format dxfId="595">
      <pivotArea dataOnly="0" labelOnly="1" outline="0" fieldPosition="0">
        <references count="9">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selected="0">
            <x v="18"/>
          </reference>
          <reference field="16" count="1">
            <x v="54"/>
          </reference>
        </references>
      </pivotArea>
    </format>
    <format dxfId="594">
      <pivotArea dataOnly="0" labelOnly="1" outline="0" fieldPosition="0">
        <references count="9">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selected="0">
            <x v="30"/>
          </reference>
          <reference field="16" count="1">
            <x v="50"/>
          </reference>
        </references>
      </pivotArea>
    </format>
    <format dxfId="593">
      <pivotArea dataOnly="0" labelOnly="1" outline="0" fieldPosition="0">
        <references count="9">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selected="0">
            <x v="38"/>
          </reference>
          <reference field="16" count="1">
            <x v="0"/>
          </reference>
        </references>
      </pivotArea>
    </format>
    <format dxfId="592">
      <pivotArea dataOnly="0" labelOnly="1" outline="0" fieldPosition="0">
        <references count="9">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22"/>
          </reference>
        </references>
      </pivotArea>
    </format>
    <format dxfId="591">
      <pivotArea dataOnly="0" labelOnly="1" outline="0" fieldPosition="0">
        <references count="9">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selected="0">
            <x v="39"/>
          </reference>
          <reference field="16" count="1">
            <x v="0"/>
          </reference>
        </references>
      </pivotArea>
    </format>
    <format dxfId="590">
      <pivotArea dataOnly="0" labelOnly="1" outline="0" fieldPosition="0">
        <references count="9">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selected="0">
            <x v="43"/>
          </reference>
          <reference field="16" count="1">
            <x v="42"/>
          </reference>
        </references>
      </pivotArea>
    </format>
    <format dxfId="589">
      <pivotArea dataOnly="0" labelOnly="1" outline="0" fieldPosition="0">
        <references count="9">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46"/>
          </reference>
        </references>
      </pivotArea>
    </format>
    <format dxfId="588">
      <pivotArea dataOnly="0" labelOnly="1" outline="0" fieldPosition="0">
        <references count="9">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45"/>
          </reference>
        </references>
      </pivotArea>
    </format>
    <format dxfId="587">
      <pivotArea dataOnly="0" labelOnly="1" outline="0" fieldPosition="0">
        <references count="9">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0"/>
          </reference>
        </references>
      </pivotArea>
    </format>
    <format dxfId="586">
      <pivotArea dataOnly="0" labelOnly="1" outline="0" fieldPosition="0">
        <references count="9">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selected="0">
            <x v="37"/>
          </reference>
          <reference field="16" count="1">
            <x v="61"/>
          </reference>
        </references>
      </pivotArea>
    </format>
    <format dxfId="585">
      <pivotArea dataOnly="0" labelOnly="1" outline="0" fieldPosition="0">
        <references count="9">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selected="0">
            <x v="37"/>
          </reference>
          <reference field="16" count="1">
            <x v="0"/>
          </reference>
        </references>
      </pivotArea>
    </format>
    <format dxfId="584">
      <pivotArea dataOnly="0" labelOnly="1" outline="0" fieldPosition="0">
        <references count="9">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4"/>
          </reference>
        </references>
      </pivotArea>
    </format>
    <format dxfId="583">
      <pivotArea dataOnly="0" labelOnly="1" outline="0" fieldPosition="0">
        <references count="9">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6"/>
          </reference>
        </references>
      </pivotArea>
    </format>
    <format dxfId="582">
      <pivotArea dataOnly="0" labelOnly="1" outline="0" fieldPosition="0">
        <references count="9">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selected="0">
            <x v="23"/>
          </reference>
          <reference field="16" count="1">
            <x v="14"/>
          </reference>
        </references>
      </pivotArea>
    </format>
    <format dxfId="581">
      <pivotArea dataOnly="0" labelOnly="1" outline="0" fieldPosition="0">
        <references count="9">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0"/>
          </reference>
        </references>
      </pivotArea>
    </format>
    <format dxfId="580">
      <pivotArea dataOnly="0" labelOnly="1" outline="0" fieldPosition="0">
        <references count="9">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selected="0">
            <x v="36"/>
          </reference>
          <reference field="16" count="1">
            <x v="30"/>
          </reference>
        </references>
      </pivotArea>
    </format>
    <format dxfId="579">
      <pivotArea dataOnly="0" labelOnly="1" outline="0" fieldPosition="0">
        <references count="9">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selected="0">
            <x v="9"/>
          </reference>
          <reference field="16" count="1">
            <x v="18"/>
          </reference>
        </references>
      </pivotArea>
    </format>
    <format dxfId="578">
      <pivotArea dataOnly="0" labelOnly="1" outline="0" fieldPosition="0">
        <references count="9">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selected="0">
            <x v="15"/>
          </reference>
          <reference field="16" count="1">
            <x v="27"/>
          </reference>
        </references>
      </pivotArea>
    </format>
    <format dxfId="577">
      <pivotArea dataOnly="0" labelOnly="1" outline="0" fieldPosition="0">
        <references count="9">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selected="0">
            <x v="15"/>
          </reference>
          <reference field="16" count="1">
            <x v="0"/>
          </reference>
        </references>
      </pivotArea>
    </format>
    <format dxfId="576">
      <pivotArea dataOnly="0" labelOnly="1" outline="0" fieldPosition="0">
        <references count="9">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selected="0">
            <x v="15"/>
          </reference>
          <reference field="16" count="1">
            <x v="43"/>
          </reference>
        </references>
      </pivotArea>
    </format>
    <format dxfId="575">
      <pivotArea dataOnly="0" labelOnly="1" outline="0" fieldPosition="0">
        <references count="9">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selected="0">
            <x v="15"/>
          </reference>
          <reference field="16" count="1">
            <x v="47"/>
          </reference>
        </references>
      </pivotArea>
    </format>
    <format dxfId="574">
      <pivotArea dataOnly="0" labelOnly="1" outline="0" fieldPosition="0">
        <references count="9">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selected="0">
            <x v="15"/>
          </reference>
          <reference field="16" count="1">
            <x v="0"/>
          </reference>
        </references>
      </pivotArea>
    </format>
    <format dxfId="573">
      <pivotArea dataOnly="0" labelOnly="1" outline="0" fieldPosition="0">
        <references count="9">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selected="0">
            <x v="15"/>
          </reference>
          <reference field="16" count="1">
            <x v="41"/>
          </reference>
        </references>
      </pivotArea>
    </format>
    <format dxfId="572">
      <pivotArea dataOnly="0" labelOnly="1" outline="0" fieldPosition="0">
        <references count="9">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selected="0">
            <x v="15"/>
          </reference>
          <reference field="16" count="1">
            <x v="16"/>
          </reference>
        </references>
      </pivotArea>
    </format>
    <format dxfId="571">
      <pivotArea dataOnly="0" labelOnly="1" outline="0" fieldPosition="0">
        <references count="9">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selected="0">
            <x v="15"/>
          </reference>
          <reference field="16" count="1">
            <x v="3"/>
          </reference>
        </references>
      </pivotArea>
    </format>
    <format dxfId="570">
      <pivotArea dataOnly="0" labelOnly="1" outline="0" fieldPosition="0">
        <references count="9">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selected="0">
            <x v="15"/>
          </reference>
          <reference field="16" count="1">
            <x v="36"/>
          </reference>
        </references>
      </pivotArea>
    </format>
    <format dxfId="569">
      <pivotArea dataOnly="0" labelOnly="1" outline="0" fieldPosition="0">
        <references count="9">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selected="0">
            <x v="15"/>
          </reference>
          <reference field="16" count="1">
            <x v="0"/>
          </reference>
        </references>
      </pivotArea>
    </format>
    <format dxfId="568">
      <pivotArea dataOnly="0" labelOnly="1" outline="0" fieldPosition="0">
        <references count="9">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selected="0">
            <x v="15"/>
          </reference>
          <reference field="16" count="1">
            <x v="7"/>
          </reference>
        </references>
      </pivotArea>
    </format>
    <format dxfId="567">
      <pivotArea dataOnly="0" labelOnly="1" outline="0" fieldPosition="0">
        <references count="9">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selected="0">
            <x v="15"/>
          </reference>
          <reference field="16" count="1">
            <x v="9"/>
          </reference>
        </references>
      </pivotArea>
    </format>
    <format dxfId="566">
      <pivotArea dataOnly="0" labelOnly="1" outline="0" fieldPosition="0">
        <references count="9">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selected="0">
            <x v="15"/>
          </reference>
          <reference field="16" count="1">
            <x v="7"/>
          </reference>
        </references>
      </pivotArea>
    </format>
    <format dxfId="565">
      <pivotArea dataOnly="0" labelOnly="1" outline="0" fieldPosition="0">
        <references count="9">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selected="0">
            <x v="15"/>
          </reference>
          <reference field="16" count="1">
            <x v="28"/>
          </reference>
        </references>
      </pivotArea>
    </format>
    <format dxfId="564">
      <pivotArea dataOnly="0" labelOnly="1" outline="0" fieldPosition="0">
        <references count="9">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selected="0">
            <x v="15"/>
          </reference>
          <reference field="16" count="1">
            <x v="29"/>
          </reference>
        </references>
      </pivotArea>
    </format>
    <format dxfId="563">
      <pivotArea dataOnly="0" labelOnly="1" outline="0" fieldPosition="0">
        <references count="9">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562">
      <pivotArea dataOnly="0" labelOnly="1" outline="0" fieldPosition="0">
        <references count="9">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selected="0">
            <x v="15"/>
          </reference>
          <reference field="16" count="1">
            <x v="19"/>
          </reference>
        </references>
      </pivotArea>
    </format>
    <format dxfId="561">
      <pivotArea dataOnly="0" labelOnly="1" outline="0" fieldPosition="0">
        <references count="9">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selected="0">
            <x v="15"/>
          </reference>
          <reference field="16" count="1">
            <x v="48"/>
          </reference>
        </references>
      </pivotArea>
    </format>
    <format dxfId="560">
      <pivotArea dataOnly="0" labelOnly="1" outline="0" fieldPosition="0">
        <references count="9">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selected="0">
            <x v="15"/>
          </reference>
          <reference field="16" count="1">
            <x v="0"/>
          </reference>
        </references>
      </pivotArea>
    </format>
    <format dxfId="559">
      <pivotArea dataOnly="0" labelOnly="1" outline="0" fieldPosition="0">
        <references count="9">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selected="0">
            <x v="47"/>
          </reference>
          <reference field="16" count="1">
            <x v="65"/>
          </reference>
        </references>
      </pivotArea>
    </format>
    <format dxfId="558">
      <pivotArea dataOnly="0" labelOnly="1" outline="0" fieldPosition="0">
        <references count="9">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 dxfId="557">
      <pivotArea dataOnly="0" labelOnly="1" outline="0" fieldPosition="0">
        <references count="1">
          <reference field="3" count="0"/>
        </references>
      </pivotArea>
    </format>
    <format dxfId="556">
      <pivotArea dataOnly="0" labelOnly="1" outline="0" fieldPosition="0">
        <references count="5">
          <reference field="0" count="1" selected="0">
            <x v="0"/>
          </reference>
          <reference field="1" count="1" selected="0">
            <x v="228"/>
          </reference>
          <reference field="2" count="1" selected="0">
            <x v="153"/>
          </reference>
          <reference field="3" count="1" selected="0">
            <x v="0"/>
          </reference>
          <reference field="12" count="1">
            <x v="7"/>
          </reference>
        </references>
      </pivotArea>
    </format>
    <format dxfId="555">
      <pivotArea dataOnly="0" labelOnly="1" outline="0" fieldPosition="0">
        <references count="5">
          <reference field="0" count="1" selected="0">
            <x v="3"/>
          </reference>
          <reference field="1" count="1" selected="0">
            <x v="231"/>
          </reference>
          <reference field="2" count="1" selected="0">
            <x v="88"/>
          </reference>
          <reference field="3" count="1" selected="0">
            <x v="0"/>
          </reference>
          <reference field="12" count="1">
            <x v="3"/>
          </reference>
        </references>
      </pivotArea>
    </format>
    <format dxfId="554">
      <pivotArea dataOnly="0" labelOnly="1" outline="0" fieldPosition="0">
        <references count="5">
          <reference field="0" count="1" selected="0">
            <x v="5"/>
          </reference>
          <reference field="1" count="1" selected="0">
            <x v="233"/>
          </reference>
          <reference field="2" count="1" selected="0">
            <x v="224"/>
          </reference>
          <reference field="3" count="1" selected="0">
            <x v="0"/>
          </reference>
          <reference field="12" count="1">
            <x v="7"/>
          </reference>
        </references>
      </pivotArea>
    </format>
    <format dxfId="553">
      <pivotArea dataOnly="0" labelOnly="1" outline="0" fieldPosition="0">
        <references count="5">
          <reference field="0" count="1" selected="0">
            <x v="7"/>
          </reference>
          <reference field="1" count="1" selected="0">
            <x v="118"/>
          </reference>
          <reference field="2" count="1" selected="0">
            <x v="171"/>
          </reference>
          <reference field="3" count="1" selected="0">
            <x v="0"/>
          </reference>
          <reference field="12" count="1">
            <x v="0"/>
          </reference>
        </references>
      </pivotArea>
    </format>
    <format dxfId="552">
      <pivotArea dataOnly="0" labelOnly="1" outline="0" fieldPosition="0">
        <references count="5">
          <reference field="0" count="1" selected="0">
            <x v="16"/>
          </reference>
          <reference field="1" count="1" selected="0">
            <x v="64"/>
          </reference>
          <reference field="2" count="1" selected="0">
            <x v="157"/>
          </reference>
          <reference field="3" count="1" selected="0">
            <x v="0"/>
          </reference>
          <reference field="12" count="1">
            <x v="7"/>
          </reference>
        </references>
      </pivotArea>
    </format>
    <format dxfId="551">
      <pivotArea dataOnly="0" labelOnly="1" outline="0" fieldPosition="0">
        <references count="5">
          <reference field="0" count="1" selected="0">
            <x v="22"/>
          </reference>
          <reference field="1" count="1" selected="0">
            <x v="19"/>
          </reference>
          <reference field="2" count="1" selected="0">
            <x v="39"/>
          </reference>
          <reference field="3" count="1" selected="0">
            <x v="0"/>
          </reference>
          <reference field="12" count="1">
            <x v="9"/>
          </reference>
        </references>
      </pivotArea>
    </format>
    <format dxfId="550">
      <pivotArea dataOnly="0" labelOnly="1" outline="0" fieldPosition="0">
        <references count="5">
          <reference field="0" count="1" selected="0">
            <x v="26"/>
          </reference>
          <reference field="1" count="1" selected="0">
            <x v="23"/>
          </reference>
          <reference field="2" count="1" selected="0">
            <x v="217"/>
          </reference>
          <reference field="3" count="1" selected="0">
            <x v="0"/>
          </reference>
          <reference field="12" count="1">
            <x v="5"/>
          </reference>
        </references>
      </pivotArea>
    </format>
    <format dxfId="549">
      <pivotArea dataOnly="0" labelOnly="1" outline="0" fieldPosition="0">
        <references count="5">
          <reference field="0" count="1" selected="0">
            <x v="28"/>
          </reference>
          <reference field="1" count="1" selected="0">
            <x v="25"/>
          </reference>
          <reference field="2" count="1" selected="0">
            <x v="52"/>
          </reference>
          <reference field="3" count="1" selected="0">
            <x v="0"/>
          </reference>
          <reference field="12" count="1">
            <x v="0"/>
          </reference>
        </references>
      </pivotArea>
    </format>
    <format dxfId="548">
      <pivotArea dataOnly="0" labelOnly="1" outline="0" fieldPosition="0">
        <references count="5">
          <reference field="0" count="1" selected="0">
            <x v="29"/>
          </reference>
          <reference field="1" count="1" selected="0">
            <x v="26"/>
          </reference>
          <reference field="2" count="1" selected="0">
            <x v="62"/>
          </reference>
          <reference field="3" count="1" selected="0">
            <x v="0"/>
          </reference>
          <reference field="12" count="1">
            <x v="15"/>
          </reference>
        </references>
      </pivotArea>
    </format>
    <format dxfId="547">
      <pivotArea dataOnly="0" labelOnly="1" outline="0" fieldPosition="0">
        <references count="5">
          <reference field="0" count="1" selected="0">
            <x v="31"/>
          </reference>
          <reference field="1" count="1" selected="0">
            <x v="28"/>
          </reference>
          <reference field="2" count="1" selected="0">
            <x v="53"/>
          </reference>
          <reference field="3" count="1" selected="0">
            <x v="0"/>
          </reference>
          <reference field="12" count="1">
            <x v="7"/>
          </reference>
        </references>
      </pivotArea>
    </format>
    <format dxfId="546">
      <pivotArea dataOnly="0" labelOnly="1" outline="0" fieldPosition="0">
        <references count="5">
          <reference field="0" count="1" selected="0">
            <x v="35"/>
          </reference>
          <reference field="1" count="1" selected="0">
            <x v="32"/>
          </reference>
          <reference field="2" count="1" selected="0">
            <x v="51"/>
          </reference>
          <reference field="3" count="1" selected="0">
            <x v="0"/>
          </reference>
          <reference field="12" count="1">
            <x v="9"/>
          </reference>
        </references>
      </pivotArea>
    </format>
    <format dxfId="545">
      <pivotArea dataOnly="0" labelOnly="1" outline="0" fieldPosition="0">
        <references count="5">
          <reference field="0" count="1" selected="0">
            <x v="36"/>
          </reference>
          <reference field="1" count="1" selected="0">
            <x v="33"/>
          </reference>
          <reference field="2" count="1" selected="0">
            <x v="130"/>
          </reference>
          <reference field="3" count="1" selected="0">
            <x v="0"/>
          </reference>
          <reference field="12" count="1">
            <x v="22"/>
          </reference>
        </references>
      </pivotArea>
    </format>
    <format dxfId="544">
      <pivotArea dataOnly="0" labelOnly="1" outline="0" fieldPosition="0">
        <references count="5">
          <reference field="0" count="1" selected="0">
            <x v="37"/>
          </reference>
          <reference field="1" count="1" selected="0">
            <x v="34"/>
          </reference>
          <reference field="2" count="1" selected="0">
            <x v="70"/>
          </reference>
          <reference field="3" count="1" selected="0">
            <x v="0"/>
          </reference>
          <reference field="12" count="1">
            <x v="10"/>
          </reference>
        </references>
      </pivotArea>
    </format>
    <format dxfId="543">
      <pivotArea dataOnly="0" labelOnly="1" outline="0" fieldPosition="0">
        <references count="5">
          <reference field="0" count="1" selected="0">
            <x v="55"/>
          </reference>
          <reference field="1" count="1" selected="0">
            <x v="35"/>
          </reference>
          <reference field="2" count="1" selected="0">
            <x v="65"/>
          </reference>
          <reference field="3" count="1" selected="0">
            <x v="0"/>
          </reference>
          <reference field="12" count="1">
            <x v="3"/>
          </reference>
        </references>
      </pivotArea>
    </format>
    <format dxfId="542">
      <pivotArea dataOnly="0" labelOnly="1" outline="0" fieldPosition="0">
        <references count="5">
          <reference field="0" count="1" selected="0">
            <x v="81"/>
          </reference>
          <reference field="1" count="1" selected="0">
            <x v="68"/>
          </reference>
          <reference field="2" count="1" selected="0">
            <x v="112"/>
          </reference>
          <reference field="3" count="1" selected="0">
            <x v="0"/>
          </reference>
          <reference field="12" count="1">
            <x v="0"/>
          </reference>
        </references>
      </pivotArea>
    </format>
    <format dxfId="541">
      <pivotArea dataOnly="0" labelOnly="1" outline="0" fieldPosition="0">
        <references count="5">
          <reference field="0" count="1" selected="0">
            <x v="82"/>
          </reference>
          <reference field="1" count="1" selected="0">
            <x v="69"/>
          </reference>
          <reference field="2" count="1" selected="0">
            <x v="226"/>
          </reference>
          <reference field="3" count="1" selected="0">
            <x v="0"/>
          </reference>
          <reference field="12" count="1">
            <x v="5"/>
          </reference>
        </references>
      </pivotArea>
    </format>
    <format dxfId="540">
      <pivotArea dataOnly="0" labelOnly="1" outline="0" fieldPosition="0">
        <references count="5">
          <reference field="0" count="1" selected="0">
            <x v="84"/>
          </reference>
          <reference field="1" count="1" selected="0">
            <x v="71"/>
          </reference>
          <reference field="2" count="1" selected="0">
            <x v="192"/>
          </reference>
          <reference field="3" count="1" selected="0">
            <x v="0"/>
          </reference>
          <reference field="12" count="1">
            <x v="7"/>
          </reference>
        </references>
      </pivotArea>
    </format>
    <format dxfId="539">
      <pivotArea dataOnly="0" labelOnly="1" outline="0" fieldPosition="0">
        <references count="5">
          <reference field="0" count="1" selected="0">
            <x v="88"/>
          </reference>
          <reference field="1" count="1" selected="0">
            <x v="75"/>
          </reference>
          <reference field="2" count="1" selected="0">
            <x v="38"/>
          </reference>
          <reference field="3" count="1" selected="0">
            <x v="0"/>
          </reference>
          <reference field="12" count="1">
            <x v="2"/>
          </reference>
        </references>
      </pivotArea>
    </format>
    <format dxfId="538">
      <pivotArea dataOnly="0" labelOnly="1" outline="0" fieldPosition="0">
        <references count="5">
          <reference field="0" count="1" selected="0">
            <x v="89"/>
          </reference>
          <reference field="1" count="1" selected="0">
            <x v="76"/>
          </reference>
          <reference field="2" count="1" selected="0">
            <x v="232"/>
          </reference>
          <reference field="3" count="1" selected="0">
            <x v="0"/>
          </reference>
          <reference field="12" count="1">
            <x v="7"/>
          </reference>
        </references>
      </pivotArea>
    </format>
    <format dxfId="537">
      <pivotArea dataOnly="0" labelOnly="1" outline="0" fieldPosition="0">
        <references count="5">
          <reference field="0" count="1" selected="0">
            <x v="95"/>
          </reference>
          <reference field="1" count="1" selected="0">
            <x v="82"/>
          </reference>
          <reference field="2" count="1" selected="0">
            <x v="5"/>
          </reference>
          <reference field="3" count="1" selected="0">
            <x v="0"/>
          </reference>
          <reference field="12" count="1">
            <x v="1"/>
          </reference>
        </references>
      </pivotArea>
    </format>
    <format dxfId="536">
      <pivotArea dataOnly="0" labelOnly="1" outline="0" fieldPosition="0">
        <references count="5">
          <reference field="0" count="1" selected="0">
            <x v="96"/>
          </reference>
          <reference field="1" count="1" selected="0">
            <x v="83"/>
          </reference>
          <reference field="2" count="1" selected="0">
            <x v="173"/>
          </reference>
          <reference field="3" count="1" selected="0">
            <x v="0"/>
          </reference>
          <reference field="12" count="1">
            <x v="3"/>
          </reference>
        </references>
      </pivotArea>
    </format>
    <format dxfId="535">
      <pivotArea dataOnly="0" labelOnly="1" outline="0" fieldPosition="0">
        <references count="5">
          <reference field="0" count="1" selected="0">
            <x v="105"/>
          </reference>
          <reference field="1" count="1" selected="0">
            <x v="92"/>
          </reference>
          <reference field="2" count="1" selected="0">
            <x v="134"/>
          </reference>
          <reference field="3" count="1" selected="0">
            <x v="0"/>
          </reference>
          <reference field="12" count="1">
            <x v="7"/>
          </reference>
        </references>
      </pivotArea>
    </format>
    <format dxfId="534">
      <pivotArea dataOnly="0" labelOnly="1" outline="0" fieldPosition="0">
        <references count="5">
          <reference field="0" count="1" selected="0">
            <x v="122"/>
          </reference>
          <reference field="1" count="1" selected="0">
            <x v="109"/>
          </reference>
          <reference field="2" count="1" selected="0">
            <x v="35"/>
          </reference>
          <reference field="3" count="1" selected="0">
            <x v="0"/>
          </reference>
          <reference field="12" count="1">
            <x v="3"/>
          </reference>
        </references>
      </pivotArea>
    </format>
    <format dxfId="533">
      <pivotArea dataOnly="0" labelOnly="1" outline="0" fieldPosition="0">
        <references count="5">
          <reference field="0" count="1" selected="0">
            <x v="123"/>
          </reference>
          <reference field="1" count="1" selected="0">
            <x v="110"/>
          </reference>
          <reference field="2" count="1" selected="0">
            <x v="176"/>
          </reference>
          <reference field="3" count="1" selected="0">
            <x v="0"/>
          </reference>
          <reference field="12" count="1">
            <x v="5"/>
          </reference>
        </references>
      </pivotArea>
    </format>
    <format dxfId="532">
      <pivotArea dataOnly="0" labelOnly="1" outline="0" fieldPosition="0">
        <references count="5">
          <reference field="0" count="1" selected="0">
            <x v="124"/>
          </reference>
          <reference field="1" count="1" selected="0">
            <x v="111"/>
          </reference>
          <reference field="2" count="1" selected="0">
            <x v="218"/>
          </reference>
          <reference field="3" count="1" selected="0">
            <x v="0"/>
          </reference>
          <reference field="12" count="1">
            <x v="0"/>
          </reference>
        </references>
      </pivotArea>
    </format>
    <format dxfId="531">
      <pivotArea dataOnly="0" labelOnly="1" outline="0" fieldPosition="0">
        <references count="5">
          <reference field="0" count="1" selected="0">
            <x v="125"/>
          </reference>
          <reference field="1" count="1" selected="0">
            <x v="112"/>
          </reference>
          <reference field="2" count="1" selected="0">
            <x v="197"/>
          </reference>
          <reference field="3" count="1" selected="0">
            <x v="0"/>
          </reference>
          <reference field="12" count="1">
            <x v="3"/>
          </reference>
        </references>
      </pivotArea>
    </format>
    <format dxfId="530">
      <pivotArea dataOnly="0" labelOnly="1" outline="0" fieldPosition="0">
        <references count="5">
          <reference field="0" count="1" selected="0">
            <x v="126"/>
          </reference>
          <reference field="1" count="1" selected="0">
            <x v="113"/>
          </reference>
          <reference field="2" count="1" selected="0">
            <x v="191"/>
          </reference>
          <reference field="3" count="1" selected="0">
            <x v="0"/>
          </reference>
          <reference field="12" count="1">
            <x v="0"/>
          </reference>
        </references>
      </pivotArea>
    </format>
    <format dxfId="529">
      <pivotArea dataOnly="0" labelOnly="1" outline="0" fieldPosition="0">
        <references count="5">
          <reference field="0" count="1" selected="0">
            <x v="129"/>
          </reference>
          <reference field="1" count="1" selected="0">
            <x v="116"/>
          </reference>
          <reference field="2" count="1" selected="0">
            <x v="212"/>
          </reference>
          <reference field="3" count="1" selected="0">
            <x v="0"/>
          </reference>
          <reference field="12" count="1">
            <x v="3"/>
          </reference>
        </references>
      </pivotArea>
    </format>
    <format dxfId="528">
      <pivotArea dataOnly="0" labelOnly="1" outline="0" fieldPosition="0">
        <references count="5">
          <reference field="0" count="1" selected="0">
            <x v="130"/>
          </reference>
          <reference field="1" count="1" selected="0">
            <x v="117"/>
          </reference>
          <reference field="2" count="1" selected="0">
            <x v="118"/>
          </reference>
          <reference field="3" count="1" selected="0">
            <x v="0"/>
          </reference>
          <reference field="12" count="1">
            <x v="7"/>
          </reference>
        </references>
      </pivotArea>
    </format>
    <format dxfId="527">
      <pivotArea dataOnly="0" labelOnly="1" outline="0" fieldPosition="0">
        <references count="5">
          <reference field="0" count="1" selected="0">
            <x v="134"/>
          </reference>
          <reference field="1" count="1" selected="0">
            <x v="127"/>
          </reference>
          <reference field="2" count="1" selected="0">
            <x v="2"/>
          </reference>
          <reference field="3" count="1" selected="0">
            <x v="0"/>
          </reference>
          <reference field="12" count="1">
            <x v="4"/>
          </reference>
        </references>
      </pivotArea>
    </format>
    <format dxfId="526">
      <pivotArea dataOnly="0" labelOnly="1" outline="0" fieldPosition="0">
        <references count="5">
          <reference field="0" count="1" selected="0">
            <x v="135"/>
          </reference>
          <reference field="1" count="1" selected="0">
            <x v="128"/>
          </reference>
          <reference field="2" count="1" selected="0">
            <x v="151"/>
          </reference>
          <reference field="3" count="1" selected="0">
            <x v="0"/>
          </reference>
          <reference field="12" count="1">
            <x v="3"/>
          </reference>
        </references>
      </pivotArea>
    </format>
    <format dxfId="525">
      <pivotArea dataOnly="0" labelOnly="1" outline="0" fieldPosition="0">
        <references count="5">
          <reference field="0" count="1" selected="0">
            <x v="144"/>
          </reference>
          <reference field="1" count="1" selected="0">
            <x v="137"/>
          </reference>
          <reference field="2" count="1" selected="0">
            <x v="79"/>
          </reference>
          <reference field="3" count="1" selected="0">
            <x v="0"/>
          </reference>
          <reference field="12" count="1">
            <x v="0"/>
          </reference>
        </references>
      </pivotArea>
    </format>
    <format dxfId="524">
      <pivotArea dataOnly="0" labelOnly="1" outline="0" fieldPosition="0">
        <references count="5">
          <reference field="0" count="1" selected="0">
            <x v="146"/>
          </reference>
          <reference field="1" count="1" selected="0">
            <x v="139"/>
          </reference>
          <reference field="2" count="1" selected="0">
            <x v="30"/>
          </reference>
          <reference field="3" count="1" selected="0">
            <x v="0"/>
          </reference>
          <reference field="12" count="1">
            <x v="26"/>
          </reference>
        </references>
      </pivotArea>
    </format>
    <format dxfId="523">
      <pivotArea dataOnly="0" labelOnly="1" outline="0" fieldPosition="0">
        <references count="5">
          <reference field="0" count="1" selected="0">
            <x v="149"/>
          </reference>
          <reference field="1" count="1" selected="0">
            <x v="142"/>
          </reference>
          <reference field="2" count="1" selected="0">
            <x v="165"/>
          </reference>
          <reference field="3" count="1" selected="0">
            <x v="0"/>
          </reference>
          <reference field="12" count="1">
            <x v="14"/>
          </reference>
        </references>
      </pivotArea>
    </format>
    <format dxfId="522">
      <pivotArea dataOnly="0" labelOnly="1" outline="0" fieldPosition="0">
        <references count="5">
          <reference field="0" count="1" selected="0">
            <x v="155"/>
          </reference>
          <reference field="1" count="1" selected="0">
            <x v="148"/>
          </reference>
          <reference field="2" count="1" selected="0">
            <x v="3"/>
          </reference>
          <reference field="3" count="1" selected="0">
            <x v="0"/>
          </reference>
          <reference field="12" count="1">
            <x v="23"/>
          </reference>
        </references>
      </pivotArea>
    </format>
    <format dxfId="521">
      <pivotArea dataOnly="0" labelOnly="1" outline="0" fieldPosition="0">
        <references count="5">
          <reference field="0" count="1" selected="0">
            <x v="159"/>
          </reference>
          <reference field="1" count="1" selected="0">
            <x v="183"/>
          </reference>
          <reference field="2" count="1" selected="0">
            <x v="122"/>
          </reference>
          <reference field="3" count="1" selected="0">
            <x v="0"/>
          </reference>
          <reference field="12" count="1">
            <x v="8"/>
          </reference>
        </references>
      </pivotArea>
    </format>
    <format dxfId="520">
      <pivotArea dataOnly="0" labelOnly="1" outline="0" fieldPosition="0">
        <references count="5">
          <reference field="0" count="1" selected="0">
            <x v="160"/>
          </reference>
          <reference field="1" count="1" selected="0">
            <x v="184"/>
          </reference>
          <reference field="2" count="1" selected="0">
            <x v="187"/>
          </reference>
          <reference field="3" count="1" selected="0">
            <x v="0"/>
          </reference>
          <reference field="12" count="1">
            <x v="7"/>
          </reference>
        </references>
      </pivotArea>
    </format>
    <format dxfId="519">
      <pivotArea dataOnly="0" labelOnly="1" outline="0" fieldPosition="0">
        <references count="5">
          <reference field="0" count="1" selected="0">
            <x v="161"/>
          </reference>
          <reference field="1" count="1" selected="0">
            <x v="185"/>
          </reference>
          <reference field="2" count="1" selected="0">
            <x v="186"/>
          </reference>
          <reference field="3" count="1" selected="0">
            <x v="0"/>
          </reference>
          <reference field="12" count="1">
            <x v="9"/>
          </reference>
        </references>
      </pivotArea>
    </format>
    <format dxfId="518">
      <pivotArea dataOnly="0" labelOnly="1" outline="0" fieldPosition="0">
        <references count="5">
          <reference field="0" count="1" selected="0">
            <x v="162"/>
          </reference>
          <reference field="1" count="1" selected="0">
            <x v="186"/>
          </reference>
          <reference field="2" count="1" selected="0">
            <x v="125"/>
          </reference>
          <reference field="3" count="1" selected="0">
            <x v="0"/>
          </reference>
          <reference field="12" count="1">
            <x v="10"/>
          </reference>
        </references>
      </pivotArea>
    </format>
    <format dxfId="517">
      <pivotArea dataOnly="0" labelOnly="1" outline="0" fieldPosition="0">
        <references count="5">
          <reference field="0" count="1" selected="0">
            <x v="164"/>
          </reference>
          <reference field="1" count="1" selected="0">
            <x v="188"/>
          </reference>
          <reference field="2" count="1" selected="0">
            <x v="119"/>
          </reference>
          <reference field="3" count="1" selected="0">
            <x v="0"/>
          </reference>
          <reference field="12" count="1">
            <x v="13"/>
          </reference>
        </references>
      </pivotArea>
    </format>
    <format dxfId="516">
      <pivotArea dataOnly="0" labelOnly="1" outline="0" fieldPosition="0">
        <references count="5">
          <reference field="0" count="1" selected="0">
            <x v="167"/>
          </reference>
          <reference field="1" count="1" selected="0">
            <x v="199"/>
          </reference>
          <reference field="2" count="1" selected="0">
            <x v="56"/>
          </reference>
          <reference field="3" count="1" selected="0">
            <x v="0"/>
          </reference>
          <reference field="12" count="1">
            <x v="18"/>
          </reference>
        </references>
      </pivotArea>
    </format>
    <format dxfId="515">
      <pivotArea dataOnly="0" labelOnly="1" outline="0" fieldPosition="0">
        <references count="5">
          <reference field="0" count="1" selected="0">
            <x v="168"/>
          </reference>
          <reference field="1" count="1" selected="0">
            <x v="200"/>
          </reference>
          <reference field="2" count="1" selected="0">
            <x v="9"/>
          </reference>
          <reference field="3" count="1" selected="0">
            <x v="0"/>
          </reference>
          <reference field="12" count="1">
            <x v="7"/>
          </reference>
        </references>
      </pivotArea>
    </format>
    <format dxfId="514">
      <pivotArea dataOnly="0" labelOnly="1" outline="0" fieldPosition="0">
        <references count="5">
          <reference field="0" count="1" selected="0">
            <x v="171"/>
          </reference>
          <reference field="1" count="1" selected="0">
            <x v="203"/>
          </reference>
          <reference field="2" count="1" selected="0">
            <x v="10"/>
          </reference>
          <reference field="3" count="1" selected="0">
            <x v="0"/>
          </reference>
          <reference field="12" count="1">
            <x v="9"/>
          </reference>
        </references>
      </pivotArea>
    </format>
    <format dxfId="513">
      <pivotArea dataOnly="0" labelOnly="1" outline="0" fieldPosition="0">
        <references count="5">
          <reference field="0" count="1" selected="0">
            <x v="172"/>
          </reference>
          <reference field="1" count="1" selected="0">
            <x v="204"/>
          </reference>
          <reference field="2" count="1" selected="0">
            <x v="216"/>
          </reference>
          <reference field="3" count="1" selected="0">
            <x v="0"/>
          </reference>
          <reference field="12" count="1">
            <x v="2"/>
          </reference>
        </references>
      </pivotArea>
    </format>
    <format dxfId="512">
      <pivotArea dataOnly="0" labelOnly="1" outline="0" fieldPosition="0">
        <references count="5">
          <reference field="0" count="1" selected="0">
            <x v="173"/>
          </reference>
          <reference field="1" count="1" selected="0">
            <x v="205"/>
          </reference>
          <reference field="2" count="1" selected="0">
            <x v="94"/>
          </reference>
          <reference field="3" count="1" selected="0">
            <x v="0"/>
          </reference>
          <reference field="12" count="1">
            <x v="20"/>
          </reference>
        </references>
      </pivotArea>
    </format>
    <format dxfId="511">
      <pivotArea dataOnly="0" labelOnly="1" outline="0" fieldPosition="0">
        <references count="5">
          <reference field="0" count="1" selected="0">
            <x v="175"/>
          </reference>
          <reference field="1" count="1" selected="0">
            <x v="207"/>
          </reference>
          <reference field="2" count="1" selected="0">
            <x v="172"/>
          </reference>
          <reference field="3" count="1" selected="0">
            <x v="0"/>
          </reference>
          <reference field="12" count="1">
            <x v="21"/>
          </reference>
        </references>
      </pivotArea>
    </format>
    <format dxfId="510">
      <pivotArea dataOnly="0" labelOnly="1" outline="0" fieldPosition="0">
        <references count="5">
          <reference field="0" count="1" selected="0">
            <x v="176"/>
          </reference>
          <reference field="1" count="1" selected="0">
            <x v="208"/>
          </reference>
          <reference field="2" count="1" selected="0">
            <x v="215"/>
          </reference>
          <reference field="3" count="1" selected="0">
            <x v="0"/>
          </reference>
          <reference field="12" count="1">
            <x v="20"/>
          </reference>
        </references>
      </pivotArea>
    </format>
    <format dxfId="509">
      <pivotArea dataOnly="0" labelOnly="1" outline="0" fieldPosition="0">
        <references count="5">
          <reference field="0" count="1" selected="0">
            <x v="180"/>
          </reference>
          <reference field="1" count="1" selected="0">
            <x v="212"/>
          </reference>
          <reference field="2" count="1" selected="0">
            <x v="97"/>
          </reference>
          <reference field="3" count="1" selected="0">
            <x v="0"/>
          </reference>
          <reference field="12" count="1">
            <x v="14"/>
          </reference>
        </references>
      </pivotArea>
    </format>
    <format dxfId="508">
      <pivotArea dataOnly="0" labelOnly="1" outline="0" fieldPosition="0">
        <references count="5">
          <reference field="0" count="1" selected="0">
            <x v="182"/>
          </reference>
          <reference field="1" count="1" selected="0">
            <x v="214"/>
          </reference>
          <reference field="2" count="1" selected="0">
            <x v="235"/>
          </reference>
          <reference field="3" count="1" selected="0">
            <x v="0"/>
          </reference>
          <reference field="12" count="1">
            <x v="7"/>
          </reference>
        </references>
      </pivotArea>
    </format>
    <format dxfId="507">
      <pivotArea dataOnly="0" labelOnly="1" outline="0" fieldPosition="0">
        <references count="5">
          <reference field="0" count="1" selected="0">
            <x v="183"/>
          </reference>
          <reference field="1" count="1" selected="0">
            <x v="215"/>
          </reference>
          <reference field="2" count="1" selected="0">
            <x v="206"/>
          </reference>
          <reference field="3" count="1" selected="0">
            <x v="0"/>
          </reference>
          <reference field="12" count="1">
            <x v="14"/>
          </reference>
        </references>
      </pivotArea>
    </format>
    <format dxfId="506">
      <pivotArea dataOnly="0" labelOnly="1" outline="0" fieldPosition="0">
        <references count="5">
          <reference field="0" count="1" selected="0">
            <x v="184"/>
          </reference>
          <reference field="1" count="1" selected="0">
            <x v="216"/>
          </reference>
          <reference field="2" count="1" selected="0">
            <x v="111"/>
          </reference>
          <reference field="3" count="1" selected="0">
            <x v="0"/>
          </reference>
          <reference field="12" count="1">
            <x v="22"/>
          </reference>
        </references>
      </pivotArea>
    </format>
    <format dxfId="505">
      <pivotArea dataOnly="0" labelOnly="1" outline="0" fieldPosition="0">
        <references count="5">
          <reference field="0" count="1" selected="0">
            <x v="185"/>
          </reference>
          <reference field="1" count="1" selected="0">
            <x v="217"/>
          </reference>
          <reference field="2" count="1" selected="0">
            <x v="113"/>
          </reference>
          <reference field="3" count="1" selected="0">
            <x v="0"/>
          </reference>
          <reference field="12" count="1">
            <x v="12"/>
          </reference>
        </references>
      </pivotArea>
    </format>
    <format dxfId="504">
      <pivotArea dataOnly="0" labelOnly="1" outline="0" fieldPosition="0">
        <references count="5">
          <reference field="0" count="1" selected="0">
            <x v="192"/>
          </reference>
          <reference field="1" count="1" selected="0">
            <x v="224"/>
          </reference>
          <reference field="2" count="1" selected="0">
            <x v="80"/>
          </reference>
          <reference field="3" count="1" selected="0">
            <x v="0"/>
          </reference>
          <reference field="12" count="1">
            <x v="7"/>
          </reference>
        </references>
      </pivotArea>
    </format>
    <format dxfId="503">
      <pivotArea dataOnly="0" labelOnly="1" outline="0" fieldPosition="0">
        <references count="5">
          <reference field="0" count="1" selected="0">
            <x v="197"/>
          </reference>
          <reference field="1" count="1" selected="0">
            <x v="236"/>
          </reference>
          <reference field="2" count="1" selected="0">
            <x v="102"/>
          </reference>
          <reference field="3" count="1" selected="0">
            <x v="0"/>
          </reference>
          <reference field="12" count="1">
            <x v="18"/>
          </reference>
        </references>
      </pivotArea>
    </format>
    <format dxfId="502">
      <pivotArea dataOnly="0" labelOnly="1" outline="0" fieldPosition="0">
        <references count="5">
          <reference field="0" count="1" selected="0">
            <x v="199"/>
          </reference>
          <reference field="1" count="1" selected="0">
            <x v="238"/>
          </reference>
          <reference field="2" count="1" selected="0">
            <x v="33"/>
          </reference>
          <reference field="3" count="1" selected="0">
            <x v="0"/>
          </reference>
          <reference field="12" count="1">
            <x v="20"/>
          </reference>
        </references>
      </pivotArea>
    </format>
    <format dxfId="501">
      <pivotArea dataOnly="0" labelOnly="1" outline="0" fieldPosition="0">
        <references count="5">
          <reference field="0" count="1" selected="0">
            <x v="204"/>
          </reference>
          <reference field="1" count="1" selected="0">
            <x v="149"/>
          </reference>
          <reference field="2" count="1" selected="0">
            <x v="117"/>
          </reference>
          <reference field="3" count="1" selected="0">
            <x v="0"/>
          </reference>
          <reference field="12" count="1">
            <x v="12"/>
          </reference>
        </references>
      </pivotArea>
    </format>
    <format dxfId="500">
      <pivotArea dataOnly="0" labelOnly="1" outline="0" fieldPosition="0">
        <references count="5">
          <reference field="0" count="1" selected="0">
            <x v="207"/>
          </reference>
          <reference field="1" count="1" selected="0">
            <x v="152"/>
          </reference>
          <reference field="2" count="1" selected="0">
            <x v="81"/>
          </reference>
          <reference field="3" count="1" selected="0">
            <x v="0"/>
          </reference>
          <reference field="12" count="1">
            <x v="7"/>
          </reference>
        </references>
      </pivotArea>
    </format>
    <format dxfId="499">
      <pivotArea dataOnly="0" labelOnly="1" outline="0" fieldPosition="0">
        <references count="5">
          <reference field="0" count="1" selected="0">
            <x v="208"/>
          </reference>
          <reference field="1" count="1" selected="0">
            <x v="153"/>
          </reference>
          <reference field="2" count="1" selected="0">
            <x v="103"/>
          </reference>
          <reference field="3" count="1" selected="0">
            <x v="0"/>
          </reference>
          <reference field="12" count="1">
            <x v="14"/>
          </reference>
        </references>
      </pivotArea>
    </format>
    <format dxfId="498">
      <pivotArea dataOnly="0" labelOnly="1" outline="0" fieldPosition="0">
        <references count="5">
          <reference field="0" count="1" selected="0">
            <x v="210"/>
          </reference>
          <reference field="1" count="1" selected="0">
            <x v="155"/>
          </reference>
          <reference field="2" count="1" selected="0">
            <x v="162"/>
          </reference>
          <reference field="3" count="1" selected="0">
            <x v="0"/>
          </reference>
          <reference field="12" count="1">
            <x v="7"/>
          </reference>
        </references>
      </pivotArea>
    </format>
    <format dxfId="497">
      <pivotArea dataOnly="0" labelOnly="1" outline="0" fieldPosition="0">
        <references count="5">
          <reference field="0" count="1" selected="0">
            <x v="211"/>
          </reference>
          <reference field="1" count="1" selected="0">
            <x v="156"/>
          </reference>
          <reference field="2" count="1" selected="0">
            <x v="164"/>
          </reference>
          <reference field="3" count="1" selected="0">
            <x v="0"/>
          </reference>
          <reference field="12" count="1">
            <x v="20"/>
          </reference>
        </references>
      </pivotArea>
    </format>
    <format dxfId="496">
      <pivotArea dataOnly="0" labelOnly="1" outline="0" fieldPosition="0">
        <references count="5">
          <reference field="0" count="1" selected="0">
            <x v="214"/>
          </reference>
          <reference field="1" count="1" selected="0">
            <x v="159"/>
          </reference>
          <reference field="2" count="1" selected="0">
            <x v="139"/>
          </reference>
          <reference field="3" count="1" selected="0">
            <x v="0"/>
          </reference>
          <reference field="12" count="1">
            <x v="10"/>
          </reference>
        </references>
      </pivotArea>
    </format>
    <format dxfId="495">
      <pivotArea dataOnly="0" labelOnly="1" outline="0" fieldPosition="0">
        <references count="5">
          <reference field="0" count="1" selected="0">
            <x v="220"/>
          </reference>
          <reference field="1" count="1" selected="0">
            <x v="165"/>
          </reference>
          <reference field="2" count="1" selected="0">
            <x v="142"/>
          </reference>
          <reference field="3" count="1" selected="0">
            <x v="0"/>
          </reference>
          <reference field="12" count="1">
            <x v="11"/>
          </reference>
        </references>
      </pivotArea>
    </format>
    <format dxfId="494">
      <pivotArea dataOnly="0" labelOnly="1" outline="0" fieldPosition="0">
        <references count="5">
          <reference field="0" count="1" selected="0">
            <x v="221"/>
          </reference>
          <reference field="1" count="1" selected="0">
            <x v="166"/>
          </reference>
          <reference field="2" count="1" selected="0">
            <x v="143"/>
          </reference>
          <reference field="3" count="1" selected="0">
            <x v="0"/>
          </reference>
          <reference field="12" count="1">
            <x v="10"/>
          </reference>
        </references>
      </pivotArea>
    </format>
    <format dxfId="493">
      <pivotArea dataOnly="0" labelOnly="1" outline="0" fieldPosition="0">
        <references count="5">
          <reference field="0" count="1" selected="0">
            <x v="223"/>
          </reference>
          <reference field="1" count="1" selected="0">
            <x v="168"/>
          </reference>
          <reference field="2" count="1" selected="0">
            <x v="71"/>
          </reference>
          <reference field="3" count="1" selected="0">
            <x v="0"/>
          </reference>
          <reference field="12" count="1">
            <x v="24"/>
          </reference>
        </references>
      </pivotArea>
    </format>
    <format dxfId="492">
      <pivotArea dataOnly="0" labelOnly="1" outline="0" fieldPosition="0">
        <references count="5">
          <reference field="0" count="1" selected="0">
            <x v="224"/>
          </reference>
          <reference field="1" count="1" selected="0">
            <x v="169"/>
          </reference>
          <reference field="2" count="1" selected="0">
            <x v="121"/>
          </reference>
          <reference field="3" count="1" selected="0">
            <x v="0"/>
          </reference>
          <reference field="12" count="1">
            <x v="23"/>
          </reference>
        </references>
      </pivotArea>
    </format>
    <format dxfId="491">
      <pivotArea dataOnly="0" labelOnly="1" outline="0" fieldPosition="0">
        <references count="5">
          <reference field="0" count="1" selected="0">
            <x v="228"/>
          </reference>
          <reference field="1" count="1" selected="0">
            <x v="173"/>
          </reference>
          <reference field="2" count="1" selected="0">
            <x v="145"/>
          </reference>
          <reference field="3" count="1" selected="0">
            <x v="0"/>
          </reference>
          <reference field="12" count="1">
            <x v="3"/>
          </reference>
        </references>
      </pivotArea>
    </format>
    <format dxfId="490">
      <pivotArea dataOnly="0" labelOnly="1" outline="0" fieldPosition="0">
        <references count="5">
          <reference field="0" count="1" selected="0">
            <x v="234"/>
          </reference>
          <reference field="1" count="1" selected="0">
            <x v="179"/>
          </reference>
          <reference field="2" count="1" selected="0">
            <x v="163"/>
          </reference>
          <reference field="3" count="1" selected="0">
            <x v="0"/>
          </reference>
          <reference field="12" count="1">
            <x v="28"/>
          </reference>
        </references>
      </pivotArea>
    </format>
    <format dxfId="489">
      <pivotArea dataOnly="0" labelOnly="1" outline="0" fieldPosition="0">
        <references count="5">
          <reference field="0" count="1" selected="0">
            <x v="235"/>
          </reference>
          <reference field="1" count="1" selected="0">
            <x v="191"/>
          </reference>
          <reference field="2" count="1" selected="0">
            <x v="155"/>
          </reference>
          <reference field="3" count="1" selected="0">
            <x v="0"/>
          </reference>
          <reference field="12" count="1">
            <x v="3"/>
          </reference>
        </references>
      </pivotArea>
    </format>
    <format dxfId="488">
      <pivotArea dataOnly="0" labelOnly="1" outline="0" fieldPosition="0">
        <references count="5">
          <reference field="0" count="1" selected="0">
            <x v="238"/>
          </reference>
          <reference field="1" count="1" selected="0">
            <x v="194"/>
          </reference>
          <reference field="2" count="1" selected="0">
            <x v="25"/>
          </reference>
          <reference field="3" count="1" selected="0">
            <x v="0"/>
          </reference>
          <reference field="12" count="1">
            <x v="0"/>
          </reference>
        </references>
      </pivotArea>
    </format>
    <format dxfId="487">
      <pivotArea dataOnly="0" labelOnly="1" outline="0" fieldPosition="0">
        <references count="5">
          <reference field="0" count="1" selected="0">
            <x v="240"/>
          </reference>
          <reference field="1" count="1" selected="0">
            <x v="196"/>
          </reference>
          <reference field="2" count="1" selected="0">
            <x v="40"/>
          </reference>
          <reference field="3" count="1" selected="0">
            <x v="0"/>
          </reference>
          <reference field="12" count="1">
            <x v="3"/>
          </reference>
        </references>
      </pivotArea>
    </format>
    <format dxfId="486">
      <pivotArea dataOnly="0" labelOnly="1" outline="0" fieldPosition="0">
        <references count="5">
          <reference field="0" count="1" selected="0">
            <x v="241"/>
          </reference>
          <reference field="1" count="1" selected="0">
            <x v="197"/>
          </reference>
          <reference field="2" count="1" selected="0">
            <x v="195"/>
          </reference>
          <reference field="3" count="1" selected="0">
            <x v="0"/>
          </reference>
          <reference field="12" count="1">
            <x v="0"/>
          </reference>
        </references>
      </pivotArea>
    </format>
    <format dxfId="485">
      <pivotArea dataOnly="0" labelOnly="1" outline="0" fieldPosition="0">
        <references count="5">
          <reference field="0" count="1" selected="0">
            <x v="242"/>
          </reference>
          <reference field="1" count="1" selected="0">
            <x v="198"/>
          </reference>
          <reference field="2" count="1" selected="0">
            <x v="132"/>
          </reference>
          <reference field="3" count="1" selected="0">
            <x v="0"/>
          </reference>
          <reference field="12" count="1">
            <x v="6"/>
          </reference>
        </references>
      </pivotArea>
    </format>
    <format dxfId="484">
      <pivotArea dataOnly="0" labelOnly="1" outline="0" fieldPosition="0">
        <references count="6">
          <reference field="0" count="1" selected="0">
            <x v="0"/>
          </reference>
          <reference field="1" count="1" selected="0">
            <x v="228"/>
          </reference>
          <reference field="2" count="1" selected="0">
            <x v="153"/>
          </reference>
          <reference field="3" count="1" selected="0">
            <x v="0"/>
          </reference>
          <reference field="12" count="1" selected="0">
            <x v="7"/>
          </reference>
          <reference field="13" count="1">
            <x v="24"/>
          </reference>
        </references>
      </pivotArea>
    </format>
    <format dxfId="483">
      <pivotArea dataOnly="0" labelOnly="1" outline="0" fieldPosition="0">
        <references count="6">
          <reference field="0" count="1" selected="0">
            <x v="2"/>
          </reference>
          <reference field="1" count="1" selected="0">
            <x v="230"/>
          </reference>
          <reference field="2" count="1" selected="0">
            <x v="225"/>
          </reference>
          <reference field="3" count="1" selected="0">
            <x v="0"/>
          </reference>
          <reference field="12" count="1" selected="0">
            <x v="7"/>
          </reference>
          <reference field="13" count="1">
            <x v="0"/>
          </reference>
        </references>
      </pivotArea>
    </format>
    <format dxfId="482">
      <pivotArea dataOnly="0" labelOnly="1" outline="0" fieldPosition="0">
        <references count="6">
          <reference field="0" count="1" selected="0">
            <x v="12"/>
          </reference>
          <reference field="1" count="1" selected="0">
            <x v="123"/>
          </reference>
          <reference field="2" count="1" selected="0">
            <x v="150"/>
          </reference>
          <reference field="3" count="1" selected="0">
            <x v="0"/>
          </reference>
          <reference field="12" count="1" selected="0">
            <x v="0"/>
          </reference>
          <reference field="13" count="1">
            <x v="2"/>
          </reference>
        </references>
      </pivotArea>
    </format>
    <format dxfId="481">
      <pivotArea dataOnly="0" labelOnly="1" outline="0" fieldPosition="0">
        <references count="6">
          <reference field="0" count="1" selected="0">
            <x v="16"/>
          </reference>
          <reference field="1" count="1" selected="0">
            <x v="64"/>
          </reference>
          <reference field="2" count="1" selected="0">
            <x v="157"/>
          </reference>
          <reference field="3" count="1" selected="0">
            <x v="0"/>
          </reference>
          <reference field="12" count="1" selected="0">
            <x v="7"/>
          </reference>
          <reference field="13" count="1">
            <x v="0"/>
          </reference>
        </references>
      </pivotArea>
    </format>
    <format dxfId="480">
      <pivotArea dataOnly="0" labelOnly="1" outline="0" fieldPosition="0">
        <references count="6">
          <reference field="0" count="1" selected="0">
            <x v="186"/>
          </reference>
          <reference field="1" count="1" selected="0">
            <x v="218"/>
          </reference>
          <reference field="2" count="1" selected="0">
            <x v="93"/>
          </reference>
          <reference field="3" count="1" selected="0">
            <x v="0"/>
          </reference>
          <reference field="12" count="1" selected="0">
            <x v="12"/>
          </reference>
          <reference field="13" count="1">
            <x v="2"/>
          </reference>
        </references>
      </pivotArea>
    </format>
    <format dxfId="479">
      <pivotArea dataOnly="0" labelOnly="1" outline="0" fieldPosition="0">
        <references count="6">
          <reference field="0" count="1" selected="0">
            <x v="187"/>
          </reference>
          <reference field="1" count="1" selected="0">
            <x v="219"/>
          </reference>
          <reference field="2" count="1" selected="0">
            <x v="104"/>
          </reference>
          <reference field="3" count="1" selected="0">
            <x v="0"/>
          </reference>
          <reference field="12" count="1" selected="0">
            <x v="12"/>
          </reference>
          <reference field="13" count="1">
            <x v="14"/>
          </reference>
        </references>
      </pivotArea>
    </format>
    <format dxfId="478">
      <pivotArea dataOnly="0" labelOnly="1" outline="0" fieldPosition="0">
        <references count="6">
          <reference field="0" count="1" selected="0">
            <x v="189"/>
          </reference>
          <reference field="1" count="1" selected="0">
            <x v="221"/>
          </reference>
          <reference field="2" count="1" selected="0">
            <x v="182"/>
          </reference>
          <reference field="3" count="1" selected="0">
            <x v="0"/>
          </reference>
          <reference field="12" count="1" selected="0">
            <x v="12"/>
          </reference>
          <reference field="13" count="1">
            <x v="0"/>
          </reference>
        </references>
      </pivotArea>
    </format>
    <format dxfId="477">
      <pivotArea dataOnly="0" labelOnly="1" outline="0" fieldPosition="0">
        <references count="6">
          <reference field="0" count="1" selected="0">
            <x v="204"/>
          </reference>
          <reference field="1" count="1" selected="0">
            <x v="149"/>
          </reference>
          <reference field="2" count="1" selected="0">
            <x v="117"/>
          </reference>
          <reference field="3" count="1" selected="0">
            <x v="0"/>
          </reference>
          <reference field="12" count="1" selected="0">
            <x v="12"/>
          </reference>
          <reference field="13" count="1">
            <x v="14"/>
          </reference>
        </references>
      </pivotArea>
    </format>
    <format dxfId="476">
      <pivotArea dataOnly="0" labelOnly="1" outline="0" fieldPosition="0">
        <references count="6">
          <reference field="0" count="1" selected="0">
            <x v="206"/>
          </reference>
          <reference field="1" count="1" selected="0">
            <x v="151"/>
          </reference>
          <reference field="2" count="1" selected="0">
            <x v="159"/>
          </reference>
          <reference field="3" count="1" selected="0">
            <x v="0"/>
          </reference>
          <reference field="12" count="1" selected="0">
            <x v="12"/>
          </reference>
          <reference field="13" count="1">
            <x v="5"/>
          </reference>
        </references>
      </pivotArea>
    </format>
    <format dxfId="475">
      <pivotArea dataOnly="0" labelOnly="1" outline="0" fieldPosition="0">
        <references count="6">
          <reference field="0" count="1" selected="0">
            <x v="207"/>
          </reference>
          <reference field="1" count="1" selected="0">
            <x v="152"/>
          </reference>
          <reference field="2" count="1" selected="0">
            <x v="81"/>
          </reference>
          <reference field="3" count="1" selected="0">
            <x v="0"/>
          </reference>
          <reference field="12" count="1" selected="0">
            <x v="7"/>
          </reference>
          <reference field="13" count="1">
            <x v="0"/>
          </reference>
        </references>
      </pivotArea>
    </format>
    <format dxfId="474">
      <pivotArea dataOnly="0" labelOnly="1" outline="0" fieldPosition="0">
        <references count="6">
          <reference field="0" count="1" selected="0">
            <x v="208"/>
          </reference>
          <reference field="1" count="1" selected="0">
            <x v="153"/>
          </reference>
          <reference field="2" count="1" selected="0">
            <x v="103"/>
          </reference>
          <reference field="3" count="1" selected="0">
            <x v="0"/>
          </reference>
          <reference field="12" count="1" selected="0">
            <x v="14"/>
          </reference>
          <reference field="13" count="1">
            <x v="16"/>
          </reference>
        </references>
      </pivotArea>
    </format>
    <format dxfId="473">
      <pivotArea dataOnly="0" labelOnly="1" outline="0" fieldPosition="0">
        <references count="6">
          <reference field="0" count="1" selected="0">
            <x v="209"/>
          </reference>
          <reference field="1" count="1" selected="0">
            <x v="154"/>
          </reference>
          <reference field="2" count="1" selected="0">
            <x v="98"/>
          </reference>
          <reference field="3" count="1" selected="0">
            <x v="0"/>
          </reference>
          <reference field="12" count="1" selected="0">
            <x v="14"/>
          </reference>
          <reference field="13" count="1">
            <x v="17"/>
          </reference>
        </references>
      </pivotArea>
    </format>
    <format dxfId="472">
      <pivotArea dataOnly="0" labelOnly="1" outline="0" fieldPosition="0">
        <references count="6">
          <reference field="0" count="1" selected="0">
            <x v="210"/>
          </reference>
          <reference field="1" count="1" selected="0">
            <x v="155"/>
          </reference>
          <reference field="2" count="1" selected="0">
            <x v="162"/>
          </reference>
          <reference field="3" count="1" selected="0">
            <x v="0"/>
          </reference>
          <reference field="12" count="1" selected="0">
            <x v="7"/>
          </reference>
          <reference field="13" count="1">
            <x v="2"/>
          </reference>
        </references>
      </pivotArea>
    </format>
    <format dxfId="471">
      <pivotArea dataOnly="0" labelOnly="1" outline="0" fieldPosition="0">
        <references count="6">
          <reference field="0" count="1" selected="0">
            <x v="211"/>
          </reference>
          <reference field="1" count="1" selected="0">
            <x v="156"/>
          </reference>
          <reference field="2" count="1" selected="0">
            <x v="164"/>
          </reference>
          <reference field="3" count="1" selected="0">
            <x v="0"/>
          </reference>
          <reference field="12" count="1" selected="0">
            <x v="20"/>
          </reference>
          <reference field="13" count="1">
            <x v="3"/>
          </reference>
        </references>
      </pivotArea>
    </format>
    <format dxfId="470">
      <pivotArea dataOnly="0" labelOnly="1" outline="0" fieldPosition="0">
        <references count="6">
          <reference field="0" count="1" selected="0">
            <x v="212"/>
          </reference>
          <reference field="1" count="1" selected="0">
            <x v="157"/>
          </reference>
          <reference field="2" count="1" selected="0">
            <x v="170"/>
          </reference>
          <reference field="3" count="1" selected="0">
            <x v="0"/>
          </reference>
          <reference field="12" count="1" selected="0">
            <x v="20"/>
          </reference>
          <reference field="13" count="1">
            <x v="4"/>
          </reference>
        </references>
      </pivotArea>
    </format>
    <format dxfId="469">
      <pivotArea dataOnly="0" labelOnly="1" outline="0" fieldPosition="0">
        <references count="6">
          <reference field="0" count="1" selected="0">
            <x v="214"/>
          </reference>
          <reference field="1" count="1" selected="0">
            <x v="159"/>
          </reference>
          <reference field="2" count="1" selected="0">
            <x v="139"/>
          </reference>
          <reference field="3" count="1" selected="0">
            <x v="0"/>
          </reference>
          <reference field="12" count="1" selected="0">
            <x v="10"/>
          </reference>
          <reference field="13" count="1">
            <x v="15"/>
          </reference>
        </references>
      </pivotArea>
    </format>
    <format dxfId="468">
      <pivotArea dataOnly="0" labelOnly="1" outline="0" fieldPosition="0">
        <references count="6">
          <reference field="0" count="1" selected="0">
            <x v="215"/>
          </reference>
          <reference field="1" count="1" selected="0">
            <x v="160"/>
          </reference>
          <reference field="2" count="1" selected="0">
            <x v="137"/>
          </reference>
          <reference field="3" count="1" selected="0">
            <x v="0"/>
          </reference>
          <reference field="12" count="1" selected="0">
            <x v="10"/>
          </reference>
          <reference field="13" count="1">
            <x v="11"/>
          </reference>
        </references>
      </pivotArea>
    </format>
    <format dxfId="467">
      <pivotArea dataOnly="0" labelOnly="1" outline="0" fieldPosition="0">
        <references count="6">
          <reference field="0" count="1" selected="0">
            <x v="216"/>
          </reference>
          <reference field="1" count="1" selected="0">
            <x v="161"/>
          </reference>
          <reference field="2" count="1" selected="0">
            <x v="136"/>
          </reference>
          <reference field="3" count="1" selected="0">
            <x v="0"/>
          </reference>
          <reference field="12" count="1" selected="0">
            <x v="10"/>
          </reference>
          <reference field="13" count="1">
            <x v="13"/>
          </reference>
        </references>
      </pivotArea>
    </format>
    <format dxfId="466">
      <pivotArea dataOnly="0" labelOnly="1" outline="0" fieldPosition="0">
        <references count="6">
          <reference field="0" count="1" selected="0">
            <x v="217"/>
          </reference>
          <reference field="1" count="1" selected="0">
            <x v="162"/>
          </reference>
          <reference field="2" count="1" selected="0">
            <x v="13"/>
          </reference>
          <reference field="3" count="1" selected="0">
            <x v="0"/>
          </reference>
          <reference field="12" count="1" selected="0">
            <x v="10"/>
          </reference>
          <reference field="13" count="1">
            <x v="10"/>
          </reference>
        </references>
      </pivotArea>
    </format>
    <format dxfId="465">
      <pivotArea dataOnly="0" labelOnly="1" outline="0" fieldPosition="0">
        <references count="6">
          <reference field="0" count="1" selected="0">
            <x v="219"/>
          </reference>
          <reference field="1" count="1" selected="0">
            <x v="164"/>
          </reference>
          <reference field="2" count="1" selected="0">
            <x v="138"/>
          </reference>
          <reference field="3" count="1" selected="0">
            <x v="0"/>
          </reference>
          <reference field="12" count="1" selected="0">
            <x v="10"/>
          </reference>
          <reference field="13" count="1">
            <x v="8"/>
          </reference>
        </references>
      </pivotArea>
    </format>
    <format dxfId="464">
      <pivotArea dataOnly="0" labelOnly="1" outline="0" fieldPosition="0">
        <references count="6">
          <reference field="0" count="1" selected="0">
            <x v="220"/>
          </reference>
          <reference field="1" count="1" selected="0">
            <x v="165"/>
          </reference>
          <reference field="2" count="1" selected="0">
            <x v="142"/>
          </reference>
          <reference field="3" count="1" selected="0">
            <x v="0"/>
          </reference>
          <reference field="12" count="1" selected="0">
            <x v="11"/>
          </reference>
          <reference field="13" count="1">
            <x v="12"/>
          </reference>
        </references>
      </pivotArea>
    </format>
    <format dxfId="463">
      <pivotArea dataOnly="0" labelOnly="1" outline="0" fieldPosition="0">
        <references count="6">
          <reference field="0" count="1" selected="0">
            <x v="221"/>
          </reference>
          <reference field="1" count="1" selected="0">
            <x v="166"/>
          </reference>
          <reference field="2" count="1" selected="0">
            <x v="143"/>
          </reference>
          <reference field="3" count="1" selected="0">
            <x v="0"/>
          </reference>
          <reference field="12" count="1" selected="0">
            <x v="10"/>
          </reference>
          <reference field="13" count="1">
            <x v="9"/>
          </reference>
        </references>
      </pivotArea>
    </format>
    <format dxfId="462">
      <pivotArea dataOnly="0" labelOnly="1" outline="0" fieldPosition="0">
        <references count="6">
          <reference field="0" count="1" selected="0">
            <x v="223"/>
          </reference>
          <reference field="1" count="1" selected="0">
            <x v="168"/>
          </reference>
          <reference field="2" count="1" selected="0">
            <x v="71"/>
          </reference>
          <reference field="3" count="1" selected="0">
            <x v="0"/>
          </reference>
          <reference field="12" count="1" selected="0">
            <x v="24"/>
          </reference>
          <reference field="13" count="1">
            <x v="7"/>
          </reference>
        </references>
      </pivotArea>
    </format>
    <format dxfId="461">
      <pivotArea dataOnly="0" labelOnly="1" outline="0" fieldPosition="0">
        <references count="6">
          <reference field="0" count="1" selected="0">
            <x v="224"/>
          </reference>
          <reference field="1" count="1" selected="0">
            <x v="169"/>
          </reference>
          <reference field="2" count="1" selected="0">
            <x v="121"/>
          </reference>
          <reference field="3" count="1" selected="0">
            <x v="0"/>
          </reference>
          <reference field="12" count="1" selected="0">
            <x v="23"/>
          </reference>
          <reference field="13" count="1">
            <x v="1"/>
          </reference>
        </references>
      </pivotArea>
    </format>
    <format dxfId="460">
      <pivotArea dataOnly="0" labelOnly="1" outline="0" fieldPosition="0">
        <references count="6">
          <reference field="0" count="1" selected="0">
            <x v="225"/>
          </reference>
          <reference field="1" count="1" selected="0">
            <x v="170"/>
          </reference>
          <reference field="2" count="1" selected="0">
            <x v="120"/>
          </reference>
          <reference field="3" count="1" selected="0">
            <x v="0"/>
          </reference>
          <reference field="12" count="1" selected="0">
            <x v="23"/>
          </reference>
          <reference field="13" count="1">
            <x v="22"/>
          </reference>
        </references>
      </pivotArea>
    </format>
    <format dxfId="459">
      <pivotArea dataOnly="0" labelOnly="1" outline="0" fieldPosition="0">
        <references count="6">
          <reference field="0" count="1" selected="0">
            <x v="228"/>
          </reference>
          <reference field="1" count="1" selected="0">
            <x v="173"/>
          </reference>
          <reference field="2" count="1" selected="0">
            <x v="145"/>
          </reference>
          <reference field="3" count="1" selected="0">
            <x v="0"/>
          </reference>
          <reference field="12" count="1" selected="0">
            <x v="3"/>
          </reference>
          <reference field="13" count="1">
            <x v="21"/>
          </reference>
        </references>
      </pivotArea>
    </format>
    <format dxfId="458">
      <pivotArea dataOnly="0" labelOnly="1" outline="0" fieldPosition="0">
        <references count="6">
          <reference field="0" count="1" selected="0">
            <x v="229"/>
          </reference>
          <reference field="1" count="1" selected="0">
            <x v="174"/>
          </reference>
          <reference field="2" count="1" selected="0">
            <x v="91"/>
          </reference>
          <reference field="3" count="1" selected="0">
            <x v="0"/>
          </reference>
          <reference field="12" count="1" selected="0">
            <x v="3"/>
          </reference>
          <reference field="13" count="1">
            <x v="18"/>
          </reference>
        </references>
      </pivotArea>
    </format>
    <format dxfId="457">
      <pivotArea dataOnly="0" labelOnly="1" outline="0" fieldPosition="0">
        <references count="6">
          <reference field="0" count="1" selected="0">
            <x v="231"/>
          </reference>
          <reference field="1" count="1" selected="0">
            <x v="176"/>
          </reference>
          <reference field="2" count="1" selected="0">
            <x v="42"/>
          </reference>
          <reference field="3" count="1" selected="0">
            <x v="0"/>
          </reference>
          <reference field="12" count="1" selected="0">
            <x v="3"/>
          </reference>
          <reference field="13" count="1">
            <x v="20"/>
          </reference>
        </references>
      </pivotArea>
    </format>
    <format dxfId="456">
      <pivotArea dataOnly="0" labelOnly="1" outline="0" fieldPosition="0">
        <references count="6">
          <reference field="0" count="1" selected="0">
            <x v="232"/>
          </reference>
          <reference field="1" count="1" selected="0">
            <x v="177"/>
          </reference>
          <reference field="2" count="1" selected="0">
            <x v="47"/>
          </reference>
          <reference field="3" count="1" selected="0">
            <x v="0"/>
          </reference>
          <reference field="12" count="1" selected="0">
            <x v="3"/>
          </reference>
          <reference field="13" count="1">
            <x v="19"/>
          </reference>
        </references>
      </pivotArea>
    </format>
    <format dxfId="455">
      <pivotArea dataOnly="0" labelOnly="1" outline="0" fieldPosition="0">
        <references count="6">
          <reference field="0" count="1" selected="0">
            <x v="233"/>
          </reference>
          <reference field="1" count="1" selected="0">
            <x v="178"/>
          </reference>
          <reference field="2" count="1" selected="0">
            <x v="32"/>
          </reference>
          <reference field="3" count="1" selected="0">
            <x v="0"/>
          </reference>
          <reference field="12" count="1" selected="0">
            <x v="3"/>
          </reference>
          <reference field="13" count="1">
            <x v="6"/>
          </reference>
        </references>
      </pivotArea>
    </format>
    <format dxfId="454">
      <pivotArea dataOnly="0" labelOnly="1" outline="0" fieldPosition="0">
        <references count="6">
          <reference field="0" count="1" selected="0">
            <x v="234"/>
          </reference>
          <reference field="1" count="1" selected="0">
            <x v="179"/>
          </reference>
          <reference field="2" count="1" selected="0">
            <x v="163"/>
          </reference>
          <reference field="3" count="1" selected="0">
            <x v="0"/>
          </reference>
          <reference field="12" count="1" selected="0">
            <x v="28"/>
          </reference>
          <reference field="13" count="1">
            <x v="25"/>
          </reference>
        </references>
      </pivotArea>
    </format>
    <format dxfId="453">
      <pivotArea dataOnly="0" labelOnly="1" outline="0" fieldPosition="0">
        <references count="6">
          <reference field="0" count="1" selected="0">
            <x v="235"/>
          </reference>
          <reference field="1" count="1" selected="0">
            <x v="191"/>
          </reference>
          <reference field="2" count="1" selected="0">
            <x v="155"/>
          </reference>
          <reference field="3" count="1" selected="0">
            <x v="0"/>
          </reference>
          <reference field="12" count="1" selected="0">
            <x v="3"/>
          </reference>
          <reference field="13" count="1">
            <x v="0"/>
          </reference>
        </references>
      </pivotArea>
    </format>
    <format dxfId="452">
      <pivotArea dataOnly="0" labelOnly="1" outline="0" fieldPosition="0">
        <references count="7">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x v="38"/>
          </reference>
        </references>
      </pivotArea>
    </format>
    <format dxfId="451">
      <pivotArea dataOnly="0" labelOnly="1" outline="0" fieldPosition="0">
        <references count="7">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x v="0"/>
          </reference>
        </references>
      </pivotArea>
    </format>
    <format dxfId="450">
      <pivotArea dataOnly="0" labelOnly="1" outline="0" fieldPosition="0">
        <references count="7">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x v="35"/>
          </reference>
        </references>
      </pivotArea>
    </format>
    <format dxfId="449">
      <pivotArea dataOnly="0" labelOnly="1" outline="0" fieldPosition="0">
        <references count="7">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x v="38"/>
          </reference>
        </references>
      </pivotArea>
    </format>
    <format dxfId="448">
      <pivotArea dataOnly="0" labelOnly="1" outline="0" fieldPosition="0">
        <references count="7">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x v="28"/>
          </reference>
        </references>
      </pivotArea>
    </format>
    <format dxfId="447">
      <pivotArea dataOnly="0" labelOnly="1" outline="0" fieldPosition="0">
        <references count="7">
          <reference field="0" count="1" selected="0">
            <x v="10"/>
          </reference>
          <reference field="1" count="1" selected="0">
            <x v="121"/>
          </reference>
          <reference field="2" count="1" selected="0">
            <x v="82"/>
          </reference>
          <reference field="3" count="1" selected="0">
            <x v="0"/>
          </reference>
          <reference field="12" count="1" selected="0">
            <x v="0"/>
          </reference>
          <reference field="13" count="1" selected="0">
            <x v="0"/>
          </reference>
          <reference field="14" count="1">
            <x v="38"/>
          </reference>
        </references>
      </pivotArea>
    </format>
    <format dxfId="446">
      <pivotArea dataOnly="0" labelOnly="1" outline="0" fieldPosition="0">
        <references count="7">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x v="40"/>
          </reference>
        </references>
      </pivotArea>
    </format>
    <format dxfId="445">
      <pivotArea dataOnly="0" labelOnly="1" outline="0" fieldPosition="0">
        <references count="7">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x v="38"/>
          </reference>
        </references>
      </pivotArea>
    </format>
    <format dxfId="444">
      <pivotArea dataOnly="0" labelOnly="1" outline="0" fieldPosition="0">
        <references count="7">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x v="1"/>
          </reference>
        </references>
      </pivotArea>
    </format>
    <format dxfId="443">
      <pivotArea dataOnly="0" labelOnly="1" outline="0" fieldPosition="0">
        <references count="7">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x v="3"/>
          </reference>
        </references>
      </pivotArea>
    </format>
    <format dxfId="442">
      <pivotArea dataOnly="0" labelOnly="1" outline="0" fieldPosition="0">
        <references count="7">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x v="19"/>
          </reference>
        </references>
      </pivotArea>
    </format>
    <format dxfId="441">
      <pivotArea dataOnly="0" labelOnly="1" outline="0" fieldPosition="0">
        <references count="7">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x v="13"/>
          </reference>
        </references>
      </pivotArea>
    </format>
    <format dxfId="440">
      <pivotArea dataOnly="0" labelOnly="1" outline="0" fieldPosition="0">
        <references count="7">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x v="15"/>
          </reference>
        </references>
      </pivotArea>
    </format>
    <format dxfId="439">
      <pivotArea dataOnly="0" labelOnly="1" outline="0" fieldPosition="0">
        <references count="7">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x v="61"/>
          </reference>
        </references>
      </pivotArea>
    </format>
    <format dxfId="438">
      <pivotArea dataOnly="0" labelOnly="1" outline="0" fieldPosition="0">
        <references count="7">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x v="2"/>
          </reference>
        </references>
      </pivotArea>
    </format>
    <format dxfId="437">
      <pivotArea dataOnly="0" labelOnly="1" outline="0" fieldPosition="0">
        <references count="7">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x v="62"/>
          </reference>
        </references>
      </pivotArea>
    </format>
    <format dxfId="436">
      <pivotArea dataOnly="0" labelOnly="1" outline="0" fieldPosition="0">
        <references count="7">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x v="58"/>
          </reference>
        </references>
      </pivotArea>
    </format>
    <format dxfId="435">
      <pivotArea dataOnly="0" labelOnly="1" outline="0" fieldPosition="0">
        <references count="7">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x v="56"/>
          </reference>
        </references>
      </pivotArea>
    </format>
    <format dxfId="434">
      <pivotArea dataOnly="0" labelOnly="1" outline="0" fieldPosition="0">
        <references count="7">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x v="66"/>
          </reference>
        </references>
      </pivotArea>
    </format>
    <format dxfId="433">
      <pivotArea dataOnly="0" labelOnly="1" outline="0" fieldPosition="0">
        <references count="7">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x v="34"/>
          </reference>
        </references>
      </pivotArea>
    </format>
    <format dxfId="432">
      <pivotArea dataOnly="0" labelOnly="1" outline="0" fieldPosition="0">
        <references count="7">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x v="47"/>
          </reference>
        </references>
      </pivotArea>
    </format>
    <format dxfId="431">
      <pivotArea dataOnly="0" labelOnly="1" outline="0" fieldPosition="0">
        <references count="7">
          <reference field="0" count="1" selected="0">
            <x v="63"/>
          </reference>
          <reference field="1" count="1" selected="0">
            <x v="43"/>
          </reference>
          <reference field="2" count="1" selected="0">
            <x v="152"/>
          </reference>
          <reference field="3" count="1" selected="0">
            <x v="0"/>
          </reference>
          <reference field="12" count="1" selected="0">
            <x v="3"/>
          </reference>
          <reference field="13" count="1" selected="0">
            <x v="0"/>
          </reference>
          <reference field="14" count="1">
            <x v="37"/>
          </reference>
        </references>
      </pivotArea>
    </format>
    <format dxfId="430">
      <pivotArea dataOnly="0" labelOnly="1" outline="0" fieldPosition="0">
        <references count="7">
          <reference field="0" count="1" selected="0">
            <x v="64"/>
          </reference>
          <reference field="1" count="1" selected="0">
            <x v="44"/>
          </reference>
          <reference field="2" count="1" selected="0">
            <x v="146"/>
          </reference>
          <reference field="3" count="1" selected="0">
            <x v="0"/>
          </reference>
          <reference field="12" count="1" selected="0">
            <x v="3"/>
          </reference>
          <reference field="13" count="1" selected="0">
            <x v="0"/>
          </reference>
          <reference field="14" count="1">
            <x v="36"/>
          </reference>
        </references>
      </pivotArea>
    </format>
    <format dxfId="429">
      <pivotArea dataOnly="0" labelOnly="1" outline="0" fieldPosition="0">
        <references count="7">
          <reference field="0" count="1" selected="0">
            <x v="65"/>
          </reference>
          <reference field="1" count="1" selected="0">
            <x v="45"/>
          </reference>
          <reference field="2" count="1" selected="0">
            <x v="204"/>
          </reference>
          <reference field="3" count="1" selected="0">
            <x v="0"/>
          </reference>
          <reference field="12" count="1" selected="0">
            <x v="3"/>
          </reference>
          <reference field="13" count="1" selected="0">
            <x v="0"/>
          </reference>
          <reference field="14" count="1">
            <x v="0"/>
          </reference>
        </references>
      </pivotArea>
    </format>
    <format dxfId="428">
      <pivotArea dataOnly="0" labelOnly="1" outline="0" fieldPosition="0">
        <references count="7">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x v="14"/>
          </reference>
        </references>
      </pivotArea>
    </format>
    <format dxfId="427">
      <pivotArea dataOnly="0" labelOnly="1" outline="0" fieldPosition="0">
        <references count="7">
          <reference field="0" count="1" selected="0">
            <x v="79"/>
          </reference>
          <reference field="1" count="1" selected="0">
            <x v="59"/>
          </reference>
          <reference field="2" count="1" selected="0">
            <x v="21"/>
          </reference>
          <reference field="3" count="1" selected="0">
            <x v="0"/>
          </reference>
          <reference field="12" count="1" selected="0">
            <x v="3"/>
          </reference>
          <reference field="13" count="1" selected="0">
            <x v="0"/>
          </reference>
          <reference field="14" count="1">
            <x v="0"/>
          </reference>
        </references>
      </pivotArea>
    </format>
    <format dxfId="426">
      <pivotArea dataOnly="0" labelOnly="1" outline="0" fieldPosition="0">
        <references count="7">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x v="0"/>
          </reference>
        </references>
      </pivotArea>
    </format>
    <format dxfId="425">
      <pivotArea dataOnly="0" labelOnly="1" outline="0" fieldPosition="0">
        <references count="7">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x v="4"/>
          </reference>
        </references>
      </pivotArea>
    </format>
    <format dxfId="424">
      <pivotArea dataOnly="0" labelOnly="1" outline="0" fieldPosition="0">
        <references count="7">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x v="53"/>
          </reference>
        </references>
      </pivotArea>
    </format>
    <format dxfId="423">
      <pivotArea dataOnly="0" labelOnly="1" outline="0" fieldPosition="0">
        <references count="7">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x v="25"/>
          </reference>
        </references>
      </pivotArea>
    </format>
    <format dxfId="422">
      <pivotArea dataOnly="0" labelOnly="1" outline="0" fieldPosition="0">
        <references count="7">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x v="0"/>
          </reference>
        </references>
      </pivotArea>
    </format>
    <format dxfId="421">
      <pivotArea dataOnly="0" labelOnly="1" outline="0" fieldPosition="0">
        <references count="7">
          <reference field="0" count="1" selected="0">
            <x v="89"/>
          </reference>
          <reference field="1" count="1" selected="0">
            <x v="76"/>
          </reference>
          <reference field="2" count="1" selected="0">
            <x v="232"/>
          </reference>
          <reference field="3" count="1" selected="0">
            <x v="0"/>
          </reference>
          <reference field="12" count="1" selected="0">
            <x v="7"/>
          </reference>
          <reference field="13" count="1" selected="0">
            <x v="0"/>
          </reference>
          <reference field="14" count="1">
            <x v="50"/>
          </reference>
        </references>
      </pivotArea>
    </format>
    <format dxfId="420">
      <pivotArea dataOnly="0" labelOnly="1" outline="0" fieldPosition="0">
        <references count="7">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x v="49"/>
          </reference>
        </references>
      </pivotArea>
    </format>
    <format dxfId="419">
      <pivotArea dataOnly="0" labelOnly="1" outline="0" fieldPosition="0">
        <references count="7">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x v="16"/>
          </reference>
        </references>
      </pivotArea>
    </format>
    <format dxfId="418">
      <pivotArea dataOnly="0" labelOnly="1" outline="0" fieldPosition="0">
        <references count="7">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x v="6"/>
          </reference>
        </references>
      </pivotArea>
    </format>
    <format dxfId="417">
      <pivotArea dataOnly="0" labelOnly="1" outline="0" fieldPosition="0">
        <references count="7">
          <reference field="0" count="1" selected="0">
            <x v="102"/>
          </reference>
          <reference field="1" count="1" selected="0">
            <x v="89"/>
          </reference>
          <reference field="2" count="1" selected="0">
            <x v="14"/>
          </reference>
          <reference field="3" count="1" selected="0">
            <x v="0"/>
          </reference>
          <reference field="12" count="1" selected="0">
            <x v="3"/>
          </reference>
          <reference field="13" count="1" selected="0">
            <x v="0"/>
          </reference>
          <reference field="14" count="1">
            <x v="16"/>
          </reference>
        </references>
      </pivotArea>
    </format>
    <format dxfId="416">
      <pivotArea dataOnly="0" labelOnly="1" outline="0" fieldPosition="0">
        <references count="7">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x v="54"/>
          </reference>
        </references>
      </pivotArea>
    </format>
    <format dxfId="415">
      <pivotArea dataOnly="0" labelOnly="1" outline="0" fieldPosition="0">
        <references count="7">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x v="55"/>
          </reference>
        </references>
      </pivotArea>
    </format>
    <format dxfId="414">
      <pivotArea dataOnly="0" labelOnly="1" outline="0" fieldPosition="0">
        <references count="7">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x v="4"/>
          </reference>
        </references>
      </pivotArea>
    </format>
    <format dxfId="413">
      <pivotArea dataOnly="0" labelOnly="1" outline="0" fieldPosition="0">
        <references count="7">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x v="7"/>
          </reference>
        </references>
      </pivotArea>
    </format>
    <format dxfId="412">
      <pivotArea dataOnly="0" labelOnly="1" outline="0" fieldPosition="0">
        <references count="7">
          <reference field="0" count="1" selected="0">
            <x v="122"/>
          </reference>
          <reference field="1" count="1" selected="0">
            <x v="109"/>
          </reference>
          <reference field="2" count="1" selected="0">
            <x v="35"/>
          </reference>
          <reference field="3" count="1" selected="0">
            <x v="0"/>
          </reference>
          <reference field="12" count="1" selected="0">
            <x v="3"/>
          </reference>
          <reference field="13" count="1" selected="0">
            <x v="0"/>
          </reference>
          <reference field="14" count="1">
            <x v="11"/>
          </reference>
        </references>
      </pivotArea>
    </format>
    <format dxfId="411">
      <pivotArea dataOnly="0" labelOnly="1" outline="0" fieldPosition="0">
        <references count="7">
          <reference field="0" count="1" selected="0">
            <x v="123"/>
          </reference>
          <reference field="1" count="1" selected="0">
            <x v="110"/>
          </reference>
          <reference field="2" count="1" selected="0">
            <x v="176"/>
          </reference>
          <reference field="3" count="1" selected="0">
            <x v="0"/>
          </reference>
          <reference field="12" count="1" selected="0">
            <x v="5"/>
          </reference>
          <reference field="13" count="1" selected="0">
            <x v="0"/>
          </reference>
          <reference field="14" count="1">
            <x v="38"/>
          </reference>
        </references>
      </pivotArea>
    </format>
    <format dxfId="410">
      <pivotArea dataOnly="0" labelOnly="1" outline="0" fieldPosition="0">
        <references count="7">
          <reference field="0" count="1" selected="0">
            <x v="124"/>
          </reference>
          <reference field="1" count="1" selected="0">
            <x v="111"/>
          </reference>
          <reference field="2" count="1" selected="0">
            <x v="218"/>
          </reference>
          <reference field="3" count="1" selected="0">
            <x v="0"/>
          </reference>
          <reference field="12" count="1" selected="0">
            <x v="0"/>
          </reference>
          <reference field="13" count="1" selected="0">
            <x v="0"/>
          </reference>
          <reference field="14" count="1">
            <x v="34"/>
          </reference>
        </references>
      </pivotArea>
    </format>
    <format dxfId="409">
      <pivotArea dataOnly="0" labelOnly="1" outline="0" fieldPosition="0">
        <references count="7">
          <reference field="0" count="1" selected="0">
            <x v="126"/>
          </reference>
          <reference field="1" count="1" selected="0">
            <x v="113"/>
          </reference>
          <reference field="2" count="1" selected="0">
            <x v="191"/>
          </reference>
          <reference field="3" count="1" selected="0">
            <x v="0"/>
          </reference>
          <reference field="12" count="1" selected="0">
            <x v="0"/>
          </reference>
          <reference field="13" count="1" selected="0">
            <x v="0"/>
          </reference>
          <reference field="14" count="1">
            <x v="37"/>
          </reference>
        </references>
      </pivotArea>
    </format>
    <format dxfId="408">
      <pivotArea dataOnly="0" labelOnly="1" outline="0" fieldPosition="0">
        <references count="7">
          <reference field="0" count="1" selected="0">
            <x v="127"/>
          </reference>
          <reference field="1" count="1" selected="0">
            <x v="114"/>
          </reference>
          <reference field="2" count="1" selected="0">
            <x v="174"/>
          </reference>
          <reference field="3" count="1" selected="0">
            <x v="0"/>
          </reference>
          <reference field="12" count="1" selected="0">
            <x v="0"/>
          </reference>
          <reference field="13" count="1" selected="0">
            <x v="0"/>
          </reference>
          <reference field="14" count="1">
            <x v="36"/>
          </reference>
        </references>
      </pivotArea>
    </format>
    <format dxfId="407">
      <pivotArea dataOnly="0" labelOnly="1" outline="0" fieldPosition="0">
        <references count="7">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x v="37"/>
          </reference>
        </references>
      </pivotArea>
    </format>
    <format dxfId="406">
      <pivotArea dataOnly="0" labelOnly="1" outline="0" fieldPosition="0">
        <references count="7">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x v="34"/>
          </reference>
        </references>
      </pivotArea>
    </format>
    <format dxfId="405">
      <pivotArea dataOnly="0" labelOnly="1" outline="0" fieldPosition="0">
        <references count="7">
          <reference field="0" count="1" selected="0">
            <x v="135"/>
          </reference>
          <reference field="1" count="1" selected="0">
            <x v="128"/>
          </reference>
          <reference field="2" count="1" selected="0">
            <x v="151"/>
          </reference>
          <reference field="3" count="1" selected="0">
            <x v="0"/>
          </reference>
          <reference field="12" count="1" selected="0">
            <x v="3"/>
          </reference>
          <reference field="13" count="1" selected="0">
            <x v="0"/>
          </reference>
          <reference field="14" count="1">
            <x v="37"/>
          </reference>
        </references>
      </pivotArea>
    </format>
    <format dxfId="404">
      <pivotArea dataOnly="0" labelOnly="1" outline="0" fieldPosition="0">
        <references count="7">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x v="0"/>
          </reference>
        </references>
      </pivotArea>
    </format>
    <format dxfId="403">
      <pivotArea dataOnly="0" labelOnly="1" outline="0" fieldPosition="0">
        <references count="7">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x v="23"/>
          </reference>
        </references>
      </pivotArea>
    </format>
    <format dxfId="402">
      <pivotArea dataOnly="0" labelOnly="1" outline="0" fieldPosition="0">
        <references count="7">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x v="22"/>
          </reference>
        </references>
      </pivotArea>
    </format>
    <format dxfId="401">
      <pivotArea dataOnly="0" labelOnly="1" outline="0" fieldPosition="0">
        <references count="7">
          <reference field="0" count="1" selected="0">
            <x v="148"/>
          </reference>
          <reference field="1" count="1" selected="0">
            <x v="141"/>
          </reference>
          <reference field="2" count="1" selected="0">
            <x v="95"/>
          </reference>
          <reference field="3" count="1" selected="0">
            <x v="0"/>
          </reference>
          <reference field="12" count="1" selected="0">
            <x v="26"/>
          </reference>
          <reference field="13" count="1" selected="0">
            <x v="0"/>
          </reference>
          <reference field="14" count="1">
            <x v="14"/>
          </reference>
        </references>
      </pivotArea>
    </format>
    <format dxfId="400">
      <pivotArea dataOnly="0" labelOnly="1" outline="0" fieldPosition="0">
        <references count="7">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x v="24"/>
          </reference>
        </references>
      </pivotArea>
    </format>
    <format dxfId="399">
      <pivotArea dataOnly="0" labelOnly="1" outline="0" fieldPosition="0">
        <references count="7">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x v="18"/>
          </reference>
        </references>
      </pivotArea>
    </format>
    <format dxfId="398">
      <pivotArea dataOnly="0" labelOnly="1" outline="0" fieldPosition="0">
        <references count="7">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x v="51"/>
          </reference>
        </references>
      </pivotArea>
    </format>
    <format dxfId="397">
      <pivotArea dataOnly="0" labelOnly="1" outline="0" fieldPosition="0">
        <references count="7">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x v="52"/>
          </reference>
        </references>
      </pivotArea>
    </format>
    <format dxfId="396">
      <pivotArea dataOnly="0" labelOnly="1" outline="0" fieldPosition="0">
        <references count="7">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x v="65"/>
          </reference>
        </references>
      </pivotArea>
    </format>
    <format dxfId="395">
      <pivotArea dataOnly="0" labelOnly="1" outline="0" fieldPosition="0">
        <references count="7">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x v="26"/>
          </reference>
        </references>
      </pivotArea>
    </format>
    <format dxfId="394">
      <pivotArea dataOnly="0" labelOnly="1" outline="0" fieldPosition="0">
        <references count="7">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x v="21"/>
          </reference>
        </references>
      </pivotArea>
    </format>
    <format dxfId="393">
      <pivotArea dataOnly="0" labelOnly="1" outline="0" fieldPosition="0">
        <references count="7">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x v="7"/>
          </reference>
        </references>
      </pivotArea>
    </format>
    <format dxfId="392">
      <pivotArea dataOnly="0" labelOnly="1" outline="0" fieldPosition="0">
        <references count="7">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x v="52"/>
          </reference>
        </references>
      </pivotArea>
    </format>
    <format dxfId="391">
      <pivotArea dataOnly="0" labelOnly="1" outline="0" fieldPosition="0">
        <references count="7">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x v="8"/>
          </reference>
        </references>
      </pivotArea>
    </format>
    <format dxfId="390">
      <pivotArea dataOnly="0" labelOnly="1" outline="0" fieldPosition="0">
        <references count="7">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x v="20"/>
          </reference>
        </references>
      </pivotArea>
    </format>
    <format dxfId="389">
      <pivotArea dataOnly="0" labelOnly="1" outline="0" fieldPosition="0">
        <references count="7">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x v="26"/>
          </reference>
        </references>
      </pivotArea>
    </format>
    <format dxfId="388">
      <pivotArea dataOnly="0" labelOnly="1" outline="0" fieldPosition="0">
        <references count="7">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x v="27"/>
          </reference>
        </references>
      </pivotArea>
    </format>
    <format dxfId="387">
      <pivotArea dataOnly="0" labelOnly="1" outline="0" fieldPosition="0">
        <references count="7">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x v="26"/>
          </reference>
        </references>
      </pivotArea>
    </format>
    <format dxfId="386">
      <pivotArea dataOnly="0" labelOnly="1" outline="0" fieldPosition="0">
        <references count="7">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x v="32"/>
          </reference>
        </references>
      </pivotArea>
    </format>
    <format dxfId="385">
      <pivotArea dataOnly="0" labelOnly="1" outline="0" fieldPosition="0">
        <references count="7">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x v="38"/>
          </reference>
        </references>
      </pivotArea>
    </format>
    <format dxfId="384">
      <pivotArea dataOnly="0" labelOnly="1" outline="0" fieldPosition="0">
        <references count="7">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x v="44"/>
          </reference>
        </references>
      </pivotArea>
    </format>
    <format dxfId="383">
      <pivotArea dataOnly="0" labelOnly="1" outline="0" fieldPosition="0">
        <references count="7">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x v="45"/>
          </reference>
        </references>
      </pivotArea>
    </format>
    <format dxfId="382">
      <pivotArea dataOnly="0" labelOnly="1" outline="0" fieldPosition="0">
        <references count="7">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x v="42"/>
          </reference>
        </references>
      </pivotArea>
    </format>
    <format dxfId="381">
      <pivotArea dataOnly="0" labelOnly="1" outline="0" fieldPosition="0">
        <references count="7">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x v="46"/>
          </reference>
        </references>
      </pivotArea>
    </format>
    <format dxfId="380">
      <pivotArea dataOnly="0" labelOnly="1" outline="0" fieldPosition="0">
        <references count="7">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x v="63"/>
          </reference>
        </references>
      </pivotArea>
    </format>
    <format dxfId="379">
      <pivotArea dataOnly="0" labelOnly="1" outline="0" fieldPosition="0">
        <references count="7">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x v="38"/>
          </reference>
        </references>
      </pivotArea>
    </format>
    <format dxfId="378">
      <pivotArea dataOnly="0" labelOnly="1" outline="0" fieldPosition="0">
        <references count="7">
          <reference field="0" count="1" selected="0">
            <x v="193"/>
          </reference>
          <reference field="1" count="1" selected="0">
            <x v="225"/>
          </reference>
          <reference field="2" count="1" selected="0">
            <x v="238"/>
          </reference>
          <reference field="3" count="1" selected="0">
            <x v="0"/>
          </reference>
          <reference field="12" count="1" selected="0">
            <x v="7"/>
          </reference>
          <reference field="13" count="1" selected="0">
            <x v="0"/>
          </reference>
          <reference field="14" count="1">
            <x v="0"/>
          </reference>
        </references>
      </pivotArea>
    </format>
    <format dxfId="377">
      <pivotArea dataOnly="0" labelOnly="1" outline="0" fieldPosition="0">
        <references count="7">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x v="20"/>
          </reference>
        </references>
      </pivotArea>
    </format>
    <format dxfId="376">
      <pivotArea dataOnly="0" labelOnly="1" outline="0" fieldPosition="0">
        <references count="7">
          <reference field="0" count="1" selected="0">
            <x v="200"/>
          </reference>
          <reference field="1" count="1" selected="0">
            <x v="239"/>
          </reference>
          <reference field="2" count="1" selected="0">
            <x v="34"/>
          </reference>
          <reference field="3" count="1" selected="0">
            <x v="0"/>
          </reference>
          <reference field="12" count="1" selected="0">
            <x v="20"/>
          </reference>
          <reference field="13" count="1" selected="0">
            <x v="0"/>
          </reference>
          <reference field="14" count="1">
            <x v="0"/>
          </reference>
        </references>
      </pivotArea>
    </format>
    <format dxfId="375">
      <pivotArea dataOnly="0" labelOnly="1" outline="0" fieldPosition="0">
        <references count="7">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x v="39"/>
          </reference>
        </references>
      </pivotArea>
    </format>
    <format dxfId="374">
      <pivotArea dataOnly="0" labelOnly="1" outline="0" fieldPosition="0">
        <references count="7">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x v="38"/>
          </reference>
        </references>
      </pivotArea>
    </format>
    <format dxfId="373">
      <pivotArea dataOnly="0" labelOnly="1" outline="0" fieldPosition="0">
        <references count="7">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x v="29"/>
          </reference>
        </references>
      </pivotArea>
    </format>
    <format dxfId="372">
      <pivotArea dataOnly="0" labelOnly="1" outline="0" fieldPosition="0">
        <references count="7">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x v="31"/>
          </reference>
        </references>
      </pivotArea>
    </format>
    <format dxfId="371">
      <pivotArea dataOnly="0" labelOnly="1" outline="0" fieldPosition="0">
        <references count="7">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x v="0"/>
          </reference>
        </references>
      </pivotArea>
    </format>
    <format dxfId="370">
      <pivotArea dataOnly="0" labelOnly="1" outline="0" fieldPosition="0">
        <references count="7">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x v="66"/>
          </reference>
        </references>
      </pivotArea>
    </format>
    <format dxfId="369">
      <pivotArea dataOnly="0" labelOnly="1" outline="0" fieldPosition="0">
        <references count="7">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x v="0"/>
          </reference>
        </references>
      </pivotArea>
    </format>
    <format dxfId="368">
      <pivotArea dataOnly="0" labelOnly="1" outline="0" fieldPosition="0">
        <references count="7">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x v="57"/>
          </reference>
        </references>
      </pivotArea>
    </format>
    <format dxfId="367">
      <pivotArea dataOnly="0" labelOnly="1" outline="0" fieldPosition="0">
        <references count="7">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x v="60"/>
          </reference>
        </references>
      </pivotArea>
    </format>
    <format dxfId="366">
      <pivotArea dataOnly="0" labelOnly="1" outline="0" fieldPosition="0">
        <references count="7">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x v="0"/>
          </reference>
        </references>
      </pivotArea>
    </format>
    <format dxfId="365">
      <pivotArea dataOnly="0" labelOnly="1" outline="0" fieldPosition="0">
        <references count="7">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x v="18"/>
          </reference>
        </references>
      </pivotArea>
    </format>
    <format dxfId="364">
      <pivotArea dataOnly="0" labelOnly="1" outline="0" fieldPosition="0">
        <references count="7">
          <reference field="0" count="1" selected="0">
            <x v="228"/>
          </reference>
          <reference field="1" count="1" selected="0">
            <x v="173"/>
          </reference>
          <reference field="2" count="1" selected="0">
            <x v="145"/>
          </reference>
          <reference field="3" count="1" selected="0">
            <x v="0"/>
          </reference>
          <reference field="12" count="1" selected="0">
            <x v="3"/>
          </reference>
          <reference field="13" count="1" selected="0">
            <x v="21"/>
          </reference>
          <reference field="14" count="1">
            <x v="38"/>
          </reference>
        </references>
      </pivotArea>
    </format>
    <format dxfId="363">
      <pivotArea dataOnly="0" labelOnly="1" outline="0" fieldPosition="0">
        <references count="7">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x v="34"/>
          </reference>
        </references>
      </pivotArea>
    </format>
    <format dxfId="362">
      <pivotArea dataOnly="0" labelOnly="1" outline="0" fieldPosition="0">
        <references count="7">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x v="36"/>
          </reference>
        </references>
      </pivotArea>
    </format>
    <format dxfId="361">
      <pivotArea dataOnly="0" labelOnly="1" outline="0" fieldPosition="0">
        <references count="7">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x v="38"/>
          </reference>
        </references>
      </pivotArea>
    </format>
    <format dxfId="360">
      <pivotArea dataOnly="0" labelOnly="1" outline="0" fieldPosition="0">
        <references count="7">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x v="67"/>
          </reference>
        </references>
      </pivotArea>
    </format>
    <format dxfId="359">
      <pivotArea dataOnly="0" labelOnly="1" outline="0" fieldPosition="0">
        <references count="7">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x v="38"/>
          </reference>
        </references>
      </pivotArea>
    </format>
    <format dxfId="358">
      <pivotArea dataOnly="0" labelOnly="1" outline="0" fieldPosition="0">
        <references count="7">
          <reference field="0" count="1" selected="0">
            <x v="238"/>
          </reference>
          <reference field="1" count="1" selected="0">
            <x v="194"/>
          </reference>
          <reference field="2" count="1" selected="0">
            <x v="25"/>
          </reference>
          <reference field="3" count="1" selected="0">
            <x v="0"/>
          </reference>
          <reference field="12" count="1" selected="0">
            <x v="0"/>
          </reference>
          <reference field="13" count="1" selected="0">
            <x v="0"/>
          </reference>
          <reference field="14" count="1">
            <x v="0"/>
          </reference>
        </references>
      </pivotArea>
    </format>
    <format dxfId="357">
      <pivotArea dataOnly="0" labelOnly="1" outline="0" fieldPosition="0">
        <references count="8">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x v="15"/>
          </reference>
        </references>
      </pivotArea>
    </format>
    <format dxfId="356">
      <pivotArea dataOnly="0" labelOnly="1" outline="0" fieldPosition="0">
        <references count="8">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x v="14"/>
          </reference>
        </references>
      </pivotArea>
    </format>
    <format dxfId="355">
      <pivotArea dataOnly="0" labelOnly="1" outline="0" fieldPosition="0">
        <references count="8">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x v="43"/>
          </reference>
        </references>
      </pivotArea>
    </format>
    <format dxfId="354">
      <pivotArea dataOnly="0" labelOnly="1" outline="0" fieldPosition="0">
        <references count="8">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x v="15"/>
          </reference>
        </references>
      </pivotArea>
    </format>
    <format dxfId="353">
      <pivotArea dataOnly="0" labelOnly="1" outline="0" fieldPosition="0">
        <references count="8">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x v="0"/>
          </reference>
        </references>
      </pivotArea>
    </format>
    <format dxfId="352">
      <pivotArea dataOnly="0" labelOnly="1" outline="0" fieldPosition="0">
        <references count="8">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x v="15"/>
          </reference>
        </references>
      </pivotArea>
    </format>
    <format dxfId="351">
      <pivotArea dataOnly="0" labelOnly="1" outline="0" fieldPosition="0">
        <references count="8">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x v="14"/>
          </reference>
        </references>
      </pivotArea>
    </format>
    <format dxfId="350">
      <pivotArea dataOnly="0" labelOnly="1" outline="0" fieldPosition="0">
        <references count="8">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x v="21"/>
          </reference>
        </references>
      </pivotArea>
    </format>
    <format dxfId="349">
      <pivotArea dataOnly="0" labelOnly="1" outline="0" fieldPosition="0">
        <references count="8">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x v="45"/>
          </reference>
        </references>
      </pivotArea>
    </format>
    <format dxfId="348">
      <pivotArea dataOnly="0" labelOnly="1" outline="0" fieldPosition="0">
        <references count="8">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x v="0"/>
          </reference>
        </references>
      </pivotArea>
    </format>
    <format dxfId="347">
      <pivotArea dataOnly="0" labelOnly="1" outline="0" fieldPosition="0">
        <references count="8">
          <reference field="0" count="1" selected="0">
            <x v="29"/>
          </reference>
          <reference field="1" count="1" selected="0">
            <x v="26"/>
          </reference>
          <reference field="2" count="1" selected="0">
            <x v="62"/>
          </reference>
          <reference field="3" count="1" selected="0">
            <x v="0"/>
          </reference>
          <reference field="12" count="1" selected="0">
            <x v="15"/>
          </reference>
          <reference field="13" count="1" selected="0">
            <x v="0"/>
          </reference>
          <reference field="14" count="1" selected="0">
            <x v="19"/>
          </reference>
          <reference field="15" count="1">
            <x v="12"/>
          </reference>
        </references>
      </pivotArea>
    </format>
    <format dxfId="346">
      <pivotArea dataOnly="0" labelOnly="1" outline="0" fieldPosition="0">
        <references count="8">
          <reference field="0" count="1" selected="0">
            <x v="30"/>
          </reference>
          <reference field="1" count="1" selected="0">
            <x v="27"/>
          </reference>
          <reference field="2" count="1" selected="0">
            <x v="7"/>
          </reference>
          <reference field="3" count="1" selected="0">
            <x v="0"/>
          </reference>
          <reference field="12" count="1" selected="0">
            <x v="15"/>
          </reference>
          <reference field="13" count="1" selected="0">
            <x v="0"/>
          </reference>
          <reference field="14" count="1" selected="0">
            <x v="13"/>
          </reference>
          <reference field="15" count="1">
            <x v="11"/>
          </reference>
        </references>
      </pivotArea>
    </format>
    <format dxfId="345">
      <pivotArea dataOnly="0" labelOnly="1" outline="0" fieldPosition="0">
        <references count="8">
          <reference field="0" count="1" selected="0">
            <x v="31"/>
          </reference>
          <reference field="1" count="1" selected="0">
            <x v="28"/>
          </reference>
          <reference field="2" count="1" selected="0">
            <x v="53"/>
          </reference>
          <reference field="3" count="1" selected="0">
            <x v="0"/>
          </reference>
          <reference field="12" count="1" selected="0">
            <x v="7"/>
          </reference>
          <reference field="13" count="1" selected="0">
            <x v="0"/>
          </reference>
          <reference field="14" count="1" selected="0">
            <x v="15"/>
          </reference>
          <reference field="15" count="1">
            <x v="0"/>
          </reference>
        </references>
      </pivotArea>
    </format>
    <format dxfId="344">
      <pivotArea dataOnly="0" labelOnly="1" outline="0" fieldPosition="0">
        <references count="8">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x v="23"/>
          </reference>
        </references>
      </pivotArea>
    </format>
    <format dxfId="343">
      <pivotArea dataOnly="0" labelOnly="1" outline="0" fieldPosition="0">
        <references count="8">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x v="16"/>
          </reference>
        </references>
      </pivotArea>
    </format>
    <format dxfId="342">
      <pivotArea dataOnly="0" labelOnly="1" outline="0" fieldPosition="0">
        <references count="8">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x v="0"/>
          </reference>
        </references>
      </pivotArea>
    </format>
    <format dxfId="341">
      <pivotArea dataOnly="0" labelOnly="1" outline="0" fieldPosition="0">
        <references count="8">
          <reference field="0" count="1" selected="0">
            <x v="44"/>
          </reference>
          <reference field="1" count="1" selected="0">
            <x v="6"/>
          </reference>
          <reference field="2" count="1" selected="0">
            <x v="23"/>
          </reference>
          <reference field="3" count="1" selected="0">
            <x v="0"/>
          </reference>
          <reference field="12" count="1" selected="0">
            <x v="10"/>
          </reference>
          <reference field="13" count="1" selected="0">
            <x v="0"/>
          </reference>
          <reference field="14" count="1" selected="0">
            <x v="56"/>
          </reference>
          <reference field="15" count="1">
            <x v="16"/>
          </reference>
        </references>
      </pivotArea>
    </format>
    <format dxfId="340">
      <pivotArea dataOnly="0" labelOnly="1" outline="0" fieldPosition="0">
        <references count="8">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x v="22"/>
          </reference>
        </references>
      </pivotArea>
    </format>
    <format dxfId="339">
      <pivotArea dataOnly="0" labelOnly="1" outline="0" fieldPosition="0">
        <references count="8">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x v="17"/>
          </reference>
        </references>
      </pivotArea>
    </format>
    <format dxfId="338">
      <pivotArea dataOnly="0" labelOnly="1" outline="0" fieldPosition="0">
        <references count="8">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x v="43"/>
          </reference>
        </references>
      </pivotArea>
    </format>
    <format dxfId="337">
      <pivotArea dataOnly="0" labelOnly="1" outline="0" fieldPosition="0">
        <references count="8">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x v="40"/>
          </reference>
        </references>
      </pivotArea>
    </format>
    <format dxfId="336">
      <pivotArea dataOnly="0" labelOnly="1" outline="0" fieldPosition="0">
        <references count="8">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x v="41"/>
          </reference>
        </references>
      </pivotArea>
    </format>
    <format dxfId="335">
      <pivotArea dataOnly="0" labelOnly="1" outline="0" fieldPosition="0">
        <references count="8">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x v="0"/>
          </reference>
        </references>
      </pivotArea>
    </format>
    <format dxfId="334">
      <pivotArea dataOnly="0" labelOnly="1" outline="0" fieldPosition="0">
        <references count="8">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x v="20"/>
          </reference>
        </references>
      </pivotArea>
    </format>
    <format dxfId="333">
      <pivotArea dataOnly="0" labelOnly="1" outline="0" fieldPosition="0">
        <references count="8">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x v="29"/>
          </reference>
        </references>
      </pivotArea>
    </format>
    <format dxfId="332">
      <pivotArea dataOnly="0" labelOnly="1" outline="0" fieldPosition="0">
        <references count="8">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x v="26"/>
          </reference>
        </references>
      </pivotArea>
    </format>
    <format dxfId="331">
      <pivotArea dataOnly="0" labelOnly="1" outline="0" fieldPosition="0">
        <references count="8">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x v="0"/>
          </reference>
        </references>
      </pivotArea>
    </format>
    <format dxfId="330">
      <pivotArea dataOnly="0" labelOnly="1" outline="0" fieldPosition="0">
        <references count="8">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x v="29"/>
          </reference>
        </references>
      </pivotArea>
    </format>
    <format dxfId="329">
      <pivotArea dataOnly="0" labelOnly="1" outline="0" fieldPosition="0">
        <references count="8">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x v="0"/>
          </reference>
        </references>
      </pivotArea>
    </format>
    <format dxfId="328">
      <pivotArea dataOnly="0" labelOnly="1" outline="0" fieldPosition="0">
        <references count="8">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327">
      <pivotArea dataOnly="0" labelOnly="1" outline="0" fieldPosition="0">
        <references count="8">
          <reference field="0" count="1" selected="0">
            <x v="99"/>
          </reference>
          <reference field="1" count="1" selected="0">
            <x v="86"/>
          </reference>
          <reference field="2" count="1" selected="0">
            <x v="66"/>
          </reference>
          <reference field="3" count="1" selected="0">
            <x v="0"/>
          </reference>
          <reference field="12" count="1" selected="0">
            <x v="3"/>
          </reference>
          <reference field="13" count="1" selected="0">
            <x v="0"/>
          </reference>
          <reference field="14" count="1" selected="0">
            <x v="16"/>
          </reference>
          <reference field="15" count="1">
            <x v="28"/>
          </reference>
        </references>
      </pivotArea>
    </format>
    <format dxfId="326">
      <pivotArea dataOnly="0" labelOnly="1" outline="0" fieldPosition="0">
        <references count="8">
          <reference field="0" count="1" selected="0">
            <x v="100"/>
          </reference>
          <reference field="1" count="1" selected="0">
            <x v="87"/>
          </reference>
          <reference field="2" count="1" selected="0">
            <x v="75"/>
          </reference>
          <reference field="3" count="1" selected="0">
            <x v="0"/>
          </reference>
          <reference field="12" count="1" selected="0">
            <x v="3"/>
          </reference>
          <reference field="13" count="1" selected="0">
            <x v="0"/>
          </reference>
          <reference field="14" count="1" selected="0">
            <x v="16"/>
          </reference>
          <reference field="15" count="1">
            <x v="26"/>
          </reference>
        </references>
      </pivotArea>
    </format>
    <format dxfId="325">
      <pivotArea dataOnly="0" labelOnly="1" outline="0" fieldPosition="0">
        <references count="8">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x v="0"/>
          </reference>
        </references>
      </pivotArea>
    </format>
    <format dxfId="324">
      <pivotArea dataOnly="0" labelOnly="1" outline="0" fieldPosition="0">
        <references count="8">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x v="42"/>
          </reference>
        </references>
      </pivotArea>
    </format>
    <format dxfId="323">
      <pivotArea dataOnly="0" labelOnly="1" outline="0" fieldPosition="0">
        <references count="8">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x v="0"/>
          </reference>
        </references>
      </pivotArea>
    </format>
    <format dxfId="322">
      <pivotArea dataOnly="0" labelOnly="1" outline="0" fieldPosition="0">
        <references count="8">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x v="30"/>
          </reference>
        </references>
      </pivotArea>
    </format>
    <format dxfId="321">
      <pivotArea dataOnly="0" labelOnly="1" outline="0" fieldPosition="0">
        <references count="8">
          <reference field="0" count="1" selected="0">
            <x v="108"/>
          </reference>
          <reference field="1" count="1" selected="0">
            <x v="95"/>
          </reference>
          <reference field="2" count="1" selected="0">
            <x v="236"/>
          </reference>
          <reference field="3" count="1" selected="0">
            <x v="0"/>
          </reference>
          <reference field="12" count="1" selected="0">
            <x v="7"/>
          </reference>
          <reference field="13" count="1" selected="0">
            <x v="0"/>
          </reference>
          <reference field="14" count="1" selected="0">
            <x v="55"/>
          </reference>
          <reference field="15" count="1">
            <x v="31"/>
          </reference>
        </references>
      </pivotArea>
    </format>
    <format dxfId="320">
      <pivotArea dataOnly="0" labelOnly="1" outline="0" fieldPosition="0">
        <references count="8">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x v="26"/>
          </reference>
        </references>
      </pivotArea>
    </format>
    <format dxfId="319">
      <pivotArea dataOnly="0" labelOnly="1" outline="0" fieldPosition="0">
        <references count="8">
          <reference field="0" count="1" selected="0">
            <x v="111"/>
          </reference>
          <reference field="1" count="1" selected="0">
            <x v="98"/>
          </reference>
          <reference field="2" count="1" selected="0">
            <x v="83"/>
          </reference>
          <reference field="3" count="1" selected="0">
            <x v="0"/>
          </reference>
          <reference field="12" count="1" selected="0">
            <x v="7"/>
          </reference>
          <reference field="13" count="1" selected="0">
            <x v="0"/>
          </reference>
          <reference field="14" count="1" selected="0">
            <x v="4"/>
          </reference>
          <reference field="15" count="1">
            <x v="27"/>
          </reference>
        </references>
      </pivotArea>
    </format>
    <format dxfId="318">
      <pivotArea dataOnly="0" labelOnly="1" outline="0" fieldPosition="0">
        <references count="8">
          <reference field="0" count="1" selected="0">
            <x v="113"/>
          </reference>
          <reference field="1" count="1" selected="0">
            <x v="100"/>
          </reference>
          <reference field="2" count="1" selected="0">
            <x v="124"/>
          </reference>
          <reference field="3" count="1" selected="0">
            <x v="0"/>
          </reference>
          <reference field="12" count="1" selected="0">
            <x v="7"/>
          </reference>
          <reference field="13" count="1" selected="0">
            <x v="0"/>
          </reference>
          <reference field="14" count="1" selected="0">
            <x v="7"/>
          </reference>
          <reference field="15" count="1">
            <x v="0"/>
          </reference>
        </references>
      </pivotArea>
    </format>
    <format dxfId="317">
      <pivotArea dataOnly="0" labelOnly="1" outline="0" fieldPosition="0">
        <references count="8">
          <reference field="0" count="1" selected="0">
            <x v="125"/>
          </reference>
          <reference field="1" count="1" selected="0">
            <x v="112"/>
          </reference>
          <reference field="2" count="1" selected="0">
            <x v="197"/>
          </reference>
          <reference field="3" count="1" selected="0">
            <x v="0"/>
          </reference>
          <reference field="12" count="1" selected="0">
            <x v="3"/>
          </reference>
          <reference field="13" count="1" selected="0">
            <x v="0"/>
          </reference>
          <reference field="14" count="1" selected="0">
            <x v="34"/>
          </reference>
          <reference field="15" count="1">
            <x v="32"/>
          </reference>
        </references>
      </pivotArea>
    </format>
    <format dxfId="316">
      <pivotArea dataOnly="0" labelOnly="1" outline="0" fieldPosition="0">
        <references count="8">
          <reference field="0" count="1" selected="0">
            <x v="128"/>
          </reference>
          <reference field="1" count="1" selected="0">
            <x v="115"/>
          </reference>
          <reference field="2" count="1" selected="0">
            <x v="59"/>
          </reference>
          <reference field="3" count="1" selected="0">
            <x v="0"/>
          </reference>
          <reference field="12" count="1" selected="0">
            <x v="0"/>
          </reference>
          <reference field="13" count="1" selected="0">
            <x v="0"/>
          </reference>
          <reference field="14" count="1" selected="0">
            <x v="37"/>
          </reference>
          <reference field="15" count="1">
            <x v="0"/>
          </reference>
        </references>
      </pivotArea>
    </format>
    <format dxfId="315">
      <pivotArea dataOnly="0" labelOnly="1" outline="0" fieldPosition="0">
        <references count="8">
          <reference field="0" count="1" selected="0">
            <x v="129"/>
          </reference>
          <reference field="1" count="1" selected="0">
            <x v="116"/>
          </reference>
          <reference field="2" count="1" selected="0">
            <x v="212"/>
          </reference>
          <reference field="3" count="1" selected="0">
            <x v="0"/>
          </reference>
          <reference field="12" count="1" selected="0">
            <x v="3"/>
          </reference>
          <reference field="13" count="1" selected="0">
            <x v="0"/>
          </reference>
          <reference field="14" count="1" selected="0">
            <x v="37"/>
          </reference>
          <reference field="15" count="1">
            <x v="32"/>
          </reference>
        </references>
      </pivotArea>
    </format>
    <format dxfId="314">
      <pivotArea dataOnly="0" labelOnly="1" outline="0" fieldPosition="0">
        <references count="8">
          <reference field="0" count="1" selected="0">
            <x v="134"/>
          </reference>
          <reference field="1" count="1" selected="0">
            <x v="127"/>
          </reference>
          <reference field="2" count="1" selected="0">
            <x v="2"/>
          </reference>
          <reference field="3" count="1" selected="0">
            <x v="0"/>
          </reference>
          <reference field="12" count="1" selected="0">
            <x v="4"/>
          </reference>
          <reference field="13" count="1" selected="0">
            <x v="0"/>
          </reference>
          <reference field="14" count="1" selected="0">
            <x v="34"/>
          </reference>
          <reference field="15" count="1">
            <x v="43"/>
          </reference>
        </references>
      </pivotArea>
    </format>
    <format dxfId="313">
      <pivotArea dataOnly="0" labelOnly="1" outline="0" fieldPosition="0">
        <references count="8">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x v="0"/>
          </reference>
        </references>
      </pivotArea>
    </format>
    <format dxfId="312">
      <pivotArea dataOnly="0" labelOnly="1" outline="0" fieldPosition="0">
        <references count="8">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x v="33"/>
          </reference>
        </references>
      </pivotArea>
    </format>
    <format dxfId="311">
      <pivotArea dataOnly="0" labelOnly="1" outline="0" fieldPosition="0">
        <references count="8">
          <reference field="0" count="1" selected="0">
            <x v="147"/>
          </reference>
          <reference field="1" count="1" selected="0">
            <x v="140"/>
          </reference>
          <reference field="2" count="1" selected="0">
            <x v="211"/>
          </reference>
          <reference field="3" count="1" selected="0">
            <x v="0"/>
          </reference>
          <reference field="12" count="1" selected="0">
            <x v="26"/>
          </reference>
          <reference field="13" count="1" selected="0">
            <x v="0"/>
          </reference>
          <reference field="14" count="1" selected="0">
            <x v="22"/>
          </reference>
          <reference field="15" count="1">
            <x v="24"/>
          </reference>
        </references>
      </pivotArea>
    </format>
    <format dxfId="310">
      <pivotArea dataOnly="0" labelOnly="1" outline="0" fieldPosition="0">
        <references count="8">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x v="2"/>
          </reference>
        </references>
      </pivotArea>
    </format>
    <format dxfId="309">
      <pivotArea dataOnly="0" labelOnly="1" outline="0" fieldPosition="0">
        <references count="8">
          <reference field="0" count="1" selected="0">
            <x v="153"/>
          </reference>
          <reference field="1" count="1" selected="0">
            <x v="146"/>
          </reference>
          <reference field="2" count="1" selected="0">
            <x v="54"/>
          </reference>
          <reference field="3" count="1" selected="0">
            <x v="0"/>
          </reference>
          <reference field="12" count="1" selected="0">
            <x v="14"/>
          </reference>
          <reference field="13" count="1" selected="0">
            <x v="0"/>
          </reference>
          <reference field="14" count="1" selected="0">
            <x v="18"/>
          </reference>
          <reference field="15" count="1">
            <x v="0"/>
          </reference>
        </references>
      </pivotArea>
    </format>
    <format dxfId="308">
      <pivotArea dataOnly="0" labelOnly="1" outline="0" fieldPosition="0">
        <references count="8">
          <reference field="0" count="1" selected="0">
            <x v="154"/>
          </reference>
          <reference field="1" count="1" selected="0">
            <x v="147"/>
          </reference>
          <reference field="2" count="1" selected="0">
            <x v="109"/>
          </reference>
          <reference field="3" count="1" selected="0">
            <x v="0"/>
          </reference>
          <reference field="12" count="1" selected="0">
            <x v="14"/>
          </reference>
          <reference field="13" count="1" selected="0">
            <x v="0"/>
          </reference>
          <reference field="14" count="1" selected="0">
            <x v="18"/>
          </reference>
          <reference field="15" count="1">
            <x v="3"/>
          </reference>
        </references>
      </pivotArea>
    </format>
    <format dxfId="307">
      <pivotArea dataOnly="0" labelOnly="1" outline="0" fieldPosition="0">
        <references count="8">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x v="1"/>
          </reference>
        </references>
      </pivotArea>
    </format>
    <format dxfId="306">
      <pivotArea dataOnly="0" labelOnly="1" outline="0" fieldPosition="0">
        <references count="8">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x v="8"/>
          </reference>
        </references>
      </pivotArea>
    </format>
    <format dxfId="305">
      <pivotArea dataOnly="0" labelOnly="1" outline="0" fieldPosition="0">
        <references count="8">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x v="7"/>
          </reference>
        </references>
      </pivotArea>
    </format>
    <format dxfId="304">
      <pivotArea dataOnly="0" labelOnly="1" outline="0" fieldPosition="0">
        <references count="8">
          <reference field="0" count="1" selected="0">
            <x v="162"/>
          </reference>
          <reference field="1" count="1" selected="0">
            <x v="186"/>
          </reference>
          <reference field="2" count="1" selected="0">
            <x v="125"/>
          </reference>
          <reference field="3" count="1" selected="0">
            <x v="0"/>
          </reference>
          <reference field="12" count="1" selected="0">
            <x v="10"/>
          </reference>
          <reference field="13" count="1" selected="0">
            <x v="0"/>
          </reference>
          <reference field="14" count="1" selected="0">
            <x v="65"/>
          </reference>
          <reference field="15" count="1">
            <x v="0"/>
          </reference>
        </references>
      </pivotArea>
    </format>
    <format dxfId="303">
      <pivotArea dataOnly="0" labelOnly="1" outline="0" fieldPosition="0">
        <references count="8">
          <reference field="0" count="1" selected="0">
            <x v="164"/>
          </reference>
          <reference field="1" count="1" selected="0">
            <x v="188"/>
          </reference>
          <reference field="2" count="1" selected="0">
            <x v="119"/>
          </reference>
          <reference field="3" count="1" selected="0">
            <x v="0"/>
          </reference>
          <reference field="12" count="1" selected="0">
            <x v="13"/>
          </reference>
          <reference field="13" count="1" selected="0">
            <x v="0"/>
          </reference>
          <reference field="14" count="1" selected="0">
            <x v="26"/>
          </reference>
          <reference field="15" count="1">
            <x v="5"/>
          </reference>
        </references>
      </pivotArea>
    </format>
    <format dxfId="302">
      <pivotArea dataOnly="0" labelOnly="1" outline="0" fieldPosition="0">
        <references count="8">
          <reference field="0" count="1" selected="0">
            <x v="165"/>
          </reference>
          <reference field="1" count="1" selected="0">
            <x v="189"/>
          </reference>
          <reference field="2" count="1" selected="0">
            <x v="156"/>
          </reference>
          <reference field="3" count="1" selected="0">
            <x v="0"/>
          </reference>
          <reference field="12" count="1" selected="0">
            <x v="13"/>
          </reference>
          <reference field="13" count="1" selected="0">
            <x v="0"/>
          </reference>
          <reference field="14" count="1" selected="0">
            <x v="21"/>
          </reference>
          <reference field="15" count="1">
            <x v="6"/>
          </reference>
        </references>
      </pivotArea>
    </format>
    <format dxfId="301">
      <pivotArea dataOnly="0" labelOnly="1" outline="0" fieldPosition="0">
        <references count="8">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x v="19"/>
          </reference>
        </references>
      </pivotArea>
    </format>
    <format dxfId="300">
      <pivotArea dataOnly="0" labelOnly="1" outline="0" fieldPosition="0">
        <references count="8">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x v="18"/>
          </reference>
        </references>
      </pivotArea>
    </format>
    <format dxfId="299">
      <pivotArea dataOnly="0" labelOnly="1" outline="0" fieldPosition="0">
        <references count="8">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x v="30"/>
          </reference>
        </references>
      </pivotArea>
    </format>
    <format dxfId="298">
      <pivotArea dataOnly="0" labelOnly="1" outline="0" fieldPosition="0">
        <references count="8">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x v="38"/>
          </reference>
        </references>
      </pivotArea>
    </format>
    <format dxfId="297">
      <pivotArea dataOnly="0" labelOnly="1" outline="0" fieldPosition="0">
        <references count="8">
          <reference field="0" count="1" selected="0">
            <x v="175"/>
          </reference>
          <reference field="1" count="1" selected="0">
            <x v="207"/>
          </reference>
          <reference field="2" count="1" selected="0">
            <x v="172"/>
          </reference>
          <reference field="3" count="1" selected="0">
            <x v="0"/>
          </reference>
          <reference field="12" count="1" selected="0">
            <x v="21"/>
          </reference>
          <reference field="13" count="1" selected="0">
            <x v="0"/>
          </reference>
          <reference field="14" count="1" selected="0">
            <x v="26"/>
          </reference>
          <reference field="15" count="1">
            <x v="0"/>
          </reference>
        </references>
      </pivotArea>
    </format>
    <format dxfId="296">
      <pivotArea dataOnly="0" labelOnly="1" outline="0" fieldPosition="0">
        <references count="8">
          <reference field="0" count="1" selected="0">
            <x v="177"/>
          </reference>
          <reference field="1" count="1" selected="0">
            <x v="209"/>
          </reference>
          <reference field="2" count="1" selected="0">
            <x v="114"/>
          </reference>
          <reference field="3" count="1" selected="0">
            <x v="0"/>
          </reference>
          <reference field="12" count="1" selected="0">
            <x v="20"/>
          </reference>
          <reference field="13" count="1" selected="0">
            <x v="0"/>
          </reference>
          <reference field="14" count="1" selected="0">
            <x v="27"/>
          </reference>
          <reference field="15" count="1">
            <x v="10"/>
          </reference>
        </references>
      </pivotArea>
    </format>
    <format dxfId="295">
      <pivotArea dataOnly="0" labelOnly="1" outline="0" fieldPosition="0">
        <references count="8">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x v="0"/>
          </reference>
        </references>
      </pivotArea>
    </format>
    <format dxfId="294">
      <pivotArea dataOnly="0" labelOnly="1" outline="0" fieldPosition="0">
        <references count="8">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x v="39"/>
          </reference>
        </references>
      </pivotArea>
    </format>
    <format dxfId="293">
      <pivotArea dataOnly="0" labelOnly="1" outline="0" fieldPosition="0">
        <references count="8">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x v="43"/>
          </reference>
        </references>
      </pivotArea>
    </format>
    <format dxfId="292">
      <pivotArea dataOnly="0" labelOnly="1" outline="0" fieldPosition="0">
        <references count="8">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291">
      <pivotArea dataOnly="0" labelOnly="1" outline="0" fieldPosition="0">
        <references count="8">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290">
      <pivotArea dataOnly="0" labelOnly="1" outline="0" fieldPosition="0">
        <references count="8">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x v="15"/>
          </reference>
        </references>
      </pivotArea>
    </format>
    <format dxfId="289">
      <pivotArea dataOnly="0" labelOnly="1" outline="0" fieldPosition="0">
        <references count="8">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x v="37"/>
          </reference>
        </references>
      </pivotArea>
    </format>
    <format dxfId="288">
      <pivotArea dataOnly="0" labelOnly="1" outline="0" fieldPosition="0">
        <references count="8">
          <reference field="0" count="1" selected="0">
            <x v="186"/>
          </reference>
          <reference field="1" count="1" selected="0">
            <x v="218"/>
          </reference>
          <reference field="2" count="1" selected="0">
            <x v="93"/>
          </reference>
          <reference field="3" count="1" selected="0">
            <x v="0"/>
          </reference>
          <reference field="12" count="1" selected="0">
            <x v="12"/>
          </reference>
          <reference field="13" count="1" selected="0">
            <x v="2"/>
          </reference>
          <reference field="14" count="1" selected="0">
            <x v="42"/>
          </reference>
          <reference field="15" count="1">
            <x v="15"/>
          </reference>
        </references>
      </pivotArea>
    </format>
    <format dxfId="287">
      <pivotArea dataOnly="0" labelOnly="1" outline="0" fieldPosition="0">
        <references count="8">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x v="25"/>
          </reference>
        </references>
      </pivotArea>
    </format>
    <format dxfId="286">
      <pivotArea dataOnly="0" labelOnly="1" outline="0" fieldPosition="0">
        <references count="8">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x v="23"/>
          </reference>
        </references>
      </pivotArea>
    </format>
    <format dxfId="285">
      <pivotArea dataOnly="0" labelOnly="1" outline="0" fieldPosition="0">
        <references count="8">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x v="0"/>
          </reference>
        </references>
      </pivotArea>
    </format>
    <format dxfId="284">
      <pivotArea dataOnly="0" labelOnly="1" outline="0" fieldPosition="0">
        <references count="8">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x v="36"/>
          </reference>
        </references>
      </pivotArea>
    </format>
    <format dxfId="283">
      <pivotArea dataOnly="0" labelOnly="1" outline="0" fieldPosition="0">
        <references count="8">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x v="9"/>
          </reference>
        </references>
      </pivotArea>
    </format>
    <format dxfId="282">
      <pivotArea dataOnly="0" labelOnly="1" outline="0" fieldPosition="0">
        <references count="8">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x v="15"/>
          </reference>
        </references>
      </pivotArea>
    </format>
    <format dxfId="281">
      <pivotArea dataOnly="0" labelOnly="1" outline="0" fieldPosition="0">
        <references count="8">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x v="47"/>
          </reference>
        </references>
      </pivotArea>
    </format>
    <format dxfId="280">
      <pivotArea dataOnly="0" labelOnly="1" outline="0" fieldPosition="0">
        <references count="8">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x v="15"/>
          </reference>
        </references>
      </pivotArea>
    </format>
    <format dxfId="279">
      <pivotArea dataOnly="0" labelOnly="1" outline="0" fieldPosition="0">
        <references count="9">
          <reference field="0" count="1" selected="0">
            <x v="0"/>
          </reference>
          <reference field="1" count="1" selected="0">
            <x v="228"/>
          </reference>
          <reference field="2" count="1" selected="0">
            <x v="153"/>
          </reference>
          <reference field="3" count="1" selected="0">
            <x v="0"/>
          </reference>
          <reference field="12" count="1" selected="0">
            <x v="7"/>
          </reference>
          <reference field="13" count="1" selected="0">
            <x v="24"/>
          </reference>
          <reference field="14" count="1" selected="0">
            <x v="38"/>
          </reference>
          <reference field="15" count="1" selected="0">
            <x v="15"/>
          </reference>
          <reference field="16" count="1">
            <x v="63"/>
          </reference>
        </references>
      </pivotArea>
    </format>
    <format dxfId="278">
      <pivotArea dataOnly="0" labelOnly="1" outline="0" fieldPosition="0">
        <references count="9">
          <reference field="0" count="1" selected="0">
            <x v="2"/>
          </reference>
          <reference field="1" count="1" selected="0">
            <x v="230"/>
          </reference>
          <reference field="2" count="1" selected="0">
            <x v="225"/>
          </reference>
          <reference field="3" count="1" selected="0">
            <x v="0"/>
          </reference>
          <reference field="12" count="1" selected="0">
            <x v="7"/>
          </reference>
          <reference field="13" count="1" selected="0">
            <x v="0"/>
          </reference>
          <reference field="14" count="1" selected="0">
            <x v="0"/>
          </reference>
          <reference field="15" count="1" selected="0">
            <x v="14"/>
          </reference>
          <reference field="16" count="1">
            <x v="62"/>
          </reference>
        </references>
      </pivotArea>
    </format>
    <format dxfId="277">
      <pivotArea dataOnly="0" labelOnly="1" outline="0" fieldPosition="0">
        <references count="9">
          <reference field="0" count="1" selected="0">
            <x v="3"/>
          </reference>
          <reference field="1" count="1" selected="0">
            <x v="231"/>
          </reference>
          <reference field="2" count="1" selected="0">
            <x v="88"/>
          </reference>
          <reference field="3" count="1" selected="0">
            <x v="0"/>
          </reference>
          <reference field="12" count="1" selected="0">
            <x v="3"/>
          </reference>
          <reference field="13" count="1" selected="0">
            <x v="0"/>
          </reference>
          <reference field="14" count="1" selected="0">
            <x v="35"/>
          </reference>
          <reference field="15" count="1" selected="0">
            <x v="43"/>
          </reference>
          <reference field="16" count="1">
            <x v="64"/>
          </reference>
        </references>
      </pivotArea>
    </format>
    <format dxfId="276">
      <pivotArea dataOnly="0" labelOnly="1" outline="0" fieldPosition="0">
        <references count="9">
          <reference field="0" count="1" selected="0">
            <x v="5"/>
          </reference>
          <reference field="1" count="1" selected="0">
            <x v="233"/>
          </reference>
          <reference field="2" count="1" selected="0">
            <x v="224"/>
          </reference>
          <reference field="3" count="1" selected="0">
            <x v="0"/>
          </reference>
          <reference field="12" count="1" selected="0">
            <x v="7"/>
          </reference>
          <reference field="13" count="1" selected="0">
            <x v="0"/>
          </reference>
          <reference field="14" count="1" selected="0">
            <x v="38"/>
          </reference>
          <reference field="15" count="1" selected="0">
            <x v="15"/>
          </reference>
          <reference field="16" count="1">
            <x v="63"/>
          </reference>
        </references>
      </pivotArea>
    </format>
    <format dxfId="275">
      <pivotArea dataOnly="0" labelOnly="1" outline="0" fieldPosition="0">
        <references count="9">
          <reference field="0" count="1" selected="0">
            <x v="7"/>
          </reference>
          <reference field="1" count="1" selected="0">
            <x v="118"/>
          </reference>
          <reference field="2" count="1" selected="0">
            <x v="171"/>
          </reference>
          <reference field="3" count="1" selected="0">
            <x v="0"/>
          </reference>
          <reference field="12" count="1" selected="0">
            <x v="0"/>
          </reference>
          <reference field="13" count="1" selected="0">
            <x v="0"/>
          </reference>
          <reference field="14" count="1" selected="0">
            <x v="28"/>
          </reference>
          <reference field="15" count="1" selected="0">
            <x v="0"/>
          </reference>
          <reference field="16" count="1">
            <x v="0"/>
          </reference>
        </references>
      </pivotArea>
    </format>
    <format dxfId="274">
      <pivotArea dataOnly="0" labelOnly="1" outline="0" fieldPosition="0">
        <references count="9">
          <reference field="0" count="1" selected="0">
            <x v="12"/>
          </reference>
          <reference field="1" count="1" selected="0">
            <x v="123"/>
          </reference>
          <reference field="2" count="1" selected="0">
            <x v="150"/>
          </reference>
          <reference field="3" count="1" selected="0">
            <x v="0"/>
          </reference>
          <reference field="12" count="1" selected="0">
            <x v="0"/>
          </reference>
          <reference field="13" count="1" selected="0">
            <x v="2"/>
          </reference>
          <reference field="14" count="1" selected="0">
            <x v="40"/>
          </reference>
          <reference field="15" count="1" selected="0">
            <x v="15"/>
          </reference>
          <reference field="16" count="1">
            <x v="63"/>
          </reference>
        </references>
      </pivotArea>
    </format>
    <format dxfId="273">
      <pivotArea dataOnly="0" labelOnly="1" outline="0" fieldPosition="0">
        <references count="9">
          <reference field="0" count="1" selected="0">
            <x v="16"/>
          </reference>
          <reference field="1" count="1" selected="0">
            <x v="64"/>
          </reference>
          <reference field="2" count="1" selected="0">
            <x v="157"/>
          </reference>
          <reference field="3" count="1" selected="0">
            <x v="0"/>
          </reference>
          <reference field="12" count="1" selected="0">
            <x v="7"/>
          </reference>
          <reference field="13" count="1" selected="0">
            <x v="0"/>
          </reference>
          <reference field="14" count="1" selected="0">
            <x v="38"/>
          </reference>
          <reference field="15" count="1" selected="0">
            <x v="14"/>
          </reference>
          <reference field="16" count="1">
            <x v="0"/>
          </reference>
        </references>
      </pivotArea>
    </format>
    <format dxfId="272">
      <pivotArea dataOnly="0" labelOnly="1" outline="0" fieldPosition="0">
        <references count="9">
          <reference field="0" count="1" selected="0">
            <x v="25"/>
          </reference>
          <reference field="1" count="1" selected="0">
            <x v="22"/>
          </reference>
          <reference field="2" count="1" selected="0">
            <x v="84"/>
          </reference>
          <reference field="3" count="1" selected="0">
            <x v="0"/>
          </reference>
          <reference field="12" count="1" selected="0">
            <x v="9"/>
          </reference>
          <reference field="13" count="1" selected="0">
            <x v="0"/>
          </reference>
          <reference field="14" count="1" selected="0">
            <x v="1"/>
          </reference>
          <reference field="15" count="1" selected="0">
            <x v="21"/>
          </reference>
          <reference field="16" count="1">
            <x v="7"/>
          </reference>
        </references>
      </pivotArea>
    </format>
    <format dxfId="271">
      <pivotArea dataOnly="0" labelOnly="1" outline="0" fieldPosition="0">
        <references count="9">
          <reference field="0" count="1" selected="0">
            <x v="26"/>
          </reference>
          <reference field="1" count="1" selected="0">
            <x v="23"/>
          </reference>
          <reference field="2" count="1" selected="0">
            <x v="217"/>
          </reference>
          <reference field="3" count="1" selected="0">
            <x v="0"/>
          </reference>
          <reference field="12" count="1" selected="0">
            <x v="5"/>
          </reference>
          <reference field="13" count="1" selected="0">
            <x v="0"/>
          </reference>
          <reference field="14" count="1" selected="0">
            <x v="1"/>
          </reference>
          <reference field="15" count="1" selected="0">
            <x v="45"/>
          </reference>
          <reference field="16" count="1">
            <x v="4"/>
          </reference>
        </references>
      </pivotArea>
    </format>
    <format dxfId="270">
      <pivotArea dataOnly="0" labelOnly="1" outline="0" fieldPosition="0">
        <references count="9">
          <reference field="0" count="1" selected="0">
            <x v="28"/>
          </reference>
          <reference field="1" count="1" selected="0">
            <x v="25"/>
          </reference>
          <reference field="2" count="1" selected="0">
            <x v="52"/>
          </reference>
          <reference field="3" count="1" selected="0">
            <x v="0"/>
          </reference>
          <reference field="12" count="1" selected="0">
            <x v="0"/>
          </reference>
          <reference field="13" count="1" selected="0">
            <x v="0"/>
          </reference>
          <reference field="14" count="1" selected="0">
            <x v="3"/>
          </reference>
          <reference field="15" count="1" selected="0">
            <x v="0"/>
          </reference>
          <reference field="16" count="1">
            <x v="0"/>
          </reference>
        </references>
      </pivotArea>
    </format>
    <format dxfId="269">
      <pivotArea dataOnly="0" labelOnly="1" outline="0" fieldPosition="0">
        <references count="9">
          <reference field="0" count="1" selected="0">
            <x v="35"/>
          </reference>
          <reference field="1" count="1" selected="0">
            <x v="32"/>
          </reference>
          <reference field="2" count="1" selected="0">
            <x v="51"/>
          </reference>
          <reference field="3" count="1" selected="0">
            <x v="0"/>
          </reference>
          <reference field="12" count="1" selected="0">
            <x v="9"/>
          </reference>
          <reference field="13" count="1" selected="0">
            <x v="0"/>
          </reference>
          <reference field="14" count="1" selected="0">
            <x v="61"/>
          </reference>
          <reference field="15" count="1" selected="0">
            <x v="23"/>
          </reference>
          <reference field="16" count="1">
            <x v="13"/>
          </reference>
        </references>
      </pivotArea>
    </format>
    <format dxfId="268">
      <pivotArea dataOnly="0" labelOnly="1" outline="0" fieldPosition="0">
        <references count="9">
          <reference field="0" count="1" selected="0">
            <x v="36"/>
          </reference>
          <reference field="1" count="1" selected="0">
            <x v="33"/>
          </reference>
          <reference field="2" count="1" selected="0">
            <x v="130"/>
          </reference>
          <reference field="3" count="1" selected="0">
            <x v="0"/>
          </reference>
          <reference field="12" count="1" selected="0">
            <x v="22"/>
          </reference>
          <reference field="13" count="1" selected="0">
            <x v="0"/>
          </reference>
          <reference field="14" count="1" selected="0">
            <x v="2"/>
          </reference>
          <reference field="15" count="1" selected="0">
            <x v="23"/>
          </reference>
          <reference field="16" count="1">
            <x v="2"/>
          </reference>
        </references>
      </pivotArea>
    </format>
    <format dxfId="267">
      <pivotArea dataOnly="0" labelOnly="1" outline="0" fieldPosition="0">
        <references count="9">
          <reference field="0" count="1" selected="0">
            <x v="38"/>
          </reference>
          <reference field="1" count="1" selected="0">
            <x v="0"/>
          </reference>
          <reference field="2" count="1" selected="0">
            <x v="45"/>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39"/>
          </reference>
        </references>
      </pivotArea>
    </format>
    <format dxfId="266">
      <pivotArea dataOnly="0" labelOnly="1" outline="0" fieldPosition="0">
        <references count="9">
          <reference field="0" count="1" selected="0">
            <x v="39"/>
          </reference>
          <reference field="1" count="1" selected="0">
            <x v="1"/>
          </reference>
          <reference field="2" count="1" selected="0">
            <x v="46"/>
          </reference>
          <reference field="3" count="1" selected="0">
            <x v="0"/>
          </reference>
          <reference field="12" count="1" selected="0">
            <x v="10"/>
          </reference>
          <reference field="13" count="1" selected="0">
            <x v="0"/>
          </reference>
          <reference field="14" count="1" selected="0">
            <x v="62"/>
          </reference>
          <reference field="15" count="1" selected="0">
            <x v="16"/>
          </reference>
          <reference field="16" count="1">
            <x v="40"/>
          </reference>
        </references>
      </pivotArea>
    </format>
    <format dxfId="265">
      <pivotArea dataOnly="0" labelOnly="1" outline="0" fieldPosition="0">
        <references count="9">
          <reference field="0" count="1" selected="0">
            <x v="42"/>
          </reference>
          <reference field="1" count="1" selected="0">
            <x v="4"/>
          </reference>
          <reference field="2" count="1" selected="0">
            <x v="64"/>
          </reference>
          <reference field="3" count="1" selected="0">
            <x v="0"/>
          </reference>
          <reference field="12" count="1" selected="0">
            <x v="10"/>
          </reference>
          <reference field="13" count="1" selected="0">
            <x v="0"/>
          </reference>
          <reference field="14" count="1" selected="0">
            <x v="58"/>
          </reference>
          <reference field="15" count="1" selected="0">
            <x v="16"/>
          </reference>
          <reference field="16" count="1">
            <x v="35"/>
          </reference>
        </references>
      </pivotArea>
    </format>
    <format dxfId="264">
      <pivotArea dataOnly="0" labelOnly="1" outline="0" fieldPosition="0">
        <references count="9">
          <reference field="0" count="1" selected="0">
            <x v="43"/>
          </reference>
          <reference field="1" count="1" selected="0">
            <x v="5"/>
          </reference>
          <reference field="2" count="1" selected="0">
            <x v="19"/>
          </reference>
          <reference field="3" count="1" selected="0">
            <x v="0"/>
          </reference>
          <reference field="12" count="1" selected="0">
            <x v="10"/>
          </reference>
          <reference field="13" count="1" selected="0">
            <x v="0"/>
          </reference>
          <reference field="14" count="1" selected="0">
            <x v="56"/>
          </reference>
          <reference field="15" count="1" selected="0">
            <x v="0"/>
          </reference>
          <reference field="16" count="1">
            <x v="0"/>
          </reference>
        </references>
      </pivotArea>
    </format>
    <format dxfId="263">
      <pivotArea dataOnly="0" labelOnly="1" outline="0" fieldPosition="0">
        <references count="9">
          <reference field="0" count="1" selected="0">
            <x v="45"/>
          </reference>
          <reference field="1" count="1" selected="0">
            <x v="7"/>
          </reference>
          <reference field="2" count="1" selected="0">
            <x v="22"/>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36"/>
          </reference>
        </references>
      </pivotArea>
    </format>
    <format dxfId="262">
      <pivotArea dataOnly="0" labelOnly="1" outline="0" fieldPosition="0">
        <references count="9">
          <reference field="0" count="1" selected="0">
            <x v="46"/>
          </reference>
          <reference field="1" count="1" selected="0">
            <x v="8"/>
          </reference>
          <reference field="2" count="1" selected="0">
            <x v="135"/>
          </reference>
          <reference field="3" count="1" selected="0">
            <x v="0"/>
          </reference>
          <reference field="12" count="1" selected="0">
            <x v="10"/>
          </reference>
          <reference field="13" count="1" selected="0">
            <x v="0"/>
          </reference>
          <reference field="14" count="1" selected="0">
            <x v="56"/>
          </reference>
          <reference field="15" count="1" selected="0">
            <x v="16"/>
          </reference>
          <reference field="16" count="1">
            <x v="0"/>
          </reference>
        </references>
      </pivotArea>
    </format>
    <format dxfId="261">
      <pivotArea dataOnly="0" labelOnly="1" outline="0" fieldPosition="0">
        <references count="9">
          <reference field="0" count="1" selected="0">
            <x v="47"/>
          </reference>
          <reference field="1" count="1" selected="0">
            <x v="9"/>
          </reference>
          <reference field="2" count="1" selected="0">
            <x v="141"/>
          </reference>
          <reference field="3" count="1" selected="0">
            <x v="0"/>
          </reference>
          <reference field="12" count="1" selected="0">
            <x v="10"/>
          </reference>
          <reference field="13" count="1" selected="0">
            <x v="0"/>
          </reference>
          <reference field="14" count="1" selected="0">
            <x v="56"/>
          </reference>
          <reference field="15" count="1" selected="0">
            <x v="22"/>
          </reference>
          <reference field="16" count="1">
            <x v="37"/>
          </reference>
        </references>
      </pivotArea>
    </format>
    <format dxfId="260">
      <pivotArea dataOnly="0" labelOnly="1" outline="0" fieldPosition="0">
        <references count="9">
          <reference field="0" count="1" selected="0">
            <x v="49"/>
          </reference>
          <reference field="1" count="1" selected="0">
            <x v="11"/>
          </reference>
          <reference field="2" count="1" selected="0">
            <x v="127"/>
          </reference>
          <reference field="3" count="1" selected="0">
            <x v="0"/>
          </reference>
          <reference field="12" count="1" selected="0">
            <x v="10"/>
          </reference>
          <reference field="13" count="1" selected="0">
            <x v="0"/>
          </reference>
          <reference field="14" count="1" selected="0">
            <x v="66"/>
          </reference>
          <reference field="15" count="1" selected="0">
            <x v="17"/>
          </reference>
          <reference field="16" count="1">
            <x v="0"/>
          </reference>
        </references>
      </pivotArea>
    </format>
    <format dxfId="259">
      <pivotArea dataOnly="0" labelOnly="1" outline="0" fieldPosition="0">
        <references count="9">
          <reference field="0" count="1" selected="0">
            <x v="55"/>
          </reference>
          <reference field="1" count="1" selected="0">
            <x v="35"/>
          </reference>
          <reference field="2" count="1" selected="0">
            <x v="65"/>
          </reference>
          <reference field="3" count="1" selected="0">
            <x v="0"/>
          </reference>
          <reference field="12" count="1" selected="0">
            <x v="3"/>
          </reference>
          <reference field="13" count="1" selected="0">
            <x v="0"/>
          </reference>
          <reference field="14" count="1" selected="0">
            <x v="34"/>
          </reference>
          <reference field="15" count="1" selected="0">
            <x v="43"/>
          </reference>
          <reference field="16" count="1">
            <x v="19"/>
          </reference>
        </references>
      </pivotArea>
    </format>
    <format dxfId="258">
      <pivotArea dataOnly="0" labelOnly="1" outline="0" fieldPosition="0">
        <references count="9">
          <reference field="0" count="1" selected="0">
            <x v="62"/>
          </reference>
          <reference field="1" count="1" selected="0">
            <x v="42"/>
          </reference>
          <reference field="2" count="1" selected="0">
            <x v="15"/>
          </reference>
          <reference field="3" count="1" selected="0">
            <x v="0"/>
          </reference>
          <reference field="12" count="1" selected="0">
            <x v="3"/>
          </reference>
          <reference field="13" count="1" selected="0">
            <x v="0"/>
          </reference>
          <reference field="14" count="1" selected="0">
            <x v="47"/>
          </reference>
          <reference field="15" count="1" selected="0">
            <x v="43"/>
          </reference>
          <reference field="16" count="1">
            <x v="0"/>
          </reference>
        </references>
      </pivotArea>
    </format>
    <format dxfId="257">
      <pivotArea dataOnly="0" labelOnly="1" outline="0" fieldPosition="0">
        <references count="9">
          <reference field="0" count="1" selected="0">
            <x v="66"/>
          </reference>
          <reference field="1" count="1" selected="0">
            <x v="46"/>
          </reference>
          <reference field="2" count="1" selected="0">
            <x v="92"/>
          </reference>
          <reference field="3" count="1" selected="0">
            <x v="0"/>
          </reference>
          <reference field="12" count="1" selected="0">
            <x v="3"/>
          </reference>
          <reference field="13" count="1" selected="0">
            <x v="0"/>
          </reference>
          <reference field="14" count="1" selected="0">
            <x v="14"/>
          </reference>
          <reference field="15" count="1" selected="0">
            <x v="40"/>
          </reference>
          <reference field="16" count="1">
            <x v="31"/>
          </reference>
        </references>
      </pivotArea>
    </format>
    <format dxfId="256">
      <pivotArea dataOnly="0" labelOnly="1" outline="0" fieldPosition="0">
        <references count="9">
          <reference field="0" count="1" selected="0">
            <x v="67"/>
          </reference>
          <reference field="1" count="1" selected="0">
            <x v="47"/>
          </reference>
          <reference field="2" count="1" selected="0">
            <x v="181"/>
          </reference>
          <reference field="3" count="1" selected="0">
            <x v="0"/>
          </reference>
          <reference field="12" count="1" selected="0">
            <x v="3"/>
          </reference>
          <reference field="13" count="1" selected="0">
            <x v="0"/>
          </reference>
          <reference field="14" count="1" selected="0">
            <x v="14"/>
          </reference>
          <reference field="15" count="1" selected="0">
            <x v="41"/>
          </reference>
          <reference field="16" count="1">
            <x v="32"/>
          </reference>
        </references>
      </pivotArea>
    </format>
    <format dxfId="255">
      <pivotArea dataOnly="0" labelOnly="1" outline="0" fieldPosition="0">
        <references count="9">
          <reference field="0" count="1" selected="0">
            <x v="68"/>
          </reference>
          <reference field="1" count="1" selected="0">
            <x v="48"/>
          </reference>
          <reference field="2" count="1" selected="0">
            <x v="231"/>
          </reference>
          <reference field="3" count="1" selected="0">
            <x v="0"/>
          </reference>
          <reference field="12" count="1" selected="0">
            <x v="3"/>
          </reference>
          <reference field="13" count="1" selected="0">
            <x v="0"/>
          </reference>
          <reference field="14" count="1" selected="0">
            <x v="14"/>
          </reference>
          <reference field="15" count="1" selected="0">
            <x v="0"/>
          </reference>
          <reference field="16" count="1">
            <x v="0"/>
          </reference>
        </references>
      </pivotArea>
    </format>
    <format dxfId="254">
      <pivotArea dataOnly="0" labelOnly="1" outline="0" fieldPosition="0">
        <references count="9">
          <reference field="0" count="1" selected="0">
            <x v="82"/>
          </reference>
          <reference field="1" count="1" selected="0">
            <x v="69"/>
          </reference>
          <reference field="2" count="1" selected="0">
            <x v="226"/>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2"/>
          </reference>
        </references>
      </pivotArea>
    </format>
    <format dxfId="253">
      <pivotArea dataOnly="0" labelOnly="1" outline="0" fieldPosition="0">
        <references count="9">
          <reference field="0" count="1" selected="0">
            <x v="83"/>
          </reference>
          <reference field="1" count="1" selected="0">
            <x v="70"/>
          </reference>
          <reference field="2" count="1" selected="0">
            <x v="193"/>
          </reference>
          <reference field="3" count="1" selected="0">
            <x v="0"/>
          </reference>
          <reference field="12" count="1" selected="0">
            <x v="5"/>
          </reference>
          <reference field="13" count="1" selected="0">
            <x v="0"/>
          </reference>
          <reference field="14" count="1" selected="0">
            <x v="0"/>
          </reference>
          <reference field="15" count="1" selected="0">
            <x v="20"/>
          </reference>
          <reference field="16" count="1">
            <x v="10"/>
          </reference>
        </references>
      </pivotArea>
    </format>
    <format dxfId="252">
      <pivotArea dataOnly="0" labelOnly="1" outline="0" fieldPosition="0">
        <references count="9">
          <reference field="0" count="1" selected="0">
            <x v="84"/>
          </reference>
          <reference field="1" count="1" selected="0">
            <x v="71"/>
          </reference>
          <reference field="2" count="1" selected="0">
            <x v="192"/>
          </reference>
          <reference field="3" count="1" selected="0">
            <x v="0"/>
          </reference>
          <reference field="12" count="1" selected="0">
            <x v="7"/>
          </reference>
          <reference field="13" count="1" selected="0">
            <x v="0"/>
          </reference>
          <reference field="14" count="1" selected="0">
            <x v="4"/>
          </reference>
          <reference field="15" count="1" selected="0">
            <x v="29"/>
          </reference>
          <reference field="16" count="1">
            <x v="0"/>
          </reference>
        </references>
      </pivotArea>
    </format>
    <format dxfId="251">
      <pivotArea dataOnly="0" labelOnly="1" outline="0" fieldPosition="0">
        <references count="9">
          <reference field="0" count="1" selected="0">
            <x v="85"/>
          </reference>
          <reference field="1" count="1" selected="0">
            <x v="72"/>
          </reference>
          <reference field="2" count="1" selected="0">
            <x v="87"/>
          </reference>
          <reference field="3" count="1" selected="0">
            <x v="0"/>
          </reference>
          <reference field="12" count="1" selected="0">
            <x v="7"/>
          </reference>
          <reference field="13" count="1" selected="0">
            <x v="0"/>
          </reference>
          <reference field="14" count="1" selected="0">
            <x v="53"/>
          </reference>
          <reference field="15" count="1" selected="0">
            <x v="26"/>
          </reference>
          <reference field="16" count="1">
            <x v="6"/>
          </reference>
        </references>
      </pivotArea>
    </format>
    <format dxfId="250">
      <pivotArea dataOnly="0" labelOnly="1" outline="0" fieldPosition="0">
        <references count="9">
          <reference field="0" count="1" selected="0">
            <x v="86"/>
          </reference>
          <reference field="1" count="1" selected="0">
            <x v="73"/>
          </reference>
          <reference field="2" count="1" selected="0">
            <x v="154"/>
          </reference>
          <reference field="3" count="1" selected="0">
            <x v="0"/>
          </reference>
          <reference field="12" count="1" selected="0">
            <x v="7"/>
          </reference>
          <reference field="13" count="1" selected="0">
            <x v="0"/>
          </reference>
          <reference field="14" count="1" selected="0">
            <x v="53"/>
          </reference>
          <reference field="15" count="1" selected="0">
            <x v="0"/>
          </reference>
          <reference field="16" count="1">
            <x v="59"/>
          </reference>
        </references>
      </pivotArea>
    </format>
    <format dxfId="249">
      <pivotArea dataOnly="0" labelOnly="1" outline="0" fieldPosition="0">
        <references count="9">
          <reference field="0" count="1" selected="0">
            <x v="87"/>
          </reference>
          <reference field="1" count="1" selected="0">
            <x v="74"/>
          </reference>
          <reference field="2" count="1" selected="0">
            <x v="208"/>
          </reference>
          <reference field="3" count="1" selected="0">
            <x v="0"/>
          </reference>
          <reference field="12" count="1" selected="0">
            <x v="7"/>
          </reference>
          <reference field="13" count="1" selected="0">
            <x v="0"/>
          </reference>
          <reference field="14" count="1" selected="0">
            <x v="25"/>
          </reference>
          <reference field="15" count="1" selected="0">
            <x v="29"/>
          </reference>
          <reference field="16" count="1">
            <x v="0"/>
          </reference>
        </references>
      </pivotArea>
    </format>
    <format dxfId="248">
      <pivotArea dataOnly="0" labelOnly="1" outline="0" fieldPosition="0">
        <references count="9">
          <reference field="0" count="1" selected="0">
            <x v="88"/>
          </reference>
          <reference field="1" count="1" selected="0">
            <x v="75"/>
          </reference>
          <reference field="2" count="1" selected="0">
            <x v="38"/>
          </reference>
          <reference field="3" count="1" selected="0">
            <x v="0"/>
          </reference>
          <reference field="12" count="1" selected="0">
            <x v="2"/>
          </reference>
          <reference field="13" count="1" selected="0">
            <x v="0"/>
          </reference>
          <reference field="14" count="1" selected="0">
            <x v="0"/>
          </reference>
          <reference field="15" count="1" selected="0">
            <x v="0"/>
          </reference>
          <reference field="16" count="1">
            <x v="52"/>
          </reference>
        </references>
      </pivotArea>
    </format>
    <format dxfId="247">
      <pivotArea dataOnly="0" labelOnly="1" outline="0" fieldPosition="0">
        <references count="9">
          <reference field="0" count="1" selected="0">
            <x v="91"/>
          </reference>
          <reference field="1" count="1" selected="0">
            <x v="78"/>
          </reference>
          <reference field="2" count="1" selected="0">
            <x v="12"/>
          </reference>
          <reference field="3" count="1" selected="0">
            <x v="0"/>
          </reference>
          <reference field="12" count="1" selected="0">
            <x v="7"/>
          </reference>
          <reference field="13" count="1" selected="0">
            <x v="0"/>
          </reference>
          <reference field="14" count="1" selected="0">
            <x v="50"/>
          </reference>
          <reference field="15" count="1" selected="0">
            <x v="0"/>
          </reference>
          <reference field="16" count="1">
            <x v="0"/>
          </reference>
        </references>
      </pivotArea>
    </format>
    <format dxfId="246">
      <pivotArea dataOnly="0" labelOnly="1" outline="0" fieldPosition="0">
        <references count="9">
          <reference field="0" count="1" selected="0">
            <x v="93"/>
          </reference>
          <reference field="1" count="1" selected="0">
            <x v="80"/>
          </reference>
          <reference field="2" count="1" selected="0">
            <x v="18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2"/>
          </reference>
        </references>
      </pivotArea>
    </format>
    <format dxfId="245">
      <pivotArea dataOnly="0" labelOnly="1" outline="0" fieldPosition="0">
        <references count="9">
          <reference field="0" count="1" selected="0">
            <x v="94"/>
          </reference>
          <reference field="1" count="1" selected="0">
            <x v="81"/>
          </reference>
          <reference field="2" count="1" selected="0">
            <x v="60"/>
          </reference>
          <reference field="3" count="1" selected="0">
            <x v="0"/>
          </reference>
          <reference field="12" count="1" selected="0">
            <x v="7"/>
          </reference>
          <reference field="13" count="1" selected="0">
            <x v="0"/>
          </reference>
          <reference field="14" count="1" selected="0">
            <x v="49"/>
          </reference>
          <reference field="15" count="1" selected="0">
            <x v="0"/>
          </reference>
          <reference field="16" count="1">
            <x v="57"/>
          </reference>
        </references>
      </pivotArea>
    </format>
    <format dxfId="244">
      <pivotArea dataOnly="0" labelOnly="1" outline="0" fieldPosition="0">
        <references count="9">
          <reference field="0" count="1" selected="0">
            <x v="95"/>
          </reference>
          <reference field="1" count="1" selected="0">
            <x v="82"/>
          </reference>
          <reference field="2" count="1" selected="0">
            <x v="5"/>
          </reference>
          <reference field="3" count="1" selected="0">
            <x v="0"/>
          </reference>
          <reference field="12" count="1" selected="0">
            <x v="1"/>
          </reference>
          <reference field="13" count="1" selected="0">
            <x v="0"/>
          </reference>
          <reference field="14" count="1" selected="0">
            <x v="49"/>
          </reference>
          <reference field="15" count="1" selected="0">
            <x v="0"/>
          </reference>
          <reference field="16" count="1">
            <x v="52"/>
          </reference>
        </references>
      </pivotArea>
    </format>
    <format dxfId="243">
      <pivotArea dataOnly="0" labelOnly="1" outline="0" fieldPosition="0">
        <references count="9">
          <reference field="0" count="1" selected="0">
            <x v="96"/>
          </reference>
          <reference field="1" count="1" selected="0">
            <x v="83"/>
          </reference>
          <reference field="2" count="1" selected="0">
            <x v="1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60"/>
          </reference>
        </references>
      </pivotArea>
    </format>
    <format dxfId="242">
      <pivotArea dataOnly="0" labelOnly="1" outline="0" fieldPosition="0">
        <references count="9">
          <reference field="0" count="1" selected="0">
            <x v="101"/>
          </reference>
          <reference field="1" count="1" selected="0">
            <x v="88"/>
          </reference>
          <reference field="2" count="1" selected="0">
            <x v="29"/>
          </reference>
          <reference field="3" count="1" selected="0">
            <x v="0"/>
          </reference>
          <reference field="12" count="1" selected="0">
            <x v="3"/>
          </reference>
          <reference field="13" count="1" selected="0">
            <x v="0"/>
          </reference>
          <reference field="14" count="1" selected="0">
            <x v="6"/>
          </reference>
          <reference field="15" count="1" selected="0">
            <x v="0"/>
          </reference>
          <reference field="16" count="1">
            <x v="20"/>
          </reference>
        </references>
      </pivotArea>
    </format>
    <format dxfId="241">
      <pivotArea dataOnly="0" labelOnly="1" outline="0" fieldPosition="0">
        <references count="9">
          <reference field="0" count="1" selected="0">
            <x v="103"/>
          </reference>
          <reference field="1" count="1" selected="0">
            <x v="90"/>
          </reference>
          <reference field="2" count="1" selected="0">
            <x v="73"/>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6"/>
          </reference>
        </references>
      </pivotArea>
    </format>
    <format dxfId="240">
      <pivotArea dataOnly="0" labelOnly="1" outline="0" fieldPosition="0">
        <references count="9">
          <reference field="0" count="1" selected="0">
            <x v="104"/>
          </reference>
          <reference field="1" count="1" selected="0">
            <x v="91"/>
          </reference>
          <reference field="2" count="1" selected="0">
            <x v="68"/>
          </reference>
          <reference field="3" count="1" selected="0">
            <x v="0"/>
          </reference>
          <reference field="12" count="1" selected="0">
            <x v="3"/>
          </reference>
          <reference field="13" count="1" selected="0">
            <x v="0"/>
          </reference>
          <reference field="14" count="1" selected="0">
            <x v="16"/>
          </reference>
          <reference field="15" count="1" selected="0">
            <x v="42"/>
          </reference>
          <reference field="16" count="1">
            <x v="55"/>
          </reference>
        </references>
      </pivotArea>
    </format>
    <format dxfId="239">
      <pivotArea dataOnly="0" labelOnly="1" outline="0" fieldPosition="0">
        <references count="9">
          <reference field="0" count="1" selected="0">
            <x v="105"/>
          </reference>
          <reference field="1" count="1" selected="0">
            <x v="92"/>
          </reference>
          <reference field="2" count="1" selected="0">
            <x v="134"/>
          </reference>
          <reference field="3" count="1" selected="0">
            <x v="0"/>
          </reference>
          <reference field="12" count="1" selected="0">
            <x v="7"/>
          </reference>
          <reference field="13" count="1" selected="0">
            <x v="0"/>
          </reference>
          <reference field="14" count="1" selected="0">
            <x v="16"/>
          </reference>
          <reference field="15" count="1" selected="0">
            <x v="0"/>
          </reference>
          <reference field="16" count="1">
            <x v="60"/>
          </reference>
        </references>
      </pivotArea>
    </format>
    <format dxfId="238">
      <pivotArea dataOnly="0" labelOnly="1" outline="0" fieldPosition="0">
        <references count="9">
          <reference field="0" count="1" selected="0">
            <x v="106"/>
          </reference>
          <reference field="1" count="1" selected="0">
            <x v="93"/>
          </reference>
          <reference field="2" count="1" selected="0">
            <x v="76"/>
          </reference>
          <reference field="3" count="1" selected="0">
            <x v="0"/>
          </reference>
          <reference field="12" count="1" selected="0">
            <x v="7"/>
          </reference>
          <reference field="13" count="1" selected="0">
            <x v="0"/>
          </reference>
          <reference field="14" count="1" selected="0">
            <x v="54"/>
          </reference>
          <reference field="15" count="1" selected="0">
            <x v="30"/>
          </reference>
          <reference field="16" count="1">
            <x v="49"/>
          </reference>
        </references>
      </pivotArea>
    </format>
    <format dxfId="237">
      <pivotArea dataOnly="0" labelOnly="1" outline="0" fieldPosition="0">
        <references count="9">
          <reference field="0" count="1" selected="0">
            <x v="107"/>
          </reference>
          <reference field="1" count="1" selected="0">
            <x v="94"/>
          </reference>
          <reference field="2" count="1" selected="0">
            <x v="190"/>
          </reference>
          <reference field="3" count="1" selected="0">
            <x v="0"/>
          </reference>
          <reference field="12" count="1" selected="0">
            <x v="7"/>
          </reference>
          <reference field="13" count="1" selected="0">
            <x v="0"/>
          </reference>
          <reference field="14" count="1" selected="0">
            <x v="55"/>
          </reference>
          <reference field="15" count="1" selected="0">
            <x v="30"/>
          </reference>
          <reference field="16" count="1">
            <x v="51"/>
          </reference>
        </references>
      </pivotArea>
    </format>
    <format dxfId="236">
      <pivotArea dataOnly="0" labelOnly="1" outline="0" fieldPosition="0">
        <references count="9">
          <reference field="0" count="1" selected="0">
            <x v="110"/>
          </reference>
          <reference field="1" count="1" selected="0">
            <x v="97"/>
          </reference>
          <reference field="2" count="1" selected="0">
            <x v="123"/>
          </reference>
          <reference field="3" count="1" selected="0">
            <x v="0"/>
          </reference>
          <reference field="12" count="1" selected="0">
            <x v="7"/>
          </reference>
          <reference field="13" count="1" selected="0">
            <x v="0"/>
          </reference>
          <reference field="14" count="1" selected="0">
            <x v="4"/>
          </reference>
          <reference field="15" count="1" selected="0">
            <x v="26"/>
          </reference>
          <reference field="16" count="1">
            <x v="0"/>
          </reference>
        </references>
      </pivotArea>
    </format>
    <format dxfId="235">
      <pivotArea dataOnly="0" labelOnly="1" outline="0" fieldPosition="0">
        <references count="9">
          <reference field="0" count="1" selected="0">
            <x v="144"/>
          </reference>
          <reference field="1" count="1" selected="0">
            <x v="137"/>
          </reference>
          <reference field="2" count="1" selected="0">
            <x v="79"/>
          </reference>
          <reference field="3" count="1" selected="0">
            <x v="0"/>
          </reference>
          <reference field="12" count="1" selected="0">
            <x v="0"/>
          </reference>
          <reference field="13" count="1" selected="0">
            <x v="0"/>
          </reference>
          <reference field="14" count="1" selected="0">
            <x v="0"/>
          </reference>
          <reference field="15" count="1" selected="0">
            <x v="0"/>
          </reference>
          <reference field="16" count="1">
            <x v="45"/>
          </reference>
        </references>
      </pivotArea>
    </format>
    <format dxfId="234">
      <pivotArea dataOnly="0" labelOnly="1" outline="0" fieldPosition="0">
        <references count="9">
          <reference field="0" count="1" selected="0">
            <x v="146"/>
          </reference>
          <reference field="1" count="1" selected="0">
            <x v="139"/>
          </reference>
          <reference field="2" count="1" selected="0">
            <x v="30"/>
          </reference>
          <reference field="3" count="1" selected="0">
            <x v="0"/>
          </reference>
          <reference field="12" count="1" selected="0">
            <x v="26"/>
          </reference>
          <reference field="13" count="1" selected="0">
            <x v="0"/>
          </reference>
          <reference field="14" count="1" selected="0">
            <x v="23"/>
          </reference>
          <reference field="15" count="1" selected="0">
            <x v="33"/>
          </reference>
          <reference field="16" count="1">
            <x v="0"/>
          </reference>
        </references>
      </pivotArea>
    </format>
    <format dxfId="233">
      <pivotArea dataOnly="0" labelOnly="1" outline="0" fieldPosition="0">
        <references count="9">
          <reference field="0" count="1" selected="0">
            <x v="149"/>
          </reference>
          <reference field="1" count="1" selected="0">
            <x v="142"/>
          </reference>
          <reference field="2" count="1" selected="0">
            <x v="165"/>
          </reference>
          <reference field="3" count="1" selected="0">
            <x v="0"/>
          </reference>
          <reference field="12" count="1" selected="0">
            <x v="14"/>
          </reference>
          <reference field="13" count="1" selected="0">
            <x v="0"/>
          </reference>
          <reference field="14" count="1" selected="0">
            <x v="24"/>
          </reference>
          <reference field="15" count="1" selected="0">
            <x v="2"/>
          </reference>
          <reference field="16" count="1">
            <x v="44"/>
          </reference>
        </references>
      </pivotArea>
    </format>
    <format dxfId="232">
      <pivotArea dataOnly="0" labelOnly="1" outline="0" fieldPosition="0">
        <references count="9">
          <reference field="0" count="1" selected="0">
            <x v="155"/>
          </reference>
          <reference field="1" count="1" selected="0">
            <x v="148"/>
          </reference>
          <reference field="2" count="1" selected="0">
            <x v="3"/>
          </reference>
          <reference field="3" count="1" selected="0">
            <x v="0"/>
          </reference>
          <reference field="12" count="1" selected="0">
            <x v="23"/>
          </reference>
          <reference field="13" count="1" selected="0">
            <x v="0"/>
          </reference>
          <reference field="14" count="1" selected="0">
            <x v="18"/>
          </reference>
          <reference field="15" count="1" selected="0">
            <x v="1"/>
          </reference>
          <reference field="16" count="1">
            <x v="28"/>
          </reference>
        </references>
      </pivotArea>
    </format>
    <format dxfId="231">
      <pivotArea dataOnly="0" labelOnly="1" outline="0" fieldPosition="0">
        <references count="9">
          <reference field="0" count="1" selected="0">
            <x v="159"/>
          </reference>
          <reference field="1" count="1" selected="0">
            <x v="183"/>
          </reference>
          <reference field="2" count="1" selected="0">
            <x v="122"/>
          </reference>
          <reference field="3" count="1" selected="0">
            <x v="0"/>
          </reference>
          <reference field="12" count="1" selected="0">
            <x v="8"/>
          </reference>
          <reference field="13" count="1" selected="0">
            <x v="0"/>
          </reference>
          <reference field="14" count="1" selected="0">
            <x v="51"/>
          </reference>
          <reference field="15" count="1" selected="0">
            <x v="8"/>
          </reference>
          <reference field="16" count="1">
            <x v="0"/>
          </reference>
        </references>
      </pivotArea>
    </format>
    <format dxfId="230">
      <pivotArea dataOnly="0" labelOnly="1" outline="0" fieldPosition="0">
        <references count="9">
          <reference field="0" count="1" selected="0">
            <x v="160"/>
          </reference>
          <reference field="1" count="1" selected="0">
            <x v="184"/>
          </reference>
          <reference field="2" count="1" selected="0">
            <x v="187"/>
          </reference>
          <reference field="3" count="1" selected="0">
            <x v="0"/>
          </reference>
          <reference field="12" count="1" selected="0">
            <x v="7"/>
          </reference>
          <reference field="13" count="1" selected="0">
            <x v="0"/>
          </reference>
          <reference field="14" count="1" selected="0">
            <x v="52"/>
          </reference>
          <reference field="15" count="1" selected="0">
            <x v="8"/>
          </reference>
          <reference field="16" count="1">
            <x v="5"/>
          </reference>
        </references>
      </pivotArea>
    </format>
    <format dxfId="229">
      <pivotArea dataOnly="0" labelOnly="1" outline="0" fieldPosition="0">
        <references count="9">
          <reference field="0" count="1" selected="0">
            <x v="161"/>
          </reference>
          <reference field="1" count="1" selected="0">
            <x v="185"/>
          </reference>
          <reference field="2" count="1" selected="0">
            <x v="186"/>
          </reference>
          <reference field="3" count="1" selected="0">
            <x v="0"/>
          </reference>
          <reference field="12" count="1" selected="0">
            <x v="9"/>
          </reference>
          <reference field="13" count="1" selected="0">
            <x v="0"/>
          </reference>
          <reference field="14" count="1" selected="0">
            <x v="52"/>
          </reference>
          <reference field="15" count="1" selected="0">
            <x v="7"/>
          </reference>
          <reference field="16" count="1">
            <x v="0"/>
          </reference>
        </references>
      </pivotArea>
    </format>
    <format dxfId="228">
      <pivotArea dataOnly="0" labelOnly="1" outline="0" fieldPosition="0">
        <references count="9">
          <reference field="0" count="1" selected="0">
            <x v="167"/>
          </reference>
          <reference field="1" count="1" selected="0">
            <x v="199"/>
          </reference>
          <reference field="2" count="1" selected="0">
            <x v="56"/>
          </reference>
          <reference field="3" count="1" selected="0">
            <x v="0"/>
          </reference>
          <reference field="12" count="1" selected="0">
            <x v="18"/>
          </reference>
          <reference field="13" count="1" selected="0">
            <x v="0"/>
          </reference>
          <reference field="14" count="1" selected="0">
            <x v="7"/>
          </reference>
          <reference field="15" count="1" selected="0">
            <x v="19"/>
          </reference>
          <reference field="16" count="1">
            <x v="58"/>
          </reference>
        </references>
      </pivotArea>
    </format>
    <format dxfId="227">
      <pivotArea dataOnly="0" labelOnly="1" outline="0" fieldPosition="0">
        <references count="9">
          <reference field="0" count="1" selected="0">
            <x v="168"/>
          </reference>
          <reference field="1" count="1" selected="0">
            <x v="200"/>
          </reference>
          <reference field="2" count="1" selected="0">
            <x v="9"/>
          </reference>
          <reference field="3" count="1" selected="0">
            <x v="0"/>
          </reference>
          <reference field="12" count="1" selected="0">
            <x v="7"/>
          </reference>
          <reference field="13" count="1" selected="0">
            <x v="0"/>
          </reference>
          <reference field="14" count="1" selected="0">
            <x v="52"/>
          </reference>
          <reference field="15" count="1" selected="0">
            <x v="18"/>
          </reference>
          <reference field="16" count="1">
            <x v="54"/>
          </reference>
        </references>
      </pivotArea>
    </format>
    <format dxfId="226">
      <pivotArea dataOnly="0" labelOnly="1" outline="0" fieldPosition="0">
        <references count="9">
          <reference field="0" count="1" selected="0">
            <x v="171"/>
          </reference>
          <reference field="1" count="1" selected="0">
            <x v="203"/>
          </reference>
          <reference field="2" count="1" selected="0">
            <x v="10"/>
          </reference>
          <reference field="3" count="1" selected="0">
            <x v="0"/>
          </reference>
          <reference field="12" count="1" selected="0">
            <x v="9"/>
          </reference>
          <reference field="13" count="1" selected="0">
            <x v="0"/>
          </reference>
          <reference field="14" count="1" selected="0">
            <x v="8"/>
          </reference>
          <reference field="15" count="1" selected="0">
            <x v="30"/>
          </reference>
          <reference field="16" count="1">
            <x v="50"/>
          </reference>
        </references>
      </pivotArea>
    </format>
    <format dxfId="225">
      <pivotArea dataOnly="0" labelOnly="1" outline="0" fieldPosition="0">
        <references count="9">
          <reference field="0" count="1" selected="0">
            <x v="173"/>
          </reference>
          <reference field="1" count="1" selected="0">
            <x v="205"/>
          </reference>
          <reference field="2" count="1" selected="0">
            <x v="94"/>
          </reference>
          <reference field="3" count="1" selected="0">
            <x v="0"/>
          </reference>
          <reference field="12" count="1" selected="0">
            <x v="20"/>
          </reference>
          <reference field="13" count="1" selected="0">
            <x v="0"/>
          </reference>
          <reference field="14" count="1" selected="0">
            <x v="20"/>
          </reference>
          <reference field="15" count="1" selected="0">
            <x v="38"/>
          </reference>
          <reference field="16" count="1">
            <x v="0"/>
          </reference>
        </references>
      </pivotArea>
    </format>
    <format dxfId="224">
      <pivotArea dataOnly="0" labelOnly="1" outline="0" fieldPosition="0">
        <references count="9">
          <reference field="0" count="1" selected="0">
            <x v="178"/>
          </reference>
          <reference field="1" count="1" selected="0">
            <x v="210"/>
          </reference>
          <reference field="2" count="1" selected="0">
            <x v="11"/>
          </reference>
          <reference field="3" count="1" selected="0">
            <x v="0"/>
          </reference>
          <reference field="12" count="1" selected="0">
            <x v="20"/>
          </reference>
          <reference field="13" count="1" selected="0">
            <x v="0"/>
          </reference>
          <reference field="14" count="1" selected="0">
            <x v="26"/>
          </reference>
          <reference field="15" count="1" selected="0">
            <x v="0"/>
          </reference>
          <reference field="16" count="1">
            <x v="22"/>
          </reference>
        </references>
      </pivotArea>
    </format>
    <format dxfId="223">
      <pivotArea dataOnly="0" labelOnly="1" outline="0" fieldPosition="0">
        <references count="9">
          <reference field="0" count="1" selected="0">
            <x v="179"/>
          </reference>
          <reference field="1" count="1" selected="0">
            <x v="211"/>
          </reference>
          <reference field="2" count="1" selected="0">
            <x v="96"/>
          </reference>
          <reference field="3" count="1" selected="0">
            <x v="0"/>
          </reference>
          <reference field="12" count="1" selected="0">
            <x v="20"/>
          </reference>
          <reference field="13" count="1" selected="0">
            <x v="0"/>
          </reference>
          <reference field="14" count="1" selected="0">
            <x v="26"/>
          </reference>
          <reference field="15" count="1" selected="0">
            <x v="39"/>
          </reference>
          <reference field="16" count="1">
            <x v="0"/>
          </reference>
        </references>
      </pivotArea>
    </format>
    <format dxfId="222">
      <pivotArea dataOnly="0" labelOnly="1" outline="0" fieldPosition="0">
        <references count="9">
          <reference field="0" count="1" selected="0">
            <x v="180"/>
          </reference>
          <reference field="1" count="1" selected="0">
            <x v="212"/>
          </reference>
          <reference field="2" count="1" selected="0">
            <x v="97"/>
          </reference>
          <reference field="3" count="1" selected="0">
            <x v="0"/>
          </reference>
          <reference field="12" count="1" selected="0">
            <x v="14"/>
          </reference>
          <reference field="13" count="1" selected="0">
            <x v="0"/>
          </reference>
          <reference field="14" count="1" selected="0">
            <x v="32"/>
          </reference>
          <reference field="15" count="1" selected="0">
            <x v="43"/>
          </reference>
          <reference field="16" count="1">
            <x v="42"/>
          </reference>
        </references>
      </pivotArea>
    </format>
    <format dxfId="221">
      <pivotArea dataOnly="0" labelOnly="1" outline="0" fieldPosition="0">
        <references count="9">
          <reference field="0" count="1" selected="0">
            <x v="181"/>
          </reference>
          <reference field="1" count="1" selected="0">
            <x v="213"/>
          </reference>
          <reference field="2" count="1" selected="0">
            <x v="234"/>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46"/>
          </reference>
        </references>
      </pivotArea>
    </format>
    <format dxfId="220">
      <pivotArea dataOnly="0" labelOnly="1" outline="0" fieldPosition="0">
        <references count="9">
          <reference field="0" count="1" selected="0">
            <x v="182"/>
          </reference>
          <reference field="1" count="1" selected="0">
            <x v="214"/>
          </reference>
          <reference field="2" count="1" selected="0">
            <x v="235"/>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45"/>
          </reference>
        </references>
      </pivotArea>
    </format>
    <format dxfId="219">
      <pivotArea dataOnly="0" labelOnly="1" outline="0" fieldPosition="0">
        <references count="9">
          <reference field="0" count="1" selected="0">
            <x v="183"/>
          </reference>
          <reference field="1" count="1" selected="0">
            <x v="215"/>
          </reference>
          <reference field="2" count="1" selected="0">
            <x v="206"/>
          </reference>
          <reference field="3" count="1" selected="0">
            <x v="0"/>
          </reference>
          <reference field="12" count="1" selected="0">
            <x v="14"/>
          </reference>
          <reference field="13" count="1" selected="0">
            <x v="0"/>
          </reference>
          <reference field="14" count="1" selected="0">
            <x v="38"/>
          </reference>
          <reference field="15" count="1" selected="0">
            <x v="15"/>
          </reference>
          <reference field="16" count="1">
            <x v="0"/>
          </reference>
        </references>
      </pivotArea>
    </format>
    <format dxfId="218">
      <pivotArea dataOnly="0" labelOnly="1" outline="0" fieldPosition="0">
        <references count="9">
          <reference field="0" count="1" selected="0">
            <x v="184"/>
          </reference>
          <reference field="1" count="1" selected="0">
            <x v="216"/>
          </reference>
          <reference field="2" count="1" selected="0">
            <x v="111"/>
          </reference>
          <reference field="3" count="1" selected="0">
            <x v="0"/>
          </reference>
          <reference field="12" count="1" selected="0">
            <x v="22"/>
          </reference>
          <reference field="13" count="1" selected="0">
            <x v="0"/>
          </reference>
          <reference field="14" count="1" selected="0">
            <x v="44"/>
          </reference>
          <reference field="15" count="1" selected="0">
            <x v="37"/>
          </reference>
          <reference field="16" count="1">
            <x v="61"/>
          </reference>
        </references>
      </pivotArea>
    </format>
    <format dxfId="217">
      <pivotArea dataOnly="0" labelOnly="1" outline="0" fieldPosition="0">
        <references count="9">
          <reference field="0" count="1" selected="0">
            <x v="185"/>
          </reference>
          <reference field="1" count="1" selected="0">
            <x v="217"/>
          </reference>
          <reference field="2" count="1" selected="0">
            <x v="113"/>
          </reference>
          <reference field="3" count="1" selected="0">
            <x v="0"/>
          </reference>
          <reference field="12" count="1" selected="0">
            <x v="12"/>
          </reference>
          <reference field="13" count="1" selected="0">
            <x v="0"/>
          </reference>
          <reference field="14" count="1" selected="0">
            <x v="45"/>
          </reference>
          <reference field="15" count="1" selected="0">
            <x v="37"/>
          </reference>
          <reference field="16" count="1">
            <x v="0"/>
          </reference>
        </references>
      </pivotArea>
    </format>
    <format dxfId="216">
      <pivotArea dataOnly="0" labelOnly="1" outline="0" fieldPosition="0">
        <references count="9">
          <reference field="0" count="1" selected="0">
            <x v="187"/>
          </reference>
          <reference field="1" count="1" selected="0">
            <x v="219"/>
          </reference>
          <reference field="2" count="1" selected="0">
            <x v="104"/>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4"/>
          </reference>
        </references>
      </pivotArea>
    </format>
    <format dxfId="215">
      <pivotArea dataOnly="0" labelOnly="1" outline="0" fieldPosition="0">
        <references count="9">
          <reference field="0" count="1" selected="0">
            <x v="188"/>
          </reference>
          <reference field="1" count="1" selected="0">
            <x v="220"/>
          </reference>
          <reference field="2" count="1" selected="0">
            <x v="196"/>
          </reference>
          <reference field="3" count="1" selected="0">
            <x v="0"/>
          </reference>
          <reference field="12" count="1" selected="0">
            <x v="12"/>
          </reference>
          <reference field="13" count="1" selected="0">
            <x v="14"/>
          </reference>
          <reference field="14" count="1" selected="0">
            <x v="46"/>
          </reference>
          <reference field="15" count="1" selected="0">
            <x v="25"/>
          </reference>
          <reference field="16" count="1">
            <x v="26"/>
          </reference>
        </references>
      </pivotArea>
    </format>
    <format dxfId="214">
      <pivotArea dataOnly="0" labelOnly="1" outline="0" fieldPosition="0">
        <references count="9">
          <reference field="0" count="1" selected="0">
            <x v="189"/>
          </reference>
          <reference field="1" count="1" selected="0">
            <x v="221"/>
          </reference>
          <reference field="2" count="1" selected="0">
            <x v="182"/>
          </reference>
          <reference field="3" count="1" selected="0">
            <x v="0"/>
          </reference>
          <reference field="12" count="1" selected="0">
            <x v="12"/>
          </reference>
          <reference field="13" count="1" selected="0">
            <x v="0"/>
          </reference>
          <reference field="14" count="1" selected="0">
            <x v="63"/>
          </reference>
          <reference field="15" count="1" selected="0">
            <x v="23"/>
          </reference>
          <reference field="16" count="1">
            <x v="14"/>
          </reference>
        </references>
      </pivotArea>
    </format>
    <format dxfId="213">
      <pivotArea dataOnly="0" labelOnly="1" outline="0" fieldPosition="0">
        <references count="9">
          <reference field="0" count="1" selected="0">
            <x v="192"/>
          </reference>
          <reference field="1" count="1" selected="0">
            <x v="224"/>
          </reference>
          <reference field="2" count="1" selected="0">
            <x v="80"/>
          </reference>
          <reference field="3" count="1" selected="0">
            <x v="0"/>
          </reference>
          <reference field="12" count="1" selected="0">
            <x v="7"/>
          </reference>
          <reference field="13" count="1" selected="0">
            <x v="0"/>
          </reference>
          <reference field="14" count="1" selected="0">
            <x v="38"/>
          </reference>
          <reference field="15" count="1" selected="0">
            <x v="0"/>
          </reference>
          <reference field="16" count="1">
            <x v="0"/>
          </reference>
        </references>
      </pivotArea>
    </format>
    <format dxfId="212">
      <pivotArea dataOnly="0" labelOnly="1" outline="0" fieldPosition="0">
        <references count="9">
          <reference field="0" count="1" selected="0">
            <x v="197"/>
          </reference>
          <reference field="1" count="1" selected="0">
            <x v="236"/>
          </reference>
          <reference field="2" count="1" selected="0">
            <x v="102"/>
          </reference>
          <reference field="3" count="1" selected="0">
            <x v="0"/>
          </reference>
          <reference field="12" count="1" selected="0">
            <x v="18"/>
          </reference>
          <reference field="13" count="1" selected="0">
            <x v="0"/>
          </reference>
          <reference field="14" count="1" selected="0">
            <x v="0"/>
          </reference>
          <reference field="15" count="1" selected="0">
            <x v="36"/>
          </reference>
          <reference field="16" count="1">
            <x v="30"/>
          </reference>
        </references>
      </pivotArea>
    </format>
    <format dxfId="211">
      <pivotArea dataOnly="0" labelOnly="1" outline="0" fieldPosition="0">
        <references count="9">
          <reference field="0" count="1" selected="0">
            <x v="199"/>
          </reference>
          <reference field="1" count="1" selected="0">
            <x v="238"/>
          </reference>
          <reference field="2" count="1" selected="0">
            <x v="33"/>
          </reference>
          <reference field="3" count="1" selected="0">
            <x v="0"/>
          </reference>
          <reference field="12" count="1" selected="0">
            <x v="20"/>
          </reference>
          <reference field="13" count="1" selected="0">
            <x v="0"/>
          </reference>
          <reference field="14" count="1" selected="0">
            <x v="20"/>
          </reference>
          <reference field="15" count="1" selected="0">
            <x v="9"/>
          </reference>
          <reference field="16" count="1">
            <x v="18"/>
          </reference>
        </references>
      </pivotArea>
    </format>
    <format dxfId="210">
      <pivotArea dataOnly="0" labelOnly="1" outline="0" fieldPosition="0">
        <references count="9">
          <reference field="0" count="1" selected="0">
            <x v="204"/>
          </reference>
          <reference field="1" count="1" selected="0">
            <x v="149"/>
          </reference>
          <reference field="2" count="1" selected="0">
            <x v="117"/>
          </reference>
          <reference field="3" count="1" selected="0">
            <x v="0"/>
          </reference>
          <reference field="12" count="1" selected="0">
            <x v="12"/>
          </reference>
          <reference field="13" count="1" selected="0">
            <x v="14"/>
          </reference>
          <reference field="14" count="1" selected="0">
            <x v="39"/>
          </reference>
          <reference field="15" count="1" selected="0">
            <x v="15"/>
          </reference>
          <reference field="16" count="1">
            <x v="27"/>
          </reference>
        </references>
      </pivotArea>
    </format>
    <format dxfId="209">
      <pivotArea dataOnly="0" labelOnly="1" outline="0" fieldPosition="0">
        <references count="9">
          <reference field="0" count="1" selected="0">
            <x v="206"/>
          </reference>
          <reference field="1" count="1" selected="0">
            <x v="151"/>
          </reference>
          <reference field="2" count="1" selected="0">
            <x v="159"/>
          </reference>
          <reference field="3" count="1" selected="0">
            <x v="0"/>
          </reference>
          <reference field="12" count="1" selected="0">
            <x v="12"/>
          </reference>
          <reference field="13" count="1" selected="0">
            <x v="5"/>
          </reference>
          <reference field="14" count="1" selected="0">
            <x v="38"/>
          </reference>
          <reference field="15" count="1" selected="0">
            <x v="15"/>
          </reference>
          <reference field="16" count="1">
            <x v="0"/>
          </reference>
        </references>
      </pivotArea>
    </format>
    <format dxfId="208">
      <pivotArea dataOnly="0" labelOnly="1" outline="0" fieldPosition="0">
        <references count="9">
          <reference field="0" count="1" selected="0">
            <x v="208"/>
          </reference>
          <reference field="1" count="1" selected="0">
            <x v="153"/>
          </reference>
          <reference field="2" count="1" selected="0">
            <x v="103"/>
          </reference>
          <reference field="3" count="1" selected="0">
            <x v="0"/>
          </reference>
          <reference field="12" count="1" selected="0">
            <x v="14"/>
          </reference>
          <reference field="13" count="1" selected="0">
            <x v="16"/>
          </reference>
          <reference field="14" count="1" selected="0">
            <x v="29"/>
          </reference>
          <reference field="15" count="1" selected="0">
            <x v="15"/>
          </reference>
          <reference field="16" count="1">
            <x v="43"/>
          </reference>
        </references>
      </pivotArea>
    </format>
    <format dxfId="207">
      <pivotArea dataOnly="0" labelOnly="1" outline="0" fieldPosition="0">
        <references count="9">
          <reference field="0" count="1" selected="0">
            <x v="209"/>
          </reference>
          <reference field="1" count="1" selected="0">
            <x v="154"/>
          </reference>
          <reference field="2" count="1" selected="0">
            <x v="98"/>
          </reference>
          <reference field="3" count="1" selected="0">
            <x v="0"/>
          </reference>
          <reference field="12" count="1" selected="0">
            <x v="14"/>
          </reference>
          <reference field="13" count="1" selected="0">
            <x v="17"/>
          </reference>
          <reference field="14" count="1" selected="0">
            <x v="31"/>
          </reference>
          <reference field="15" count="1" selected="0">
            <x v="15"/>
          </reference>
          <reference field="16" count="1">
            <x v="47"/>
          </reference>
        </references>
      </pivotArea>
    </format>
    <format dxfId="206">
      <pivotArea dataOnly="0" labelOnly="1" outline="0" fieldPosition="0">
        <references count="9">
          <reference field="0" count="1" selected="0">
            <x v="210"/>
          </reference>
          <reference field="1" count="1" selected="0">
            <x v="155"/>
          </reference>
          <reference field="2" count="1" selected="0">
            <x v="162"/>
          </reference>
          <reference field="3" count="1" selected="0">
            <x v="0"/>
          </reference>
          <reference field="12" count="1" selected="0">
            <x v="7"/>
          </reference>
          <reference field="13" count="1" selected="0">
            <x v="2"/>
          </reference>
          <reference field="14" count="1" selected="0">
            <x v="0"/>
          </reference>
          <reference field="15" count="1" selected="0">
            <x v="15"/>
          </reference>
          <reference field="16" count="1">
            <x v="0"/>
          </reference>
        </references>
      </pivotArea>
    </format>
    <format dxfId="205">
      <pivotArea dataOnly="0" labelOnly="1" outline="0" fieldPosition="0">
        <references count="9">
          <reference field="0" count="1" selected="0">
            <x v="214"/>
          </reference>
          <reference field="1" count="1" selected="0">
            <x v="159"/>
          </reference>
          <reference field="2" count="1" selected="0">
            <x v="139"/>
          </reference>
          <reference field="3" count="1" selected="0">
            <x v="0"/>
          </reference>
          <reference field="12" count="1" selected="0">
            <x v="10"/>
          </reference>
          <reference field="13" count="1" selected="0">
            <x v="15"/>
          </reference>
          <reference field="14" count="1" selected="0">
            <x v="66"/>
          </reference>
          <reference field="15" count="1" selected="0">
            <x v="15"/>
          </reference>
          <reference field="16" count="1">
            <x v="41"/>
          </reference>
        </references>
      </pivotArea>
    </format>
    <format dxfId="204">
      <pivotArea dataOnly="0" labelOnly="1" outline="0" fieldPosition="0">
        <references count="9">
          <reference field="0" count="1" selected="0">
            <x v="215"/>
          </reference>
          <reference field="1" count="1" selected="0">
            <x v="160"/>
          </reference>
          <reference field="2" count="1" selected="0">
            <x v="137"/>
          </reference>
          <reference field="3" count="1" selected="0">
            <x v="0"/>
          </reference>
          <reference field="12" count="1" selected="0">
            <x v="10"/>
          </reference>
          <reference field="13" count="1" selected="0">
            <x v="11"/>
          </reference>
          <reference field="14" count="1" selected="0">
            <x v="66"/>
          </reference>
          <reference field="15" count="1" selected="0">
            <x v="15"/>
          </reference>
          <reference field="16" count="1">
            <x v="16"/>
          </reference>
        </references>
      </pivotArea>
    </format>
    <format dxfId="203">
      <pivotArea dataOnly="0" labelOnly="1" outline="0" fieldPosition="0">
        <references count="9">
          <reference field="0" count="1" selected="0">
            <x v="216"/>
          </reference>
          <reference field="1" count="1" selected="0">
            <x v="161"/>
          </reference>
          <reference field="2" count="1" selected="0">
            <x v="136"/>
          </reference>
          <reference field="3" count="1" selected="0">
            <x v="0"/>
          </reference>
          <reference field="12" count="1" selected="0">
            <x v="10"/>
          </reference>
          <reference field="13" count="1" selected="0">
            <x v="13"/>
          </reference>
          <reference field="14" count="1" selected="0">
            <x v="66"/>
          </reference>
          <reference field="15" count="1" selected="0">
            <x v="15"/>
          </reference>
          <reference field="16" count="1">
            <x v="3"/>
          </reference>
        </references>
      </pivotArea>
    </format>
    <format dxfId="202">
      <pivotArea dataOnly="0" labelOnly="1" outline="0" fieldPosition="0">
        <references count="9">
          <reference field="0" count="1" selected="0">
            <x v="217"/>
          </reference>
          <reference field="1" count="1" selected="0">
            <x v="162"/>
          </reference>
          <reference field="2" count="1" selected="0">
            <x v="13"/>
          </reference>
          <reference field="3" count="1" selected="0">
            <x v="0"/>
          </reference>
          <reference field="12" count="1" selected="0">
            <x v="10"/>
          </reference>
          <reference field="13" count="1" selected="0">
            <x v="10"/>
          </reference>
          <reference field="14" count="1" selected="0">
            <x v="66"/>
          </reference>
          <reference field="15" count="1" selected="0">
            <x v="15"/>
          </reference>
          <reference field="16" count="1">
            <x v="36"/>
          </reference>
        </references>
      </pivotArea>
    </format>
    <format dxfId="201">
      <pivotArea dataOnly="0" labelOnly="1" outline="0" fieldPosition="0">
        <references count="9">
          <reference field="0" count="1" selected="0">
            <x v="218"/>
          </reference>
          <reference field="1" count="1" selected="0">
            <x v="163"/>
          </reference>
          <reference field="2" count="1" selected="0">
            <x v="179"/>
          </reference>
          <reference field="3" count="1" selected="0">
            <x v="0"/>
          </reference>
          <reference field="12" count="1" selected="0">
            <x v="10"/>
          </reference>
          <reference field="13" count="1" selected="0">
            <x v="10"/>
          </reference>
          <reference field="14" count="1" selected="0">
            <x v="0"/>
          </reference>
          <reference field="15" count="1" selected="0">
            <x v="15"/>
          </reference>
          <reference field="16" count="1">
            <x v="0"/>
          </reference>
        </references>
      </pivotArea>
    </format>
    <format dxfId="200">
      <pivotArea dataOnly="0" labelOnly="1" outline="0" fieldPosition="0">
        <references count="9">
          <reference field="0" count="1" selected="0">
            <x v="219"/>
          </reference>
          <reference field="1" count="1" selected="0">
            <x v="164"/>
          </reference>
          <reference field="2" count="1" selected="0">
            <x v="138"/>
          </reference>
          <reference field="3" count="1" selected="0">
            <x v="0"/>
          </reference>
          <reference field="12" count="1" selected="0">
            <x v="10"/>
          </reference>
          <reference field="13" count="1" selected="0">
            <x v="8"/>
          </reference>
          <reference field="14" count="1" selected="0">
            <x v="0"/>
          </reference>
          <reference field="15" count="1" selected="0">
            <x v="15"/>
          </reference>
          <reference field="16" count="1">
            <x v="7"/>
          </reference>
        </references>
      </pivotArea>
    </format>
    <format dxfId="199">
      <pivotArea dataOnly="0" labelOnly="1" outline="0" fieldPosition="0">
        <references count="9">
          <reference field="0" count="1" selected="0">
            <x v="220"/>
          </reference>
          <reference field="1" count="1" selected="0">
            <x v="165"/>
          </reference>
          <reference field="2" count="1" selected="0">
            <x v="142"/>
          </reference>
          <reference field="3" count="1" selected="0">
            <x v="0"/>
          </reference>
          <reference field="12" count="1" selected="0">
            <x v="11"/>
          </reference>
          <reference field="13" count="1" selected="0">
            <x v="12"/>
          </reference>
          <reference field="14" count="1" selected="0">
            <x v="57"/>
          </reference>
          <reference field="15" count="1" selected="0">
            <x v="15"/>
          </reference>
          <reference field="16" count="1">
            <x v="9"/>
          </reference>
        </references>
      </pivotArea>
    </format>
    <format dxfId="198">
      <pivotArea dataOnly="0" labelOnly="1" outline="0" fieldPosition="0">
        <references count="9">
          <reference field="0" count="1" selected="0">
            <x v="221"/>
          </reference>
          <reference field="1" count="1" selected="0">
            <x v="166"/>
          </reference>
          <reference field="2" count="1" selected="0">
            <x v="143"/>
          </reference>
          <reference field="3" count="1" selected="0">
            <x v="0"/>
          </reference>
          <reference field="12" count="1" selected="0">
            <x v="10"/>
          </reference>
          <reference field="13" count="1" selected="0">
            <x v="9"/>
          </reference>
          <reference field="14" count="1" selected="0">
            <x v="60"/>
          </reference>
          <reference field="15" count="1" selected="0">
            <x v="15"/>
          </reference>
          <reference field="16" count="1">
            <x v="7"/>
          </reference>
        </references>
      </pivotArea>
    </format>
    <format dxfId="197">
      <pivotArea dataOnly="0" labelOnly="1" outline="0" fieldPosition="0">
        <references count="9">
          <reference field="0" count="1" selected="0">
            <x v="223"/>
          </reference>
          <reference field="1" count="1" selected="0">
            <x v="168"/>
          </reference>
          <reference field="2" count="1" selected="0">
            <x v="71"/>
          </reference>
          <reference field="3" count="1" selected="0">
            <x v="0"/>
          </reference>
          <reference field="12" count="1" selected="0">
            <x v="24"/>
          </reference>
          <reference field="13" count="1" selected="0">
            <x v="7"/>
          </reference>
          <reference field="14" count="1" selected="0">
            <x v="0"/>
          </reference>
          <reference field="15" count="1" selected="0">
            <x v="15"/>
          </reference>
          <reference field="16" count="1">
            <x v="28"/>
          </reference>
        </references>
      </pivotArea>
    </format>
    <format dxfId="196">
      <pivotArea dataOnly="0" labelOnly="1" outline="0" fieldPosition="0">
        <references count="9">
          <reference field="0" count="1" selected="0">
            <x v="224"/>
          </reference>
          <reference field="1" count="1" selected="0">
            <x v="169"/>
          </reference>
          <reference field="2" count="1" selected="0">
            <x v="121"/>
          </reference>
          <reference field="3" count="1" selected="0">
            <x v="0"/>
          </reference>
          <reference field="12" count="1" selected="0">
            <x v="23"/>
          </reference>
          <reference field="13" count="1" selected="0">
            <x v="1"/>
          </reference>
          <reference field="14" count="1" selected="0">
            <x v="18"/>
          </reference>
          <reference field="15" count="1" selected="0">
            <x v="15"/>
          </reference>
          <reference field="16" count="1">
            <x v="29"/>
          </reference>
        </references>
      </pivotArea>
    </format>
    <format dxfId="195">
      <pivotArea dataOnly="0" labelOnly="1" outline="0" fieldPosition="0">
        <references count="9">
          <reference field="0" count="1" selected="0">
            <x v="225"/>
          </reference>
          <reference field="1" count="1" selected="0">
            <x v="170"/>
          </reference>
          <reference field="2" count="1" selected="0">
            <x v="120"/>
          </reference>
          <reference field="3" count="1" selected="0">
            <x v="0"/>
          </reference>
          <reference field="12" count="1" selected="0">
            <x v="23"/>
          </reference>
          <reference field="13" count="1" selected="0">
            <x v="22"/>
          </reference>
          <reference field="14" count="1" selected="0">
            <x v="18"/>
          </reference>
          <reference field="15" count="1" selected="0">
            <x v="15"/>
          </reference>
          <reference field="16" count="1">
            <x v="0"/>
          </reference>
        </references>
      </pivotArea>
    </format>
    <format dxfId="194">
      <pivotArea dataOnly="0" labelOnly="1" outline="0" fieldPosition="0">
        <references count="9">
          <reference field="0" count="1" selected="0">
            <x v="229"/>
          </reference>
          <reference field="1" count="1" selected="0">
            <x v="174"/>
          </reference>
          <reference field="2" count="1" selected="0">
            <x v="91"/>
          </reference>
          <reference field="3" count="1" selected="0">
            <x v="0"/>
          </reference>
          <reference field="12" count="1" selected="0">
            <x v="3"/>
          </reference>
          <reference field="13" count="1" selected="0">
            <x v="18"/>
          </reference>
          <reference field="14" count="1" selected="0">
            <x v="34"/>
          </reference>
          <reference field="15" count="1" selected="0">
            <x v="15"/>
          </reference>
          <reference field="16" count="1">
            <x v="19"/>
          </reference>
        </references>
      </pivotArea>
    </format>
    <format dxfId="193">
      <pivotArea dataOnly="0" labelOnly="1" outline="0" fieldPosition="0">
        <references count="9">
          <reference field="0" count="1" selected="0">
            <x v="230"/>
          </reference>
          <reference field="1" count="1" selected="0">
            <x v="175"/>
          </reference>
          <reference field="2" count="1" selected="0">
            <x v="160"/>
          </reference>
          <reference field="3" count="1" selected="0">
            <x v="0"/>
          </reference>
          <reference field="12" count="1" selected="0">
            <x v="3"/>
          </reference>
          <reference field="13" count="1" selected="0">
            <x v="18"/>
          </reference>
          <reference field="14" count="1" selected="0">
            <x v="36"/>
          </reference>
          <reference field="15" count="1" selected="0">
            <x v="15"/>
          </reference>
          <reference field="16" count="1">
            <x v="48"/>
          </reference>
        </references>
      </pivotArea>
    </format>
    <format dxfId="192">
      <pivotArea dataOnly="0" labelOnly="1" outline="0" fieldPosition="0">
        <references count="9">
          <reference field="0" count="1" selected="0">
            <x v="231"/>
          </reference>
          <reference field="1" count="1" selected="0">
            <x v="176"/>
          </reference>
          <reference field="2" count="1" selected="0">
            <x v="42"/>
          </reference>
          <reference field="3" count="1" selected="0">
            <x v="0"/>
          </reference>
          <reference field="12" count="1" selected="0">
            <x v="3"/>
          </reference>
          <reference field="13" count="1" selected="0">
            <x v="20"/>
          </reference>
          <reference field="14" count="1" selected="0">
            <x v="38"/>
          </reference>
          <reference field="15" count="1" selected="0">
            <x v="15"/>
          </reference>
          <reference field="16" count="1">
            <x v="0"/>
          </reference>
        </references>
      </pivotArea>
    </format>
    <format dxfId="191">
      <pivotArea dataOnly="0" labelOnly="1" outline="0" fieldPosition="0">
        <references count="9">
          <reference field="0" count="1" selected="0">
            <x v="234"/>
          </reference>
          <reference field="1" count="1" selected="0">
            <x v="179"/>
          </reference>
          <reference field="2" count="1" selected="0">
            <x v="163"/>
          </reference>
          <reference field="3" count="1" selected="0">
            <x v="0"/>
          </reference>
          <reference field="12" count="1" selected="0">
            <x v="28"/>
          </reference>
          <reference field="13" count="1" selected="0">
            <x v="25"/>
          </reference>
          <reference field="14" count="1" selected="0">
            <x v="67"/>
          </reference>
          <reference field="15" count="1" selected="0">
            <x v="47"/>
          </reference>
          <reference field="16" count="1">
            <x v="65"/>
          </reference>
        </references>
      </pivotArea>
    </format>
    <format dxfId="190">
      <pivotArea dataOnly="0" labelOnly="1" outline="0" fieldPosition="0">
        <references count="9">
          <reference field="0" count="1" selected="0">
            <x v="235"/>
          </reference>
          <reference field="1" count="1" selected="0">
            <x v="191"/>
          </reference>
          <reference field="2" count="1" selected="0">
            <x v="155"/>
          </reference>
          <reference field="3" count="1" selected="0">
            <x v="0"/>
          </reference>
          <reference field="12" count="1" selected="0">
            <x v="3"/>
          </reference>
          <reference field="13" count="1" selected="0">
            <x v="0"/>
          </reference>
          <reference field="14" count="1" selected="0">
            <x v="38"/>
          </reference>
          <reference field="15" count="1" selected="0">
            <x v="15"/>
          </reference>
          <reference field="16" count="1">
            <x v="0"/>
          </reference>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68" headerRowCount="0" totalsRowShown="0" headerRowDxfId="2619" dataDxfId="2618">
  <tableColumns count="19">
    <tableColumn id="1" xr3:uid="{00000000-0010-0000-0000-000001000000}" name="Column1" headerRowDxfId="2617" dataDxfId="2616"/>
    <tableColumn id="2" xr3:uid="{00000000-0010-0000-0000-000002000000}" name="Column2" headerRowDxfId="2615" dataDxfId="2614"/>
    <tableColumn id="3" xr3:uid="{00000000-0010-0000-0000-000003000000}" name="Column3" headerRowDxfId="2613" dataDxfId="2612">
      <calculatedColumnFormula>VLOOKUP(B2,'HECVAT - Full'!A:E,2,FALSE)</calculatedColumnFormula>
    </tableColumn>
    <tableColumn id="4" xr3:uid="{00000000-0010-0000-0000-000004000000}" name="Column4" headerRowDxfId="2611" dataDxfId="2610">
      <calculatedColumnFormula>VLOOKUP(B2,'HECVAT - Full'!A:E,4,FALSE)</calculatedColumnFormula>
    </tableColumn>
    <tableColumn id="5" xr3:uid="{00000000-0010-0000-0000-000005000000}" name="Column5" headerRowDxfId="2609" dataDxfId="2608"/>
    <tableColumn id="6" xr3:uid="{00000000-0010-0000-0000-000006000000}" name="Column6" headerRowDxfId="2607" dataDxfId="2606"/>
    <tableColumn id="7" xr3:uid="{00000000-0010-0000-0000-000007000000}" name="Column7" headerRowDxfId="2605" dataDxfId="2604"/>
    <tableColumn id="8" xr3:uid="{00000000-0010-0000-0000-000008000000}" name="Column8" headerRowDxfId="2603" dataDxfId="2602"/>
    <tableColumn id="9" xr3:uid="{00000000-0010-0000-0000-000009000000}" name="Column9" headerRowDxfId="2601" dataDxfId="2600">
      <calculatedColumnFormula>VLOOKUP(B2,'HECVAT - Full'!A:E,3,FALSE)</calculatedColumnFormula>
    </tableColumn>
    <tableColumn id="10" xr3:uid="{00000000-0010-0000-0000-00000A000000}" name="Column10" headerRowDxfId="2599" dataDxfId="2598"/>
    <tableColumn id="11" xr3:uid="{00000000-0010-0000-0000-00000B000000}" name="Column11" headerRowDxfId="2597" dataDxfId="2596"/>
    <tableColumn id="12" xr3:uid="{00000000-0010-0000-0000-00000C000000}" name="Column12" headerRowDxfId="2595" dataDxfId="2594">
      <calculatedColumnFormula>J2*K2</calculatedColumnFormula>
    </tableColumn>
    <tableColumn id="13" xr3:uid="{00000000-0010-0000-0000-00000D000000}" name="Column13" headerRowDxfId="2593" dataDxfId="2592">
      <calculatedColumnFormula>VLOOKUP($B2,'Standards Crosswalk'!$A:$H,3,FALSE)</calculatedColumnFormula>
    </tableColumn>
    <tableColumn id="14" xr3:uid="{00000000-0010-0000-0000-00000E000000}" name="Column14" headerRowDxfId="2591" dataDxfId="2590">
      <calculatedColumnFormula>VLOOKUP($B2,'Standards Crosswalk'!$A:$H,4,FALSE)</calculatedColumnFormula>
    </tableColumn>
    <tableColumn id="15" xr3:uid="{00000000-0010-0000-0000-00000F000000}" name="Column15" headerRowDxfId="2589" dataDxfId="2588">
      <calculatedColumnFormula>VLOOKUP($B2,'Standards Crosswalk'!$A:$H,5,FALSE)</calculatedColumnFormula>
    </tableColumn>
    <tableColumn id="16" xr3:uid="{00000000-0010-0000-0000-000010000000}" name="Column16" headerRowDxfId="2587" dataDxfId="2586">
      <calculatedColumnFormula>VLOOKUP($B2,'Standards Crosswalk'!$A:$H,6,FALSE)</calculatedColumnFormula>
    </tableColumn>
    <tableColumn id="17" xr3:uid="{00000000-0010-0000-0000-000011000000}" name="Column17" headerRowDxfId="2585" dataDxfId="2584">
      <calculatedColumnFormula>VLOOKUP($B2,'Standards Crosswalk'!$A:$H,7,FALSE)</calculatedColumnFormula>
    </tableColumn>
    <tableColumn id="18" xr3:uid="{00000000-0010-0000-0000-000012000000}" name="Column18" headerRowDxfId="2583" dataDxfId="2582">
      <calculatedColumnFormula>VLOOKUP($B2,'Standards Crosswalk'!$A:$H,8,FALSE)</calculatedColumnFormula>
    </tableColumn>
    <tableColumn id="25" xr3:uid="{00000000-0010-0000-0000-000019000000}" name="Column25" headerRowDxfId="2581" dataDxfId="258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100" sqref="A100"/>
    </sheetView>
  </sheetViews>
  <sheetFormatPr baseColWidth="10" defaultColWidth="6.625" defaultRowHeight="13" x14ac:dyDescent="0.15"/>
  <cols>
    <col min="1" max="1" width="30.625" style="156" customWidth="1"/>
    <col min="2" max="2" width="60.625" style="156" customWidth="1"/>
    <col min="3" max="16384" width="6.625" style="156"/>
  </cols>
  <sheetData>
    <row r="1" spans="1:2" ht="42" customHeight="1" x14ac:dyDescent="0.15">
      <c r="A1" s="229"/>
      <c r="B1" s="230"/>
    </row>
    <row r="2" spans="1:2" x14ac:dyDescent="0.15">
      <c r="A2" s="157"/>
      <c r="B2" s="158"/>
    </row>
    <row r="3" spans="1:2" x14ac:dyDescent="0.15">
      <c r="A3" s="157"/>
      <c r="B3" s="158"/>
    </row>
    <row r="4" spans="1:2" x14ac:dyDescent="0.15">
      <c r="A4" s="157"/>
      <c r="B4" s="158"/>
    </row>
    <row r="5" spans="1:2" x14ac:dyDescent="0.15">
      <c r="A5" s="157"/>
      <c r="B5" s="158"/>
    </row>
    <row r="6" spans="1:2" x14ac:dyDescent="0.15">
      <c r="A6" s="157"/>
      <c r="B6" s="158"/>
    </row>
    <row r="7" spans="1:2" x14ac:dyDescent="0.15">
      <c r="A7" s="157"/>
      <c r="B7" s="158"/>
    </row>
    <row r="8" spans="1:2" x14ac:dyDescent="0.15">
      <c r="A8" s="157"/>
      <c r="B8" s="158"/>
    </row>
    <row r="9" spans="1:2" x14ac:dyDescent="0.15">
      <c r="A9" s="157"/>
      <c r="B9" s="158"/>
    </row>
    <row r="10" spans="1:2" x14ac:dyDescent="0.15">
      <c r="A10" s="157"/>
      <c r="B10" s="158"/>
    </row>
    <row r="11" spans="1:2" x14ac:dyDescent="0.15">
      <c r="A11" s="157"/>
      <c r="B11" s="158"/>
    </row>
    <row r="12" spans="1:2" x14ac:dyDescent="0.15">
      <c r="A12" s="157"/>
      <c r="B12" s="158"/>
    </row>
    <row r="13" spans="1:2" x14ac:dyDescent="0.15">
      <c r="A13" s="157"/>
      <c r="B13" s="158"/>
    </row>
    <row r="14" spans="1:2" x14ac:dyDescent="0.15">
      <c r="A14" s="157"/>
      <c r="B14" s="158"/>
    </row>
    <row r="15" spans="1:2" x14ac:dyDescent="0.15">
      <c r="A15" s="157"/>
      <c r="B15" s="158"/>
    </row>
    <row r="16" spans="1:2" x14ac:dyDescent="0.15">
      <c r="A16" s="157"/>
      <c r="B16" s="158"/>
    </row>
    <row r="17" spans="1:2" x14ac:dyDescent="0.15">
      <c r="A17" s="157"/>
      <c r="B17" s="158"/>
    </row>
    <row r="18" spans="1:2" x14ac:dyDescent="0.15">
      <c r="A18" s="157"/>
      <c r="B18" s="158"/>
    </row>
    <row r="19" spans="1:2" x14ac:dyDescent="0.15">
      <c r="A19" s="157"/>
      <c r="B19" s="158"/>
    </row>
    <row r="20" spans="1:2" x14ac:dyDescent="0.15">
      <c r="A20" s="157"/>
      <c r="B20" s="158"/>
    </row>
    <row r="21" spans="1:2" x14ac:dyDescent="0.15">
      <c r="A21" s="157"/>
      <c r="B21" s="158"/>
    </row>
    <row r="22" spans="1:2" x14ac:dyDescent="0.15">
      <c r="A22" s="157"/>
      <c r="B22" s="158"/>
    </row>
    <row r="23" spans="1:2" x14ac:dyDescent="0.15">
      <c r="A23" s="157"/>
      <c r="B23" s="158"/>
    </row>
    <row r="24" spans="1:2" x14ac:dyDescent="0.15">
      <c r="A24" s="157"/>
      <c r="B24" s="158"/>
    </row>
    <row r="25" spans="1:2" x14ac:dyDescent="0.15">
      <c r="A25" s="157"/>
      <c r="B25" s="158"/>
    </row>
    <row r="26" spans="1:2" x14ac:dyDescent="0.15">
      <c r="A26" s="157"/>
      <c r="B26" s="158"/>
    </row>
    <row r="27" spans="1:2" x14ac:dyDescent="0.15">
      <c r="A27" s="157"/>
      <c r="B27" s="158"/>
    </row>
    <row r="28" spans="1:2" x14ac:dyDescent="0.15">
      <c r="A28" s="157"/>
      <c r="B28" s="158"/>
    </row>
    <row r="29" spans="1:2" x14ac:dyDescent="0.15">
      <c r="A29" s="157"/>
      <c r="B29" s="158"/>
    </row>
    <row r="30" spans="1:2" x14ac:dyDescent="0.15">
      <c r="A30" s="157"/>
      <c r="B30" s="158"/>
    </row>
    <row r="31" spans="1:2" x14ac:dyDescent="0.15">
      <c r="A31" s="157"/>
      <c r="B31" s="158"/>
    </row>
    <row r="32" spans="1:2" x14ac:dyDescent="0.15">
      <c r="A32" s="157"/>
      <c r="B32" s="158"/>
    </row>
    <row r="33" spans="1:2" x14ac:dyDescent="0.15">
      <c r="A33" s="157"/>
      <c r="B33" s="158"/>
    </row>
    <row r="34" spans="1:2" x14ac:dyDescent="0.15">
      <c r="A34" s="157"/>
      <c r="B34" s="158"/>
    </row>
    <row r="35" spans="1:2" x14ac:dyDescent="0.15">
      <c r="A35" s="157"/>
      <c r="B35" s="158"/>
    </row>
    <row r="36" spans="1:2" x14ac:dyDescent="0.15">
      <c r="A36" s="157"/>
      <c r="B36" s="158"/>
    </row>
    <row r="37" spans="1:2" x14ac:dyDescent="0.15">
      <c r="A37" s="157"/>
      <c r="B37" s="158"/>
    </row>
    <row r="38" spans="1:2" x14ac:dyDescent="0.15">
      <c r="A38" s="157"/>
      <c r="B38" s="158"/>
    </row>
    <row r="39" spans="1:2" x14ac:dyDescent="0.15">
      <c r="A39" s="157"/>
      <c r="B39" s="158"/>
    </row>
    <row r="40" spans="1:2" x14ac:dyDescent="0.15">
      <c r="A40" s="157"/>
      <c r="B40" s="158"/>
    </row>
    <row r="41" spans="1:2" x14ac:dyDescent="0.15">
      <c r="A41" s="157"/>
      <c r="B41" s="158"/>
    </row>
    <row r="42" spans="1:2" x14ac:dyDescent="0.15">
      <c r="A42" s="157"/>
      <c r="B42" s="158"/>
    </row>
    <row r="43" spans="1:2" x14ac:dyDescent="0.15">
      <c r="A43" s="157"/>
      <c r="B43" s="158"/>
    </row>
    <row r="44" spans="1:2" x14ac:dyDescent="0.15">
      <c r="A44" s="157"/>
      <c r="B44" s="158"/>
    </row>
    <row r="45" spans="1:2" x14ac:dyDescent="0.15">
      <c r="A45" s="157"/>
      <c r="B45" s="158"/>
    </row>
    <row r="46" spans="1:2" x14ac:dyDescent="0.15">
      <c r="A46" s="157"/>
      <c r="B46" s="158"/>
    </row>
    <row r="47" spans="1:2" x14ac:dyDescent="0.15">
      <c r="A47" s="157"/>
      <c r="B47" s="158"/>
    </row>
    <row r="48" spans="1:2" x14ac:dyDescent="0.15">
      <c r="A48" s="157"/>
      <c r="B48" s="158"/>
    </row>
    <row r="49" spans="1:2" x14ac:dyDescent="0.15">
      <c r="A49" s="157"/>
      <c r="B49" s="158"/>
    </row>
    <row r="50" spans="1:2" x14ac:dyDescent="0.15">
      <c r="A50" s="157"/>
      <c r="B50" s="158"/>
    </row>
    <row r="51" spans="1:2" x14ac:dyDescent="0.15">
      <c r="A51" s="157"/>
      <c r="B51" s="158"/>
    </row>
    <row r="52" spans="1:2" x14ac:dyDescent="0.15">
      <c r="A52" s="157"/>
      <c r="B52" s="158"/>
    </row>
    <row r="53" spans="1:2" x14ac:dyDescent="0.15">
      <c r="A53" s="157"/>
      <c r="B53" s="158"/>
    </row>
    <row r="54" spans="1:2" ht="45" customHeight="1" x14ac:dyDescent="0.15">
      <c r="A54" s="159"/>
      <c r="B54" s="160"/>
    </row>
    <row r="55" spans="1:2" ht="36" customHeight="1" x14ac:dyDescent="0.15">
      <c r="A55" s="231" t="s">
        <v>2633</v>
      </c>
      <c r="B55" s="231"/>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L1685"/>
  <sheetViews>
    <sheetView topLeftCell="A43" workbookViewId="0">
      <selection activeCell="C49" sqref="C49"/>
    </sheetView>
  </sheetViews>
  <sheetFormatPr baseColWidth="10" defaultColWidth="8.625" defaultRowHeight="12" x14ac:dyDescent="0.2"/>
  <cols>
    <col min="1" max="1" width="10.125" style="87" bestFit="1" customWidth="1"/>
    <col min="2" max="2" width="8.5" style="87" customWidth="1"/>
    <col min="3" max="3" width="26.75" style="87" bestFit="1" customWidth="1"/>
    <col min="4" max="4" width="12.25" style="87" bestFit="1" customWidth="1"/>
    <col min="5" max="5" width="7.25" style="87" bestFit="1" customWidth="1"/>
    <col min="6" max="6" width="9.375" style="87" bestFit="1" customWidth="1"/>
    <col min="7" max="7" width="12" style="87" bestFit="1" customWidth="1"/>
    <col min="8" max="8" width="15.5" style="87" bestFit="1" customWidth="1"/>
    <col min="9" max="9" width="11.75" style="87" bestFit="1" customWidth="1"/>
    <col min="10" max="10" width="13.875" style="87" bestFit="1" customWidth="1"/>
    <col min="11" max="11" width="8.125" style="87" customWidth="1"/>
    <col min="12" max="16384" width="8.625" style="87"/>
  </cols>
  <sheetData>
    <row r="1" spans="1:12" ht="16" x14ac:dyDescent="0.2">
      <c r="A1" s="87" t="s">
        <v>2028</v>
      </c>
      <c r="B1" s="87" t="s">
        <v>2087</v>
      </c>
      <c r="L1"/>
    </row>
    <row r="2" spans="1:12" ht="16" x14ac:dyDescent="0.2">
      <c r="A2" s="87" t="s">
        <v>2056</v>
      </c>
      <c r="B2" s="185">
        <v>0</v>
      </c>
      <c r="L2"/>
    </row>
    <row r="3" spans="1:12" ht="16" x14ac:dyDescent="0.2">
      <c r="L3"/>
    </row>
    <row r="4" spans="1:12" ht="26" x14ac:dyDescent="0.2">
      <c r="A4" s="87" t="s">
        <v>2086</v>
      </c>
      <c r="B4" s="87" t="s">
        <v>2025</v>
      </c>
      <c r="C4" s="87" t="s">
        <v>2026</v>
      </c>
      <c r="D4" s="87" t="s">
        <v>2027</v>
      </c>
      <c r="E4" s="87" t="s">
        <v>2084</v>
      </c>
      <c r="F4" s="87" t="s">
        <v>562</v>
      </c>
      <c r="G4" s="87" t="s">
        <v>2085</v>
      </c>
      <c r="H4" s="87" t="s">
        <v>565</v>
      </c>
      <c r="I4" s="87" t="s">
        <v>564</v>
      </c>
      <c r="J4" s="87" t="s">
        <v>563</v>
      </c>
      <c r="K4" s="87" t="s">
        <v>2045</v>
      </c>
      <c r="L4"/>
    </row>
    <row r="5" spans="1:12" ht="39" x14ac:dyDescent="0.2">
      <c r="A5" s="185">
        <v>11</v>
      </c>
      <c r="B5" s="185" t="s">
        <v>174</v>
      </c>
      <c r="C5" s="185" t="s">
        <v>2634</v>
      </c>
      <c r="D5" s="186">
        <v>0</v>
      </c>
      <c r="E5" s="185">
        <v>0</v>
      </c>
      <c r="F5" s="185">
        <v>0</v>
      </c>
      <c r="G5" s="185" t="s">
        <v>616</v>
      </c>
      <c r="H5" s="185">
        <v>0</v>
      </c>
      <c r="I5" s="185">
        <v>0</v>
      </c>
      <c r="J5" s="185" t="s">
        <v>822</v>
      </c>
      <c r="K5" s="185" t="s">
        <v>2110</v>
      </c>
      <c r="L5"/>
    </row>
    <row r="6" spans="1:12" ht="26" x14ac:dyDescent="0.2">
      <c r="A6" s="185">
        <v>13</v>
      </c>
      <c r="B6" s="185" t="s">
        <v>176</v>
      </c>
      <c r="C6" s="185" t="s">
        <v>470</v>
      </c>
      <c r="D6" s="186">
        <v>0</v>
      </c>
      <c r="E6" s="185">
        <v>0</v>
      </c>
      <c r="F6" s="186" t="s">
        <v>599</v>
      </c>
      <c r="G6" s="186" t="s">
        <v>619</v>
      </c>
      <c r="H6" s="186" t="s">
        <v>697</v>
      </c>
      <c r="I6" s="186" t="s">
        <v>697</v>
      </c>
      <c r="J6" s="185" t="s">
        <v>822</v>
      </c>
      <c r="K6" s="185">
        <v>0</v>
      </c>
      <c r="L6"/>
    </row>
    <row r="7" spans="1:12" ht="117" x14ac:dyDescent="0.2">
      <c r="A7" s="185">
        <v>14</v>
      </c>
      <c r="B7" s="185" t="s">
        <v>183</v>
      </c>
      <c r="C7" s="185" t="s">
        <v>130</v>
      </c>
      <c r="D7" s="186">
        <v>0</v>
      </c>
      <c r="E7" s="185" t="s">
        <v>568</v>
      </c>
      <c r="F7" s="185">
        <v>0</v>
      </c>
      <c r="G7" s="185" t="s">
        <v>622</v>
      </c>
      <c r="H7" s="185" t="s">
        <v>768</v>
      </c>
      <c r="I7" s="185" t="s">
        <v>700</v>
      </c>
      <c r="J7" s="185" t="s">
        <v>825</v>
      </c>
      <c r="K7" s="185">
        <v>12.8</v>
      </c>
      <c r="L7"/>
    </row>
    <row r="8" spans="1:12" ht="39" x14ac:dyDescent="0.2">
      <c r="A8" s="185">
        <v>15</v>
      </c>
      <c r="B8" s="185" t="s">
        <v>184</v>
      </c>
      <c r="C8" s="185" t="s">
        <v>516</v>
      </c>
      <c r="D8" s="186">
        <v>0</v>
      </c>
      <c r="E8" s="185" t="s">
        <v>568</v>
      </c>
      <c r="F8" s="185">
        <v>0</v>
      </c>
      <c r="G8" s="185" t="s">
        <v>622</v>
      </c>
      <c r="H8" s="185" t="s">
        <v>768</v>
      </c>
      <c r="I8" s="185" t="s">
        <v>700</v>
      </c>
      <c r="J8" s="185">
        <v>0</v>
      </c>
      <c r="K8" s="185">
        <v>12.8</v>
      </c>
      <c r="L8"/>
    </row>
    <row r="9" spans="1:12" ht="52" x14ac:dyDescent="0.2">
      <c r="A9" s="185">
        <v>16</v>
      </c>
      <c r="B9" s="185" t="s">
        <v>185</v>
      </c>
      <c r="C9" s="185" t="s">
        <v>21</v>
      </c>
      <c r="D9" s="186">
        <v>0</v>
      </c>
      <c r="E9" s="185" t="s">
        <v>568</v>
      </c>
      <c r="F9" s="185">
        <v>0</v>
      </c>
      <c r="G9" s="185" t="s">
        <v>622</v>
      </c>
      <c r="H9" s="185" t="s">
        <v>697</v>
      </c>
      <c r="I9" s="185">
        <v>0</v>
      </c>
      <c r="J9" s="185" t="s">
        <v>826</v>
      </c>
      <c r="K9" s="185">
        <v>12.8</v>
      </c>
      <c r="L9"/>
    </row>
    <row r="10" spans="1:12" ht="65" x14ac:dyDescent="0.2">
      <c r="A10" s="185">
        <v>17</v>
      </c>
      <c r="B10" s="185" t="s">
        <v>429</v>
      </c>
      <c r="C10" s="185" t="s">
        <v>441</v>
      </c>
      <c r="D10" s="186">
        <v>0</v>
      </c>
      <c r="E10" s="185">
        <v>0</v>
      </c>
      <c r="F10" s="185">
        <v>0</v>
      </c>
      <c r="G10" s="185" t="s">
        <v>622</v>
      </c>
      <c r="H10" s="185" t="s">
        <v>698</v>
      </c>
      <c r="I10" s="185">
        <v>0</v>
      </c>
      <c r="J10" s="185" t="s">
        <v>827</v>
      </c>
      <c r="K10" s="185">
        <v>12.8</v>
      </c>
      <c r="L10"/>
    </row>
    <row r="11" spans="1:12" ht="26" x14ac:dyDescent="0.2">
      <c r="A11" s="185">
        <v>20</v>
      </c>
      <c r="B11" s="185" t="s">
        <v>188</v>
      </c>
      <c r="C11" s="185" t="s">
        <v>536</v>
      </c>
      <c r="D11" s="186">
        <v>0</v>
      </c>
      <c r="E11" s="185" t="s">
        <v>571</v>
      </c>
      <c r="F11" s="185">
        <v>0</v>
      </c>
      <c r="G11" s="185" t="s">
        <v>624</v>
      </c>
      <c r="H11" s="185" t="s">
        <v>698</v>
      </c>
      <c r="I11" s="185" t="s">
        <v>702</v>
      </c>
      <c r="J11" s="185">
        <v>0</v>
      </c>
      <c r="K11" s="185">
        <v>0</v>
      </c>
      <c r="L11"/>
    </row>
    <row r="12" spans="1:12" ht="26" x14ac:dyDescent="0.2">
      <c r="A12" s="185">
        <v>23</v>
      </c>
      <c r="B12" s="185" t="s">
        <v>191</v>
      </c>
      <c r="C12" s="185" t="s">
        <v>471</v>
      </c>
      <c r="D12" s="186">
        <v>0</v>
      </c>
      <c r="E12" s="185" t="s">
        <v>568</v>
      </c>
      <c r="F12" s="185">
        <v>0</v>
      </c>
      <c r="G12" s="185" t="s">
        <v>637</v>
      </c>
      <c r="H12" s="185" t="s">
        <v>698</v>
      </c>
      <c r="I12" s="185" t="s">
        <v>700</v>
      </c>
      <c r="J12" s="185" t="s">
        <v>829</v>
      </c>
      <c r="K12" s="185">
        <v>0</v>
      </c>
      <c r="L12"/>
    </row>
    <row r="13" spans="1:12" ht="26" x14ac:dyDescent="0.2">
      <c r="A13" s="185">
        <v>25</v>
      </c>
      <c r="B13" s="185" t="s">
        <v>193</v>
      </c>
      <c r="C13" s="185" t="s">
        <v>538</v>
      </c>
      <c r="D13" s="186">
        <v>0</v>
      </c>
      <c r="E13" s="185" t="s">
        <v>571</v>
      </c>
      <c r="F13" s="185">
        <v>0</v>
      </c>
      <c r="G13" s="185" t="s">
        <v>637</v>
      </c>
      <c r="H13" s="185" t="s">
        <v>698</v>
      </c>
      <c r="I13" s="185">
        <v>0</v>
      </c>
      <c r="J13" s="185">
        <v>0</v>
      </c>
      <c r="K13" s="185">
        <v>0</v>
      </c>
      <c r="L13"/>
    </row>
    <row r="14" spans="1:12" ht="26" x14ac:dyDescent="0.2">
      <c r="A14" s="185">
        <v>27</v>
      </c>
      <c r="B14" s="185" t="s">
        <v>195</v>
      </c>
      <c r="C14" s="185" t="s">
        <v>896</v>
      </c>
      <c r="D14" s="186">
        <v>0</v>
      </c>
      <c r="E14" s="185" t="s">
        <v>569</v>
      </c>
      <c r="F14" s="185">
        <v>0</v>
      </c>
      <c r="G14" s="185">
        <v>0</v>
      </c>
      <c r="H14" s="185" t="s">
        <v>769</v>
      </c>
      <c r="I14" s="185">
        <v>0</v>
      </c>
      <c r="J14" s="185">
        <v>0</v>
      </c>
      <c r="K14" s="185">
        <v>0</v>
      </c>
      <c r="L14"/>
    </row>
    <row r="15" spans="1:12" ht="26" x14ac:dyDescent="0.2">
      <c r="A15" s="185">
        <v>28</v>
      </c>
      <c r="B15" s="185" t="s">
        <v>196</v>
      </c>
      <c r="C15" s="185" t="s">
        <v>897</v>
      </c>
      <c r="D15" s="186">
        <v>0</v>
      </c>
      <c r="E15" s="185" t="s">
        <v>578</v>
      </c>
      <c r="F15" s="185">
        <v>0</v>
      </c>
      <c r="G15" s="185" t="s">
        <v>625</v>
      </c>
      <c r="H15" s="185" t="s">
        <v>769</v>
      </c>
      <c r="I15" s="185">
        <v>0</v>
      </c>
      <c r="J15" s="185">
        <v>0</v>
      </c>
      <c r="K15" s="185">
        <v>0</v>
      </c>
      <c r="L15"/>
    </row>
    <row r="16" spans="1:12" ht="65" x14ac:dyDescent="0.2">
      <c r="A16" s="185">
        <v>32</v>
      </c>
      <c r="B16" s="185" t="s">
        <v>199</v>
      </c>
      <c r="C16" s="185" t="s">
        <v>900</v>
      </c>
      <c r="D16" s="186">
        <v>0</v>
      </c>
      <c r="E16" s="185" t="s">
        <v>573</v>
      </c>
      <c r="F16" s="185">
        <v>0</v>
      </c>
      <c r="G16" s="185">
        <v>6.2</v>
      </c>
      <c r="H16" s="185" t="s">
        <v>773</v>
      </c>
      <c r="I16" s="185" t="s">
        <v>706</v>
      </c>
      <c r="J16" s="185" t="s">
        <v>833</v>
      </c>
      <c r="K16" s="185">
        <v>0</v>
      </c>
      <c r="L16"/>
    </row>
    <row r="17" spans="1:12" ht="39" x14ac:dyDescent="0.2">
      <c r="A17" s="185">
        <v>34</v>
      </c>
      <c r="B17" s="185" t="s">
        <v>201</v>
      </c>
      <c r="C17" s="185" t="s">
        <v>517</v>
      </c>
      <c r="D17" s="186">
        <v>0</v>
      </c>
      <c r="E17" s="185">
        <v>0</v>
      </c>
      <c r="F17" s="185">
        <v>0</v>
      </c>
      <c r="G17" s="185">
        <v>16</v>
      </c>
      <c r="H17" s="185">
        <v>0</v>
      </c>
      <c r="I17" s="185">
        <v>0</v>
      </c>
      <c r="J17" s="185">
        <v>0</v>
      </c>
      <c r="K17" s="185" t="s">
        <v>2113</v>
      </c>
      <c r="L17"/>
    </row>
    <row r="18" spans="1:12" ht="78" x14ac:dyDescent="0.2">
      <c r="A18" s="185">
        <v>36</v>
      </c>
      <c r="B18" s="185" t="s">
        <v>203</v>
      </c>
      <c r="C18" s="185" t="s">
        <v>443</v>
      </c>
      <c r="D18" s="186">
        <v>0</v>
      </c>
      <c r="E18" s="185" t="s">
        <v>574</v>
      </c>
      <c r="F18" s="185">
        <v>0</v>
      </c>
      <c r="G18" s="185" t="s">
        <v>629</v>
      </c>
      <c r="H18" s="185" t="s">
        <v>775</v>
      </c>
      <c r="I18" s="185">
        <v>0</v>
      </c>
      <c r="J18" s="185" t="s">
        <v>834</v>
      </c>
      <c r="K18" s="185">
        <v>2.4</v>
      </c>
      <c r="L18"/>
    </row>
    <row r="19" spans="1:12" ht="39" x14ac:dyDescent="0.2">
      <c r="A19" s="185">
        <v>37</v>
      </c>
      <c r="B19" s="185" t="s">
        <v>204</v>
      </c>
      <c r="C19" s="185" t="s">
        <v>502</v>
      </c>
      <c r="D19" s="186">
        <v>0</v>
      </c>
      <c r="E19" s="185" t="s">
        <v>568</v>
      </c>
      <c r="F19" s="185">
        <v>0</v>
      </c>
      <c r="G19" s="185" t="s">
        <v>630</v>
      </c>
      <c r="H19" s="185">
        <v>0</v>
      </c>
      <c r="I19" s="185">
        <v>0</v>
      </c>
      <c r="J19" s="185">
        <v>0</v>
      </c>
      <c r="K19" s="185">
        <v>0</v>
      </c>
    </row>
    <row r="20" spans="1:12" ht="26" x14ac:dyDescent="0.2">
      <c r="A20" s="185">
        <v>40</v>
      </c>
      <c r="B20" s="185" t="s">
        <v>207</v>
      </c>
      <c r="C20" s="185" t="s">
        <v>113</v>
      </c>
      <c r="D20" s="186">
        <v>0</v>
      </c>
      <c r="E20" s="185" t="s">
        <v>574</v>
      </c>
      <c r="F20" s="185">
        <v>0</v>
      </c>
      <c r="G20" s="185">
        <v>0</v>
      </c>
      <c r="H20" s="185">
        <v>0</v>
      </c>
      <c r="I20" s="185">
        <v>0</v>
      </c>
      <c r="J20" s="185">
        <v>0</v>
      </c>
      <c r="K20" s="185">
        <v>0</v>
      </c>
    </row>
    <row r="21" spans="1:12" ht="65" x14ac:dyDescent="0.2">
      <c r="A21" s="185">
        <v>41</v>
      </c>
      <c r="B21" s="185" t="s">
        <v>540</v>
      </c>
      <c r="C21" s="185" t="s">
        <v>445</v>
      </c>
      <c r="D21" s="186">
        <v>0</v>
      </c>
      <c r="E21" s="185" t="s">
        <v>571</v>
      </c>
      <c r="F21" s="185">
        <v>0</v>
      </c>
      <c r="G21" s="185" t="s">
        <v>632</v>
      </c>
      <c r="H21" s="185" t="s">
        <v>771</v>
      </c>
      <c r="I21" s="185" t="s">
        <v>707</v>
      </c>
      <c r="J21" s="185" t="s">
        <v>835</v>
      </c>
      <c r="K21" s="185" t="s">
        <v>2114</v>
      </c>
    </row>
    <row r="22" spans="1:12" ht="52" x14ac:dyDescent="0.2">
      <c r="A22" s="185">
        <v>42</v>
      </c>
      <c r="B22" s="185" t="s">
        <v>208</v>
      </c>
      <c r="C22" s="185" t="s">
        <v>503</v>
      </c>
      <c r="D22" s="186">
        <v>0</v>
      </c>
      <c r="E22" s="185" t="s">
        <v>576</v>
      </c>
      <c r="F22" s="185">
        <v>0</v>
      </c>
      <c r="G22" s="185">
        <v>9.1999999999999993</v>
      </c>
      <c r="H22" s="185" t="s">
        <v>771</v>
      </c>
      <c r="I22" s="185" t="s">
        <v>708</v>
      </c>
      <c r="J22" s="185" t="s">
        <v>836</v>
      </c>
      <c r="K22" s="185" t="s">
        <v>2115</v>
      </c>
    </row>
    <row r="23" spans="1:12" ht="26" x14ac:dyDescent="0.2">
      <c r="A23" s="185">
        <v>44</v>
      </c>
      <c r="B23" s="185" t="s">
        <v>211</v>
      </c>
      <c r="C23" s="185" t="s">
        <v>34</v>
      </c>
      <c r="D23" s="186">
        <v>0</v>
      </c>
      <c r="E23" s="185" t="s">
        <v>577</v>
      </c>
      <c r="F23" s="185">
        <v>0</v>
      </c>
      <c r="G23" s="185" t="s">
        <v>635</v>
      </c>
      <c r="H23" s="185" t="s">
        <v>777</v>
      </c>
      <c r="I23" s="185" t="s">
        <v>709</v>
      </c>
      <c r="J23" s="185" t="s">
        <v>837</v>
      </c>
      <c r="K23" s="185" t="s">
        <v>2117</v>
      </c>
    </row>
    <row r="24" spans="1:12" ht="39" x14ac:dyDescent="0.2">
      <c r="A24" s="185">
        <v>45</v>
      </c>
      <c r="B24" s="185" t="s">
        <v>212</v>
      </c>
      <c r="C24" s="185" t="s">
        <v>518</v>
      </c>
      <c r="D24" s="186">
        <v>0</v>
      </c>
      <c r="E24" s="185" t="s">
        <v>577</v>
      </c>
      <c r="F24" s="185">
        <v>0</v>
      </c>
      <c r="G24" s="185" t="s">
        <v>635</v>
      </c>
      <c r="H24" s="185" t="s">
        <v>777</v>
      </c>
      <c r="I24" s="185" t="s">
        <v>710</v>
      </c>
      <c r="J24" s="185" t="s">
        <v>838</v>
      </c>
      <c r="K24" s="185" t="s">
        <v>2117</v>
      </c>
    </row>
    <row r="25" spans="1:12" ht="26" x14ac:dyDescent="0.2">
      <c r="A25" s="185">
        <v>46</v>
      </c>
      <c r="B25" s="185" t="s">
        <v>213</v>
      </c>
      <c r="C25" s="185" t="s">
        <v>2066</v>
      </c>
      <c r="D25" s="186">
        <v>0</v>
      </c>
      <c r="E25" s="185" t="s">
        <v>577</v>
      </c>
      <c r="F25" s="185">
        <v>0</v>
      </c>
      <c r="G25" s="185" t="s">
        <v>635</v>
      </c>
      <c r="H25" s="185" t="s">
        <v>777</v>
      </c>
      <c r="I25" s="185">
        <v>0</v>
      </c>
      <c r="J25" s="185">
        <v>0</v>
      </c>
      <c r="K25" s="185" t="s">
        <v>2117</v>
      </c>
    </row>
    <row r="26" spans="1:12" ht="39" x14ac:dyDescent="0.2">
      <c r="A26" s="185">
        <v>48</v>
      </c>
      <c r="B26" s="185" t="s">
        <v>215</v>
      </c>
      <c r="C26" s="185" t="s">
        <v>2656</v>
      </c>
      <c r="D26" s="186">
        <v>0</v>
      </c>
      <c r="E26" s="185" t="s">
        <v>577</v>
      </c>
      <c r="F26" s="185">
        <v>0</v>
      </c>
      <c r="G26" s="185" t="s">
        <v>636</v>
      </c>
      <c r="H26" s="185" t="s">
        <v>777</v>
      </c>
      <c r="I26" s="185" t="s">
        <v>712</v>
      </c>
      <c r="J26" s="185" t="s">
        <v>839</v>
      </c>
      <c r="K26" s="185" t="s">
        <v>2117</v>
      </c>
    </row>
    <row r="27" spans="1:12" ht="26" x14ac:dyDescent="0.2">
      <c r="A27" s="185">
        <v>49</v>
      </c>
      <c r="B27" s="185" t="s">
        <v>216</v>
      </c>
      <c r="C27" s="185" t="s">
        <v>2564</v>
      </c>
      <c r="D27" s="186">
        <v>0</v>
      </c>
      <c r="E27" s="185" t="s">
        <v>577</v>
      </c>
      <c r="F27" s="185">
        <v>0</v>
      </c>
      <c r="G27" s="185" t="s">
        <v>637</v>
      </c>
      <c r="H27" s="185">
        <v>0</v>
      </c>
      <c r="I27" s="185">
        <v>0</v>
      </c>
      <c r="J27" s="185">
        <v>0</v>
      </c>
      <c r="K27" s="185" t="s">
        <v>2118</v>
      </c>
    </row>
    <row r="28" spans="1:12" ht="26" x14ac:dyDescent="0.2">
      <c r="A28" s="185">
        <v>50</v>
      </c>
      <c r="B28" s="185" t="s">
        <v>217</v>
      </c>
      <c r="C28" s="185" t="s">
        <v>35</v>
      </c>
      <c r="D28" s="186">
        <v>0</v>
      </c>
      <c r="E28" s="185" t="s">
        <v>577</v>
      </c>
      <c r="F28" s="185">
        <v>0</v>
      </c>
      <c r="G28" s="185" t="s">
        <v>637</v>
      </c>
      <c r="H28" s="185" t="s">
        <v>777</v>
      </c>
      <c r="I28" s="185">
        <v>0</v>
      </c>
      <c r="J28" s="185">
        <v>0</v>
      </c>
      <c r="K28" s="185" t="s">
        <v>2117</v>
      </c>
    </row>
    <row r="29" spans="1:12" ht="26" x14ac:dyDescent="0.2">
      <c r="A29" s="185">
        <v>51</v>
      </c>
      <c r="B29" s="185" t="s">
        <v>218</v>
      </c>
      <c r="C29" s="185" t="s">
        <v>36</v>
      </c>
      <c r="D29" s="186">
        <v>0</v>
      </c>
      <c r="E29" s="185" t="s">
        <v>577</v>
      </c>
      <c r="F29" s="185">
        <v>0</v>
      </c>
      <c r="G29" s="185" t="s">
        <v>637</v>
      </c>
      <c r="H29" s="185" t="s">
        <v>777</v>
      </c>
      <c r="I29" s="185" t="s">
        <v>713</v>
      </c>
      <c r="J29" s="185" t="s">
        <v>838</v>
      </c>
      <c r="K29" s="185" t="s">
        <v>2117</v>
      </c>
    </row>
    <row r="30" spans="1:12" ht="52" x14ac:dyDescent="0.2">
      <c r="A30" s="185">
        <v>54</v>
      </c>
      <c r="B30" s="185" t="s">
        <v>221</v>
      </c>
      <c r="C30" s="185" t="s">
        <v>519</v>
      </c>
      <c r="D30" s="186">
        <v>0</v>
      </c>
      <c r="E30" s="185" t="s">
        <v>577</v>
      </c>
      <c r="F30" s="185">
        <v>0</v>
      </c>
      <c r="G30" s="185" t="s">
        <v>637</v>
      </c>
      <c r="H30" s="185" t="s">
        <v>778</v>
      </c>
      <c r="I30" s="185">
        <v>0</v>
      </c>
      <c r="J30" s="185">
        <v>0</v>
      </c>
      <c r="K30" s="185" t="s">
        <v>2117</v>
      </c>
    </row>
    <row r="31" spans="1:12" ht="39" x14ac:dyDescent="0.2">
      <c r="A31" s="185">
        <v>56</v>
      </c>
      <c r="B31" s="185" t="s">
        <v>223</v>
      </c>
      <c r="C31" s="185" t="s">
        <v>94</v>
      </c>
      <c r="D31" s="186">
        <v>0</v>
      </c>
      <c r="E31" s="185" t="s">
        <v>577</v>
      </c>
      <c r="F31" s="185">
        <v>0</v>
      </c>
      <c r="G31" s="185">
        <v>0</v>
      </c>
      <c r="H31" s="185" t="s">
        <v>778</v>
      </c>
      <c r="I31" s="185">
        <v>0</v>
      </c>
      <c r="J31" s="185">
        <v>0</v>
      </c>
      <c r="K31" s="185">
        <v>0</v>
      </c>
    </row>
    <row r="32" spans="1:12" ht="39" x14ac:dyDescent="0.2">
      <c r="A32" s="185">
        <v>57</v>
      </c>
      <c r="B32" s="185" t="s">
        <v>224</v>
      </c>
      <c r="C32" s="185" t="s">
        <v>520</v>
      </c>
      <c r="D32" s="186">
        <v>0</v>
      </c>
      <c r="E32" s="185" t="s">
        <v>577</v>
      </c>
      <c r="F32" s="185">
        <v>0</v>
      </c>
      <c r="G32" s="185">
        <v>0</v>
      </c>
      <c r="H32" s="185" t="s">
        <v>778</v>
      </c>
      <c r="I32" s="185" t="s">
        <v>715</v>
      </c>
      <c r="J32" s="185">
        <v>0</v>
      </c>
      <c r="K32" s="185" t="s">
        <v>2117</v>
      </c>
    </row>
    <row r="33" spans="1:11" ht="52" x14ac:dyDescent="0.2">
      <c r="A33" s="185">
        <v>58</v>
      </c>
      <c r="B33" s="185" t="s">
        <v>225</v>
      </c>
      <c r="C33" s="185" t="s">
        <v>541</v>
      </c>
      <c r="D33" s="186">
        <v>0</v>
      </c>
      <c r="E33" s="185" t="s">
        <v>579</v>
      </c>
      <c r="F33" s="185">
        <v>0</v>
      </c>
      <c r="G33" s="185" t="s">
        <v>634</v>
      </c>
      <c r="H33" s="185" t="s">
        <v>779</v>
      </c>
      <c r="I33" s="185" t="s">
        <v>716</v>
      </c>
      <c r="J33" s="185" t="s">
        <v>841</v>
      </c>
      <c r="K33" s="185" t="s">
        <v>2119</v>
      </c>
    </row>
    <row r="34" spans="1:11" ht="130" x14ac:dyDescent="0.2">
      <c r="A34" s="185">
        <v>59</v>
      </c>
      <c r="B34" s="185" t="s">
        <v>226</v>
      </c>
      <c r="C34" s="185" t="s">
        <v>2097</v>
      </c>
      <c r="D34" s="186">
        <v>0</v>
      </c>
      <c r="E34" s="185" t="s">
        <v>579</v>
      </c>
      <c r="F34" s="185">
        <v>0</v>
      </c>
      <c r="G34" s="185" t="s">
        <v>634</v>
      </c>
      <c r="H34" s="185" t="s">
        <v>779</v>
      </c>
      <c r="I34" s="185" t="s">
        <v>717</v>
      </c>
      <c r="J34" s="185" t="s">
        <v>842</v>
      </c>
      <c r="K34" s="185" t="s">
        <v>2120</v>
      </c>
    </row>
    <row r="35" spans="1:11" ht="39" x14ac:dyDescent="0.2">
      <c r="A35" s="185">
        <v>61</v>
      </c>
      <c r="B35" s="185" t="s">
        <v>210</v>
      </c>
      <c r="C35" s="185" t="s">
        <v>542</v>
      </c>
      <c r="D35" s="186">
        <v>0</v>
      </c>
      <c r="E35" s="185" t="s">
        <v>570</v>
      </c>
      <c r="F35" s="185">
        <v>0</v>
      </c>
      <c r="G35" s="185" t="s">
        <v>640</v>
      </c>
      <c r="H35" s="185" t="s">
        <v>699</v>
      </c>
      <c r="I35" s="185" t="s">
        <v>719</v>
      </c>
      <c r="J35" s="185" t="s">
        <v>844</v>
      </c>
      <c r="K35" s="185">
        <v>0</v>
      </c>
    </row>
    <row r="36" spans="1:11" ht="39" x14ac:dyDescent="0.2">
      <c r="A36" s="185">
        <v>66</v>
      </c>
      <c r="B36" s="185" t="s">
        <v>232</v>
      </c>
      <c r="C36" s="185" t="s">
        <v>543</v>
      </c>
      <c r="D36" s="186">
        <v>0</v>
      </c>
      <c r="E36" s="185" t="s">
        <v>570</v>
      </c>
      <c r="F36" s="185">
        <v>0</v>
      </c>
      <c r="G36" s="185" t="s">
        <v>617</v>
      </c>
      <c r="H36" s="185" t="s">
        <v>699</v>
      </c>
      <c r="I36" s="185" t="s">
        <v>719</v>
      </c>
      <c r="J36" s="185" t="s">
        <v>844</v>
      </c>
      <c r="K36" s="185">
        <v>0</v>
      </c>
    </row>
    <row r="37" spans="1:11" ht="39" x14ac:dyDescent="0.2">
      <c r="A37" s="185">
        <v>67</v>
      </c>
      <c r="B37" s="185" t="s">
        <v>233</v>
      </c>
      <c r="C37" s="185" t="s">
        <v>2069</v>
      </c>
      <c r="D37" s="186">
        <v>0</v>
      </c>
      <c r="E37" s="185" t="s">
        <v>570</v>
      </c>
      <c r="F37" s="185">
        <v>0</v>
      </c>
      <c r="G37" s="185" t="s">
        <v>641</v>
      </c>
      <c r="H37" s="185" t="s">
        <v>699</v>
      </c>
      <c r="I37" s="185" t="s">
        <v>719</v>
      </c>
      <c r="J37" s="185" t="s">
        <v>844</v>
      </c>
      <c r="K37" s="185">
        <v>0</v>
      </c>
    </row>
    <row r="38" spans="1:11" ht="39" x14ac:dyDescent="0.2">
      <c r="A38" s="185">
        <v>73</v>
      </c>
      <c r="B38" s="185" t="s">
        <v>239</v>
      </c>
      <c r="C38" s="185" t="s">
        <v>101</v>
      </c>
      <c r="D38" s="186">
        <v>0</v>
      </c>
      <c r="E38" s="185" t="s">
        <v>570</v>
      </c>
      <c r="F38" s="185">
        <v>0</v>
      </c>
      <c r="G38" s="185" t="s">
        <v>646</v>
      </c>
      <c r="H38" s="185" t="s">
        <v>780</v>
      </c>
      <c r="I38" s="185" t="s">
        <v>721</v>
      </c>
      <c r="J38" s="185" t="s">
        <v>847</v>
      </c>
      <c r="K38" s="185" t="s">
        <v>2122</v>
      </c>
    </row>
    <row r="39" spans="1:11" ht="65" x14ac:dyDescent="0.2">
      <c r="A39" s="185">
        <v>77</v>
      </c>
      <c r="B39" s="185" t="s">
        <v>243</v>
      </c>
      <c r="C39" s="185" t="s">
        <v>450</v>
      </c>
      <c r="D39" s="186">
        <v>0</v>
      </c>
      <c r="E39" s="185" t="s">
        <v>574</v>
      </c>
      <c r="F39" s="185">
        <v>0</v>
      </c>
      <c r="G39" s="185">
        <v>0</v>
      </c>
      <c r="H39" s="185">
        <v>0</v>
      </c>
      <c r="I39" s="185">
        <v>0</v>
      </c>
      <c r="J39" s="185" t="s">
        <v>847</v>
      </c>
      <c r="K39" s="185" t="s">
        <v>2124</v>
      </c>
    </row>
    <row r="40" spans="1:11" ht="91" x14ac:dyDescent="0.2">
      <c r="A40" s="185">
        <v>80</v>
      </c>
      <c r="B40" s="185" t="s">
        <v>246</v>
      </c>
      <c r="C40" s="185" t="s">
        <v>2149</v>
      </c>
      <c r="D40" s="186">
        <v>0</v>
      </c>
      <c r="E40" s="185" t="s">
        <v>574</v>
      </c>
      <c r="F40" s="185">
        <v>0</v>
      </c>
      <c r="G40" s="185" t="s">
        <v>629</v>
      </c>
      <c r="H40" s="185" t="s">
        <v>776</v>
      </c>
      <c r="I40" s="185" t="s">
        <v>723</v>
      </c>
      <c r="J40" s="185" t="s">
        <v>847</v>
      </c>
      <c r="K40" s="185">
        <v>12.1</v>
      </c>
    </row>
    <row r="41" spans="1:11" ht="39" x14ac:dyDescent="0.2">
      <c r="A41" s="185">
        <v>88</v>
      </c>
      <c r="B41" s="185" t="s">
        <v>254</v>
      </c>
      <c r="C41" s="185" t="s">
        <v>2082</v>
      </c>
      <c r="D41" s="186">
        <v>0</v>
      </c>
      <c r="E41" s="185" t="s">
        <v>573</v>
      </c>
      <c r="F41" s="185">
        <v>0</v>
      </c>
      <c r="G41" s="185">
        <v>0</v>
      </c>
      <c r="H41" s="185" t="s">
        <v>783</v>
      </c>
      <c r="I41" s="185" t="s">
        <v>725</v>
      </c>
      <c r="J41" s="185" t="s">
        <v>848</v>
      </c>
      <c r="K41" s="185">
        <v>12.8</v>
      </c>
    </row>
    <row r="42" spans="1:11" ht="26" x14ac:dyDescent="0.2">
      <c r="A42" s="185">
        <v>90</v>
      </c>
      <c r="B42" s="185" t="s">
        <v>256</v>
      </c>
      <c r="C42" s="185" t="s">
        <v>2575</v>
      </c>
      <c r="D42" s="186">
        <v>0</v>
      </c>
      <c r="E42" s="185" t="s">
        <v>568</v>
      </c>
      <c r="F42" s="185">
        <v>0</v>
      </c>
      <c r="G42" s="185" t="s">
        <v>649</v>
      </c>
      <c r="H42" s="185" t="s">
        <v>784</v>
      </c>
      <c r="I42" s="185">
        <v>0</v>
      </c>
      <c r="J42" s="185">
        <v>0</v>
      </c>
      <c r="K42" s="185" t="s">
        <v>2130</v>
      </c>
    </row>
    <row r="43" spans="1:11" ht="26" x14ac:dyDescent="0.2">
      <c r="A43" s="185">
        <v>91</v>
      </c>
      <c r="B43" s="185" t="s">
        <v>257</v>
      </c>
      <c r="C43" s="185" t="s">
        <v>473</v>
      </c>
      <c r="D43" s="186">
        <v>0</v>
      </c>
      <c r="E43" s="185" t="s">
        <v>568</v>
      </c>
      <c r="F43" s="185">
        <v>0</v>
      </c>
      <c r="G43" s="185" t="s">
        <v>650</v>
      </c>
      <c r="H43" s="185" t="s">
        <v>785</v>
      </c>
      <c r="I43" s="185" t="s">
        <v>727</v>
      </c>
      <c r="J43" s="185" t="s">
        <v>850</v>
      </c>
      <c r="K43" s="185">
        <v>12.8</v>
      </c>
    </row>
    <row r="44" spans="1:11" ht="52" x14ac:dyDescent="0.2">
      <c r="A44" s="185">
        <v>92</v>
      </c>
      <c r="B44" s="185" t="s">
        <v>258</v>
      </c>
      <c r="C44" s="185" t="s">
        <v>452</v>
      </c>
      <c r="D44" s="186">
        <v>0</v>
      </c>
      <c r="E44" s="185" t="s">
        <v>568</v>
      </c>
      <c r="F44" s="185">
        <v>0</v>
      </c>
      <c r="G44" s="185" t="s">
        <v>650</v>
      </c>
      <c r="H44" s="185">
        <v>0</v>
      </c>
      <c r="I44" s="185" t="s">
        <v>736</v>
      </c>
      <c r="J44" s="185">
        <v>0</v>
      </c>
      <c r="K44" s="185">
        <v>12.1</v>
      </c>
    </row>
    <row r="45" spans="1:11" ht="65" x14ac:dyDescent="0.2">
      <c r="A45" s="185">
        <v>93</v>
      </c>
      <c r="B45" s="185" t="s">
        <v>259</v>
      </c>
      <c r="C45" s="185" t="s">
        <v>2576</v>
      </c>
      <c r="D45" s="186">
        <v>0</v>
      </c>
      <c r="E45" s="185" t="s">
        <v>568</v>
      </c>
      <c r="F45" s="185">
        <v>0</v>
      </c>
      <c r="G45" s="185" t="s">
        <v>656</v>
      </c>
      <c r="H45" s="185" t="s">
        <v>784</v>
      </c>
      <c r="I45" s="185">
        <v>0</v>
      </c>
      <c r="J45" s="185" t="s">
        <v>851</v>
      </c>
      <c r="K45" s="185" t="s">
        <v>2130</v>
      </c>
    </row>
    <row r="46" spans="1:11" ht="26" x14ac:dyDescent="0.2">
      <c r="A46" s="185">
        <v>95</v>
      </c>
      <c r="B46" s="185" t="s">
        <v>261</v>
      </c>
      <c r="C46" s="185" t="s">
        <v>522</v>
      </c>
      <c r="D46" s="186">
        <v>0</v>
      </c>
      <c r="E46" s="185" t="s">
        <v>568</v>
      </c>
      <c r="F46" s="185">
        <v>0</v>
      </c>
      <c r="G46" s="185" t="s">
        <v>651</v>
      </c>
      <c r="H46" s="185">
        <v>0</v>
      </c>
      <c r="I46" s="185" t="s">
        <v>728</v>
      </c>
      <c r="J46" s="185" t="s">
        <v>829</v>
      </c>
      <c r="K46" s="185">
        <v>12.8</v>
      </c>
    </row>
    <row r="47" spans="1:11" ht="39" x14ac:dyDescent="0.2">
      <c r="A47" s="185">
        <v>98</v>
      </c>
      <c r="B47" s="185" t="s">
        <v>264</v>
      </c>
      <c r="C47" s="185" t="s">
        <v>2578</v>
      </c>
      <c r="D47" s="186">
        <v>0</v>
      </c>
      <c r="E47" s="185" t="s">
        <v>568</v>
      </c>
      <c r="F47" s="185">
        <v>0</v>
      </c>
      <c r="G47" s="185" t="s">
        <v>653</v>
      </c>
      <c r="H47" s="185">
        <v>0</v>
      </c>
      <c r="I47" s="185" t="s">
        <v>728</v>
      </c>
      <c r="J47" s="185">
        <v>0</v>
      </c>
      <c r="K47" s="185">
        <v>12.8</v>
      </c>
    </row>
    <row r="48" spans="1:11" ht="13" x14ac:dyDescent="0.2">
      <c r="A48" s="185">
        <v>104</v>
      </c>
      <c r="B48" s="185" t="s">
        <v>270</v>
      </c>
      <c r="C48" s="185" t="s">
        <v>545</v>
      </c>
      <c r="D48" s="186">
        <v>0</v>
      </c>
      <c r="E48" s="185" t="s">
        <v>570</v>
      </c>
      <c r="F48" s="185">
        <v>0</v>
      </c>
      <c r="G48" s="185" t="s">
        <v>652</v>
      </c>
      <c r="H48" s="185" t="s">
        <v>787</v>
      </c>
      <c r="I48" s="185" t="s">
        <v>729</v>
      </c>
      <c r="J48" s="185" t="s">
        <v>852</v>
      </c>
      <c r="K48" s="185">
        <v>0</v>
      </c>
    </row>
    <row r="49" spans="1:11" ht="65" x14ac:dyDescent="0.2">
      <c r="A49" s="185">
        <v>109</v>
      </c>
      <c r="B49" s="185" t="s">
        <v>276</v>
      </c>
      <c r="C49" s="185" t="s">
        <v>2649</v>
      </c>
      <c r="D49" s="186">
        <v>0</v>
      </c>
      <c r="E49" s="185" t="s">
        <v>568</v>
      </c>
      <c r="F49" s="185">
        <v>0</v>
      </c>
      <c r="G49" s="185" t="s">
        <v>655</v>
      </c>
      <c r="H49" s="185" t="s">
        <v>789</v>
      </c>
      <c r="I49" s="185" t="s">
        <v>733</v>
      </c>
      <c r="J49" s="185" t="s">
        <v>853</v>
      </c>
      <c r="K49" s="185" t="s">
        <v>2131</v>
      </c>
    </row>
    <row r="50" spans="1:11" ht="26" x14ac:dyDescent="0.2">
      <c r="A50" s="185">
        <v>114</v>
      </c>
      <c r="B50" s="185" t="s">
        <v>281</v>
      </c>
      <c r="C50" s="185" t="s">
        <v>524</v>
      </c>
      <c r="D50" s="186">
        <v>0</v>
      </c>
      <c r="E50" s="185" t="s">
        <v>582</v>
      </c>
      <c r="F50" s="185">
        <v>0</v>
      </c>
      <c r="G50" s="185" t="s">
        <v>631</v>
      </c>
      <c r="H50" s="185" t="s">
        <v>770</v>
      </c>
      <c r="I50" s="185">
        <v>0</v>
      </c>
      <c r="J50" s="185">
        <v>0</v>
      </c>
      <c r="K50" s="185">
        <v>0</v>
      </c>
    </row>
    <row r="51" spans="1:11" ht="26" x14ac:dyDescent="0.2">
      <c r="A51" s="185">
        <v>115</v>
      </c>
      <c r="B51" s="185" t="s">
        <v>282</v>
      </c>
      <c r="C51" s="185" t="s">
        <v>25</v>
      </c>
      <c r="D51" s="186">
        <v>0</v>
      </c>
      <c r="E51" s="185" t="s">
        <v>568</v>
      </c>
      <c r="F51" s="185">
        <v>0</v>
      </c>
      <c r="G51" s="185" t="s">
        <v>649</v>
      </c>
      <c r="H51" s="185" t="s">
        <v>785</v>
      </c>
      <c r="I51" s="185">
        <v>0</v>
      </c>
      <c r="J51" s="185">
        <v>0</v>
      </c>
      <c r="K51" s="185">
        <v>0</v>
      </c>
    </row>
    <row r="52" spans="1:11" ht="26" x14ac:dyDescent="0.2">
      <c r="A52" s="185">
        <v>116</v>
      </c>
      <c r="B52" s="185" t="s">
        <v>283</v>
      </c>
      <c r="C52" s="185" t="s">
        <v>559</v>
      </c>
      <c r="D52" s="186">
        <v>0</v>
      </c>
      <c r="E52" s="185" t="s">
        <v>568</v>
      </c>
      <c r="F52" s="185">
        <v>0</v>
      </c>
      <c r="G52" s="185" t="s">
        <v>649</v>
      </c>
      <c r="H52" s="185" t="s">
        <v>791</v>
      </c>
      <c r="I52" s="185">
        <v>0</v>
      </c>
      <c r="J52" s="185">
        <v>0</v>
      </c>
      <c r="K52" s="185">
        <v>0</v>
      </c>
    </row>
    <row r="53" spans="1:11" ht="26" x14ac:dyDescent="0.2">
      <c r="A53" s="185">
        <v>120</v>
      </c>
      <c r="B53" s="185" t="s">
        <v>287</v>
      </c>
      <c r="C53" s="185" t="s">
        <v>26</v>
      </c>
      <c r="D53" s="186">
        <v>0</v>
      </c>
      <c r="E53" s="185" t="s">
        <v>585</v>
      </c>
      <c r="F53" s="185">
        <v>0</v>
      </c>
      <c r="G53" s="185">
        <v>0</v>
      </c>
      <c r="H53" s="185">
        <v>0</v>
      </c>
      <c r="I53" s="185">
        <v>0</v>
      </c>
      <c r="J53" s="185" t="s">
        <v>828</v>
      </c>
      <c r="K53" s="185">
        <v>12.8</v>
      </c>
    </row>
    <row r="54" spans="1:11" ht="26" x14ac:dyDescent="0.2">
      <c r="A54" s="185">
        <v>125</v>
      </c>
      <c r="B54" s="185" t="s">
        <v>292</v>
      </c>
      <c r="C54" s="185" t="s">
        <v>2610</v>
      </c>
      <c r="D54" s="186">
        <v>0</v>
      </c>
      <c r="E54" s="185" t="s">
        <v>573</v>
      </c>
      <c r="F54" s="185">
        <v>0</v>
      </c>
      <c r="G54" s="185" t="s">
        <v>616</v>
      </c>
      <c r="H54" s="185">
        <v>0</v>
      </c>
      <c r="I54" s="185">
        <v>0</v>
      </c>
      <c r="J54" s="185">
        <v>0</v>
      </c>
      <c r="K54" s="185">
        <v>12.9</v>
      </c>
    </row>
    <row r="55" spans="1:11" ht="26" x14ac:dyDescent="0.2">
      <c r="A55" s="185">
        <v>136</v>
      </c>
      <c r="B55" s="185" t="s">
        <v>303</v>
      </c>
      <c r="C55" s="185" t="s">
        <v>551</v>
      </c>
      <c r="D55" s="186">
        <v>0</v>
      </c>
      <c r="E55" s="185" t="s">
        <v>570</v>
      </c>
      <c r="F55" s="185">
        <v>0</v>
      </c>
      <c r="G55" s="185" t="s">
        <v>640</v>
      </c>
      <c r="H55" s="185" t="s">
        <v>699</v>
      </c>
      <c r="I55" s="185" t="s">
        <v>719</v>
      </c>
      <c r="J55" s="185" t="s">
        <v>845</v>
      </c>
      <c r="K55" s="185">
        <v>12.8</v>
      </c>
    </row>
    <row r="56" spans="1:11" ht="26" x14ac:dyDescent="0.2">
      <c r="A56" s="185">
        <v>142</v>
      </c>
      <c r="B56" s="185" t="s">
        <v>309</v>
      </c>
      <c r="C56" s="185" t="s">
        <v>121</v>
      </c>
      <c r="D56" s="186">
        <v>0</v>
      </c>
      <c r="E56" s="185" t="s">
        <v>570</v>
      </c>
      <c r="F56" s="185">
        <v>0</v>
      </c>
      <c r="G56" s="185">
        <v>0</v>
      </c>
      <c r="H56" s="185" t="s">
        <v>699</v>
      </c>
      <c r="I56" s="185" t="s">
        <v>719</v>
      </c>
      <c r="J56" s="185" t="s">
        <v>845</v>
      </c>
      <c r="K56" s="185">
        <v>12.8</v>
      </c>
    </row>
    <row r="57" spans="1:11" ht="26" x14ac:dyDescent="0.2">
      <c r="A57" s="185">
        <v>149</v>
      </c>
      <c r="B57" s="185" t="s">
        <v>316</v>
      </c>
      <c r="C57" s="185" t="s">
        <v>32</v>
      </c>
      <c r="D57" s="186">
        <v>0</v>
      </c>
      <c r="E57" s="185" t="s">
        <v>584</v>
      </c>
      <c r="F57" s="185">
        <v>0</v>
      </c>
      <c r="G57" s="185" t="s">
        <v>665</v>
      </c>
      <c r="H57" s="185" t="s">
        <v>795</v>
      </c>
      <c r="I57" s="185">
        <v>0</v>
      </c>
      <c r="J57" s="185">
        <v>0</v>
      </c>
      <c r="K57" s="185">
        <v>1.1000000000000001</v>
      </c>
    </row>
    <row r="58" spans="1:11" ht="26" x14ac:dyDescent="0.2">
      <c r="A58" s="185">
        <v>150</v>
      </c>
      <c r="B58" s="185" t="s">
        <v>317</v>
      </c>
      <c r="C58" s="185" t="s">
        <v>33</v>
      </c>
      <c r="D58" s="186">
        <v>0</v>
      </c>
      <c r="E58" s="185" t="s">
        <v>584</v>
      </c>
      <c r="F58" s="185">
        <v>0</v>
      </c>
      <c r="G58" s="185" t="s">
        <v>665</v>
      </c>
      <c r="H58" s="185" t="s">
        <v>795</v>
      </c>
      <c r="I58" s="185">
        <v>0</v>
      </c>
      <c r="J58" s="185">
        <v>0</v>
      </c>
      <c r="K58" s="185">
        <v>1.1000000000000001</v>
      </c>
    </row>
    <row r="59" spans="1:11" ht="26" x14ac:dyDescent="0.2">
      <c r="A59" s="185">
        <v>152</v>
      </c>
      <c r="B59" s="185" t="s">
        <v>319</v>
      </c>
      <c r="C59" s="185" t="s">
        <v>508</v>
      </c>
      <c r="D59" s="186">
        <v>0</v>
      </c>
      <c r="E59" s="185" t="s">
        <v>584</v>
      </c>
      <c r="F59" s="185">
        <v>0</v>
      </c>
      <c r="G59" s="185" t="s">
        <v>646</v>
      </c>
      <c r="H59" s="185" t="s">
        <v>793</v>
      </c>
      <c r="I59" s="185">
        <v>0</v>
      </c>
      <c r="J59" s="185">
        <v>0</v>
      </c>
      <c r="K59" s="185">
        <v>1.1000000000000001</v>
      </c>
    </row>
    <row r="60" spans="1:11" ht="26" x14ac:dyDescent="0.2">
      <c r="A60" s="185">
        <v>153</v>
      </c>
      <c r="B60" s="185" t="s">
        <v>320</v>
      </c>
      <c r="C60" s="185" t="s">
        <v>108</v>
      </c>
      <c r="D60" s="186">
        <v>0</v>
      </c>
      <c r="E60" s="185" t="s">
        <v>587</v>
      </c>
      <c r="F60" s="185">
        <v>0</v>
      </c>
      <c r="G60" s="185" t="s">
        <v>659</v>
      </c>
      <c r="H60" s="185" t="s">
        <v>796</v>
      </c>
      <c r="I60" s="185" t="s">
        <v>739</v>
      </c>
      <c r="J60" s="185" t="s">
        <v>860</v>
      </c>
      <c r="K60" s="185">
        <v>11.4</v>
      </c>
    </row>
    <row r="61" spans="1:11" ht="26" x14ac:dyDescent="0.2">
      <c r="A61" s="185">
        <v>155</v>
      </c>
      <c r="B61" s="185" t="s">
        <v>322</v>
      </c>
      <c r="C61" s="185" t="s">
        <v>127</v>
      </c>
      <c r="D61" s="186">
        <v>0</v>
      </c>
      <c r="E61" s="185" t="s">
        <v>587</v>
      </c>
      <c r="F61" s="185">
        <v>0</v>
      </c>
      <c r="G61" s="185" t="s">
        <v>659</v>
      </c>
      <c r="H61" s="185" t="s">
        <v>796</v>
      </c>
      <c r="I61" s="185" t="s">
        <v>739</v>
      </c>
      <c r="J61" s="185" t="s">
        <v>860</v>
      </c>
      <c r="K61" s="185">
        <v>11.4</v>
      </c>
    </row>
    <row r="62" spans="1:11" ht="39" x14ac:dyDescent="0.2">
      <c r="A62" s="185">
        <v>160</v>
      </c>
      <c r="B62" s="185" t="s">
        <v>327</v>
      </c>
      <c r="C62" s="185" t="s">
        <v>2589</v>
      </c>
      <c r="D62" s="186">
        <v>0</v>
      </c>
      <c r="E62" s="185" t="s">
        <v>579</v>
      </c>
      <c r="F62" s="185">
        <v>0</v>
      </c>
      <c r="G62" s="185" t="s">
        <v>666</v>
      </c>
      <c r="H62" s="185" t="s">
        <v>798</v>
      </c>
      <c r="I62" s="185" t="s">
        <v>740</v>
      </c>
      <c r="J62" s="185" t="s">
        <v>863</v>
      </c>
      <c r="K62" s="185" t="s">
        <v>2133</v>
      </c>
    </row>
    <row r="63" spans="1:11" ht="39" x14ac:dyDescent="0.2">
      <c r="A63" s="185">
        <v>163</v>
      </c>
      <c r="B63" s="185" t="s">
        <v>330</v>
      </c>
      <c r="C63" s="185" t="s">
        <v>52</v>
      </c>
      <c r="D63" s="186">
        <v>0</v>
      </c>
      <c r="E63" s="185" t="s">
        <v>569</v>
      </c>
      <c r="F63" s="185">
        <v>0</v>
      </c>
      <c r="G63" s="185">
        <v>0</v>
      </c>
      <c r="H63" s="185" t="s">
        <v>799</v>
      </c>
      <c r="I63" s="185">
        <v>0</v>
      </c>
      <c r="J63" s="185">
        <v>0</v>
      </c>
      <c r="K63" s="185">
        <v>0</v>
      </c>
    </row>
    <row r="64" spans="1:11" ht="26" x14ac:dyDescent="0.2">
      <c r="A64" s="185">
        <v>165</v>
      </c>
      <c r="B64" s="185" t="s">
        <v>332</v>
      </c>
      <c r="C64" s="185" t="s">
        <v>2593</v>
      </c>
      <c r="D64" s="186">
        <v>0</v>
      </c>
      <c r="E64" s="185" t="s">
        <v>568</v>
      </c>
      <c r="F64" s="185">
        <v>0</v>
      </c>
      <c r="G64" s="185" t="s">
        <v>668</v>
      </c>
      <c r="H64" s="185" t="s">
        <v>800</v>
      </c>
      <c r="I64" s="185" t="s">
        <v>741</v>
      </c>
      <c r="J64" s="185" t="s">
        <v>864</v>
      </c>
      <c r="K64" s="185">
        <v>4.0999999999999996</v>
      </c>
    </row>
    <row r="65" spans="1:11" ht="26" x14ac:dyDescent="0.2">
      <c r="A65" s="185">
        <v>166</v>
      </c>
      <c r="B65" s="185" t="s">
        <v>333</v>
      </c>
      <c r="C65" s="185" t="s">
        <v>2594</v>
      </c>
      <c r="D65" s="186">
        <v>0</v>
      </c>
      <c r="E65" s="185" t="s">
        <v>571</v>
      </c>
      <c r="F65" s="185">
        <v>0</v>
      </c>
      <c r="G65" s="185" t="s">
        <v>668</v>
      </c>
      <c r="H65" s="185" t="s">
        <v>801</v>
      </c>
      <c r="I65" s="185">
        <v>0</v>
      </c>
      <c r="J65" s="185">
        <v>0</v>
      </c>
      <c r="K65" s="185">
        <v>0</v>
      </c>
    </row>
    <row r="66" spans="1:11" ht="39" x14ac:dyDescent="0.2">
      <c r="A66" s="185">
        <v>167</v>
      </c>
      <c r="B66" s="185" t="s">
        <v>334</v>
      </c>
      <c r="C66" s="185" t="s">
        <v>54</v>
      </c>
      <c r="D66" s="186">
        <v>0</v>
      </c>
      <c r="E66" s="185" t="s">
        <v>577</v>
      </c>
      <c r="F66" s="185">
        <v>0</v>
      </c>
      <c r="G66" s="185" t="s">
        <v>669</v>
      </c>
      <c r="H66" s="185">
        <v>0</v>
      </c>
      <c r="I66" s="185">
        <v>0</v>
      </c>
      <c r="J66" s="185">
        <v>0</v>
      </c>
      <c r="K66" s="185">
        <v>0</v>
      </c>
    </row>
    <row r="67" spans="1:11" ht="26" x14ac:dyDescent="0.2">
      <c r="A67" s="185">
        <v>169</v>
      </c>
      <c r="B67" s="185" t="s">
        <v>336</v>
      </c>
      <c r="C67" s="185" t="s">
        <v>2595</v>
      </c>
      <c r="D67" s="186">
        <v>0</v>
      </c>
      <c r="E67" s="185" t="s">
        <v>569</v>
      </c>
      <c r="F67" s="185">
        <v>0</v>
      </c>
      <c r="G67" s="185" t="s">
        <v>621</v>
      </c>
      <c r="H67" s="185" t="s">
        <v>799</v>
      </c>
      <c r="I67" s="185">
        <v>0</v>
      </c>
      <c r="J67" s="185">
        <v>0</v>
      </c>
      <c r="K67" s="185">
        <v>0</v>
      </c>
    </row>
    <row r="68" spans="1:11" ht="26" x14ac:dyDescent="0.2">
      <c r="A68" s="185">
        <v>170</v>
      </c>
      <c r="B68" s="185" t="s">
        <v>337</v>
      </c>
      <c r="C68" s="185" t="s">
        <v>55</v>
      </c>
      <c r="D68" s="186">
        <v>0</v>
      </c>
      <c r="E68" s="185" t="s">
        <v>569</v>
      </c>
      <c r="F68" s="185">
        <v>0</v>
      </c>
      <c r="G68" s="185" t="s">
        <v>670</v>
      </c>
      <c r="H68" s="185" t="s">
        <v>802</v>
      </c>
      <c r="I68" s="185">
        <v>0</v>
      </c>
      <c r="J68" s="185">
        <v>0</v>
      </c>
      <c r="K68" s="185">
        <v>0</v>
      </c>
    </row>
    <row r="69" spans="1:11" ht="39" x14ac:dyDescent="0.2">
      <c r="A69" s="185">
        <v>171</v>
      </c>
      <c r="B69" s="185" t="s">
        <v>555</v>
      </c>
      <c r="C69" s="185" t="s">
        <v>2628</v>
      </c>
      <c r="D69" s="186">
        <v>0</v>
      </c>
      <c r="E69" s="185" t="s">
        <v>569</v>
      </c>
      <c r="F69" s="185">
        <v>0</v>
      </c>
      <c r="G69" s="185" t="s">
        <v>670</v>
      </c>
      <c r="H69" s="185" t="s">
        <v>802</v>
      </c>
      <c r="I69" s="185">
        <v>0</v>
      </c>
      <c r="J69" s="185">
        <v>0</v>
      </c>
      <c r="K69" s="185">
        <v>0</v>
      </c>
    </row>
    <row r="70" spans="1:11" ht="39" x14ac:dyDescent="0.2">
      <c r="A70" s="185">
        <v>173</v>
      </c>
      <c r="B70" s="185" t="s">
        <v>339</v>
      </c>
      <c r="C70" s="185" t="s">
        <v>556</v>
      </c>
      <c r="D70" s="186">
        <v>0</v>
      </c>
      <c r="E70" s="185" t="s">
        <v>568</v>
      </c>
      <c r="F70" s="185">
        <v>0</v>
      </c>
      <c r="G70" s="185" t="s">
        <v>668</v>
      </c>
      <c r="H70" s="185" t="s">
        <v>804</v>
      </c>
      <c r="I70" s="185" t="s">
        <v>744</v>
      </c>
      <c r="J70" s="185" t="s">
        <v>866</v>
      </c>
      <c r="K70" s="185" t="s">
        <v>2134</v>
      </c>
    </row>
    <row r="71" spans="1:11" ht="26" x14ac:dyDescent="0.2">
      <c r="A71" s="185">
        <v>178</v>
      </c>
      <c r="B71" s="185" t="s">
        <v>344</v>
      </c>
      <c r="C71" s="185" t="s">
        <v>38</v>
      </c>
      <c r="D71" s="186">
        <v>0</v>
      </c>
      <c r="E71" s="185" t="s">
        <v>590</v>
      </c>
      <c r="F71" s="185">
        <v>0</v>
      </c>
      <c r="G71" s="185" t="s">
        <v>647</v>
      </c>
      <c r="H71" s="185" t="s">
        <v>807</v>
      </c>
      <c r="I71" s="185">
        <v>0</v>
      </c>
      <c r="J71" s="185" t="s">
        <v>869</v>
      </c>
      <c r="K71" s="185" t="s">
        <v>2136</v>
      </c>
    </row>
    <row r="72" spans="1:11" ht="26" x14ac:dyDescent="0.2">
      <c r="A72" s="185">
        <v>180</v>
      </c>
      <c r="B72" s="185" t="s">
        <v>346</v>
      </c>
      <c r="C72" s="185" t="s">
        <v>40</v>
      </c>
      <c r="D72" s="186">
        <v>0</v>
      </c>
      <c r="E72" s="185" t="s">
        <v>592</v>
      </c>
      <c r="F72" s="185">
        <v>0</v>
      </c>
      <c r="G72" s="185" t="s">
        <v>621</v>
      </c>
      <c r="H72" s="185">
        <v>0</v>
      </c>
      <c r="I72" s="185">
        <v>0</v>
      </c>
      <c r="J72" s="185" t="s">
        <v>869</v>
      </c>
      <c r="K72" s="185" t="s">
        <v>2137</v>
      </c>
    </row>
    <row r="73" spans="1:11" ht="39" x14ac:dyDescent="0.2">
      <c r="A73" s="185">
        <v>182</v>
      </c>
      <c r="B73" s="185" t="s">
        <v>348</v>
      </c>
      <c r="C73" s="185" t="s">
        <v>2603</v>
      </c>
      <c r="D73" s="186">
        <v>0</v>
      </c>
      <c r="E73" s="185" t="s">
        <v>590</v>
      </c>
      <c r="F73" s="185">
        <v>0</v>
      </c>
      <c r="G73" s="185" t="s">
        <v>683</v>
      </c>
      <c r="H73" s="185" t="s">
        <v>808</v>
      </c>
      <c r="I73" s="185">
        <v>0</v>
      </c>
      <c r="J73" s="185" t="s">
        <v>869</v>
      </c>
      <c r="K73" s="185" t="s">
        <v>2138</v>
      </c>
    </row>
    <row r="74" spans="1:11" ht="26" x14ac:dyDescent="0.2">
      <c r="A74" s="185">
        <v>186</v>
      </c>
      <c r="B74" s="185" t="s">
        <v>352</v>
      </c>
      <c r="C74" s="185" t="s">
        <v>44</v>
      </c>
      <c r="D74" s="186">
        <v>0</v>
      </c>
      <c r="E74" s="185" t="s">
        <v>587</v>
      </c>
      <c r="F74" s="185">
        <v>0</v>
      </c>
      <c r="G74" s="185" t="s">
        <v>676</v>
      </c>
      <c r="H74" s="185" t="s">
        <v>699</v>
      </c>
      <c r="I74" s="185" t="s">
        <v>748</v>
      </c>
      <c r="J74" s="185" t="s">
        <v>871</v>
      </c>
      <c r="K74" s="185" t="s">
        <v>2141</v>
      </c>
    </row>
    <row r="75" spans="1:11" ht="39" x14ac:dyDescent="0.2">
      <c r="A75" s="185">
        <v>187</v>
      </c>
      <c r="B75" s="185" t="s">
        <v>353</v>
      </c>
      <c r="C75" s="185" t="s">
        <v>2605</v>
      </c>
      <c r="D75" s="186">
        <v>0</v>
      </c>
      <c r="E75" s="185" t="s">
        <v>587</v>
      </c>
      <c r="F75" s="185">
        <v>0</v>
      </c>
      <c r="G75" s="185" t="s">
        <v>616</v>
      </c>
      <c r="H75" s="185" t="s">
        <v>697</v>
      </c>
      <c r="I75" s="185" t="s">
        <v>749</v>
      </c>
      <c r="J75" s="185" t="s">
        <v>872</v>
      </c>
      <c r="K75" s="185">
        <v>12.8</v>
      </c>
    </row>
    <row r="76" spans="1:11" ht="26" x14ac:dyDescent="0.2">
      <c r="A76" s="185">
        <v>192</v>
      </c>
      <c r="B76" s="185" t="s">
        <v>358</v>
      </c>
      <c r="C76" s="185" t="s">
        <v>2606</v>
      </c>
      <c r="D76" s="186">
        <v>0</v>
      </c>
      <c r="E76" s="185" t="s">
        <v>591</v>
      </c>
      <c r="F76" s="185" t="s">
        <v>599</v>
      </c>
      <c r="G76" s="185" t="s">
        <v>674</v>
      </c>
      <c r="H76" s="185" t="s">
        <v>697</v>
      </c>
      <c r="I76" s="185">
        <v>0</v>
      </c>
      <c r="J76" s="185" t="s">
        <v>869</v>
      </c>
      <c r="K76" s="185" t="s">
        <v>2144</v>
      </c>
    </row>
    <row r="77" spans="1:11" ht="26" x14ac:dyDescent="0.2">
      <c r="A77" s="185">
        <v>193</v>
      </c>
      <c r="B77" s="185" t="s">
        <v>359</v>
      </c>
      <c r="C77" s="185" t="s">
        <v>46</v>
      </c>
      <c r="D77" s="186">
        <v>0</v>
      </c>
      <c r="E77" s="185" t="s">
        <v>591</v>
      </c>
      <c r="F77" s="185" t="s">
        <v>601</v>
      </c>
      <c r="G77" s="185" t="s">
        <v>679</v>
      </c>
      <c r="H77" s="185" t="s">
        <v>812</v>
      </c>
      <c r="I77" s="185" t="s">
        <v>751</v>
      </c>
      <c r="J77" s="185" t="s">
        <v>875</v>
      </c>
      <c r="K77" s="185">
        <v>12.6</v>
      </c>
    </row>
    <row r="78" spans="1:11" ht="39" x14ac:dyDescent="0.2">
      <c r="A78" s="185">
        <v>204</v>
      </c>
      <c r="B78" s="185" t="s">
        <v>370</v>
      </c>
      <c r="C78" s="185" t="s">
        <v>161</v>
      </c>
      <c r="D78" s="186">
        <v>0</v>
      </c>
      <c r="E78" s="185" t="s">
        <v>573</v>
      </c>
      <c r="F78" s="185">
        <v>0</v>
      </c>
      <c r="G78" s="185" t="s">
        <v>665</v>
      </c>
      <c r="H78" s="185" t="s">
        <v>813</v>
      </c>
      <c r="I78" s="185" t="s">
        <v>737</v>
      </c>
      <c r="J78" s="185" t="s">
        <v>828</v>
      </c>
      <c r="K78" s="185">
        <v>0</v>
      </c>
    </row>
    <row r="79" spans="1:11" ht="26" x14ac:dyDescent="0.2">
      <c r="A79" s="185">
        <v>208</v>
      </c>
      <c r="B79" s="185" t="s">
        <v>374</v>
      </c>
      <c r="C79" s="185" t="s">
        <v>2098</v>
      </c>
      <c r="D79" s="186">
        <v>0</v>
      </c>
      <c r="E79" s="185" t="s">
        <v>590</v>
      </c>
      <c r="F79" s="185">
        <v>0</v>
      </c>
      <c r="G79" s="185" t="s">
        <v>647</v>
      </c>
      <c r="H79" s="185" t="s">
        <v>816</v>
      </c>
      <c r="I79" s="185" t="s">
        <v>757</v>
      </c>
      <c r="J79" s="185" t="s">
        <v>880</v>
      </c>
      <c r="K79" s="185">
        <v>11.2</v>
      </c>
    </row>
    <row r="80" spans="1:11" ht="26" x14ac:dyDescent="0.2">
      <c r="A80" s="185">
        <v>211</v>
      </c>
      <c r="B80" s="185" t="s">
        <v>377</v>
      </c>
      <c r="C80" s="185" t="s">
        <v>2099</v>
      </c>
      <c r="D80" s="186">
        <v>0</v>
      </c>
      <c r="E80" s="185" t="s">
        <v>590</v>
      </c>
      <c r="F80" s="185">
        <v>0</v>
      </c>
      <c r="G80" s="185">
        <v>0</v>
      </c>
      <c r="H80" s="185" t="s">
        <v>816</v>
      </c>
      <c r="I80" s="185" t="s">
        <v>757</v>
      </c>
      <c r="J80" s="185" t="s">
        <v>880</v>
      </c>
      <c r="K80" s="185">
        <v>11.2</v>
      </c>
    </row>
    <row r="81" spans="1:11" ht="26" x14ac:dyDescent="0.2">
      <c r="A81" s="185">
        <v>212</v>
      </c>
      <c r="B81" s="185" t="s">
        <v>378</v>
      </c>
      <c r="C81" s="185" t="s">
        <v>2630</v>
      </c>
      <c r="D81" s="186">
        <v>0</v>
      </c>
      <c r="E81" s="185" t="s">
        <v>590</v>
      </c>
      <c r="F81" s="185">
        <v>0</v>
      </c>
      <c r="G81" s="185">
        <v>0</v>
      </c>
      <c r="H81" s="185" t="s">
        <v>816</v>
      </c>
      <c r="I81" s="185">
        <v>0</v>
      </c>
      <c r="J81" s="185" t="s">
        <v>880</v>
      </c>
      <c r="K81" s="185">
        <v>11.2</v>
      </c>
    </row>
    <row r="82" spans="1:11" ht="65" x14ac:dyDescent="0.2">
      <c r="A82" s="185">
        <v>216</v>
      </c>
      <c r="B82" s="185" t="s">
        <v>382</v>
      </c>
      <c r="C82" s="185" t="s">
        <v>529</v>
      </c>
      <c r="D82" s="186">
        <v>0</v>
      </c>
      <c r="E82" s="185" t="s">
        <v>593</v>
      </c>
      <c r="F82" s="185">
        <v>0</v>
      </c>
      <c r="G82" s="185" t="s">
        <v>685</v>
      </c>
      <c r="H82" s="185" t="s">
        <v>816</v>
      </c>
      <c r="I82" s="185" t="s">
        <v>757</v>
      </c>
      <c r="J82" s="185" t="s">
        <v>880</v>
      </c>
      <c r="K82" s="185" t="s">
        <v>2147</v>
      </c>
    </row>
    <row r="83" spans="1:11" ht="39" x14ac:dyDescent="0.2">
      <c r="A83" s="185">
        <v>219</v>
      </c>
      <c r="B83" s="185" t="s">
        <v>385</v>
      </c>
      <c r="C83" s="185" t="s">
        <v>135</v>
      </c>
      <c r="D83" s="186">
        <v>0</v>
      </c>
      <c r="E83" s="185" t="s">
        <v>591</v>
      </c>
      <c r="F83" s="185" t="s">
        <v>603</v>
      </c>
      <c r="G83" s="185" t="s">
        <v>616</v>
      </c>
      <c r="H83" s="185" t="s">
        <v>697</v>
      </c>
      <c r="I83" s="185">
        <v>0</v>
      </c>
      <c r="J83" s="185">
        <v>0</v>
      </c>
      <c r="K83" s="185">
        <v>0</v>
      </c>
    </row>
    <row r="84" spans="1:11" ht="52" x14ac:dyDescent="0.2">
      <c r="A84" s="185">
        <v>220</v>
      </c>
      <c r="B84" s="185" t="s">
        <v>386</v>
      </c>
      <c r="C84" s="185" t="s">
        <v>136</v>
      </c>
      <c r="D84" s="186">
        <v>0</v>
      </c>
      <c r="E84" s="185" t="s">
        <v>568</v>
      </c>
      <c r="F84" s="185">
        <v>0</v>
      </c>
      <c r="G84" s="185" t="s">
        <v>616</v>
      </c>
      <c r="H84" s="185" t="s">
        <v>697</v>
      </c>
      <c r="I84" s="185">
        <v>0</v>
      </c>
      <c r="J84" s="185">
        <v>0</v>
      </c>
      <c r="K84" s="185">
        <v>0</v>
      </c>
    </row>
    <row r="85" spans="1:11" ht="39" x14ac:dyDescent="0.2">
      <c r="A85" s="185">
        <v>222</v>
      </c>
      <c r="B85" s="185" t="s">
        <v>388</v>
      </c>
      <c r="C85" s="185" t="s">
        <v>138</v>
      </c>
      <c r="D85" s="186">
        <v>0</v>
      </c>
      <c r="E85" s="185" t="s">
        <v>587</v>
      </c>
      <c r="F85" s="185" t="s">
        <v>690</v>
      </c>
      <c r="G85" s="185" t="s">
        <v>689</v>
      </c>
      <c r="H85" s="185" t="s">
        <v>697</v>
      </c>
      <c r="I85" s="185" t="s">
        <v>761</v>
      </c>
      <c r="J85" s="185" t="s">
        <v>883</v>
      </c>
      <c r="K85" s="185">
        <v>12.8</v>
      </c>
    </row>
    <row r="86" spans="1:11" ht="26" x14ac:dyDescent="0.2">
      <c r="A86" s="185">
        <v>223</v>
      </c>
      <c r="B86" s="185" t="s">
        <v>389</v>
      </c>
      <c r="C86" s="185" t="s">
        <v>139</v>
      </c>
      <c r="D86" s="186">
        <v>0</v>
      </c>
      <c r="E86" s="185" t="s">
        <v>568</v>
      </c>
      <c r="F86" s="185" t="s">
        <v>599</v>
      </c>
      <c r="G86" s="185">
        <v>0</v>
      </c>
      <c r="H86" s="185" t="s">
        <v>697</v>
      </c>
      <c r="I86" s="185">
        <v>0</v>
      </c>
      <c r="J86" s="185">
        <v>0</v>
      </c>
      <c r="K86" s="185">
        <v>12.2</v>
      </c>
    </row>
    <row r="87" spans="1:11" ht="52" x14ac:dyDescent="0.2">
      <c r="A87" s="185">
        <v>230</v>
      </c>
      <c r="B87" s="185" t="s">
        <v>396</v>
      </c>
      <c r="C87" s="185" t="s">
        <v>60</v>
      </c>
      <c r="D87" s="186">
        <v>0</v>
      </c>
      <c r="E87" s="185" t="s">
        <v>577</v>
      </c>
      <c r="F87" s="185" t="s">
        <v>696</v>
      </c>
      <c r="G87" s="185" t="s">
        <v>633</v>
      </c>
      <c r="H87" s="185" t="s">
        <v>697</v>
      </c>
      <c r="I87" s="185" t="s">
        <v>713</v>
      </c>
      <c r="J87" s="185" t="s">
        <v>838</v>
      </c>
      <c r="K87" s="185" t="s">
        <v>2117</v>
      </c>
    </row>
    <row r="88" spans="1:11" ht="39" x14ac:dyDescent="0.2">
      <c r="A88" s="185">
        <v>250</v>
      </c>
      <c r="B88" s="185" t="s">
        <v>416</v>
      </c>
      <c r="C88" s="185" t="s">
        <v>72</v>
      </c>
      <c r="D88" s="186">
        <v>0</v>
      </c>
      <c r="E88" s="185" t="s">
        <v>570</v>
      </c>
      <c r="F88" s="185">
        <v>0</v>
      </c>
      <c r="G88" s="185" t="s">
        <v>616</v>
      </c>
      <c r="H88" s="185" t="s">
        <v>697</v>
      </c>
      <c r="I88" s="185">
        <v>0</v>
      </c>
      <c r="J88" s="185">
        <v>0</v>
      </c>
      <c r="K88" s="185">
        <v>12.8</v>
      </c>
    </row>
    <row r="89" spans="1:11" ht="26" x14ac:dyDescent="0.2">
      <c r="A89" s="185">
        <v>253</v>
      </c>
      <c r="B89" s="185" t="s">
        <v>419</v>
      </c>
      <c r="C89" s="185" t="s">
        <v>75</v>
      </c>
      <c r="D89" s="186">
        <v>0</v>
      </c>
      <c r="E89" s="185">
        <v>0</v>
      </c>
      <c r="F89" s="185">
        <v>0</v>
      </c>
      <c r="G89" s="185">
        <v>0</v>
      </c>
      <c r="H89" s="185" t="s">
        <v>697</v>
      </c>
      <c r="I89" s="185">
        <v>0</v>
      </c>
      <c r="J89" s="185">
        <v>0</v>
      </c>
      <c r="K89" s="185">
        <v>12.8</v>
      </c>
    </row>
    <row r="90" spans="1:11" ht="26" x14ac:dyDescent="0.2">
      <c r="A90" s="185">
        <v>256</v>
      </c>
      <c r="B90" s="185" t="s">
        <v>422</v>
      </c>
      <c r="C90" s="185" t="s">
        <v>78</v>
      </c>
      <c r="D90" s="186">
        <v>0</v>
      </c>
      <c r="E90" s="185" t="s">
        <v>570</v>
      </c>
      <c r="F90" s="185">
        <v>0</v>
      </c>
      <c r="G90" s="185">
        <v>0</v>
      </c>
      <c r="H90" s="185" t="s">
        <v>697</v>
      </c>
      <c r="I90" s="185">
        <v>0</v>
      </c>
      <c r="J90" s="185">
        <v>0</v>
      </c>
      <c r="K90" s="185">
        <v>12.8</v>
      </c>
    </row>
    <row r="91" spans="1:11" ht="26" x14ac:dyDescent="0.2">
      <c r="A91" s="185">
        <v>263</v>
      </c>
      <c r="B91" s="185" t="s">
        <v>180</v>
      </c>
      <c r="C91" s="185" t="s">
        <v>893</v>
      </c>
      <c r="D91" s="186">
        <v>0</v>
      </c>
      <c r="E91" s="185">
        <v>0</v>
      </c>
      <c r="F91" s="185">
        <v>0</v>
      </c>
      <c r="G91" s="185">
        <v>0</v>
      </c>
      <c r="H91" s="185">
        <v>0</v>
      </c>
      <c r="I91" s="185">
        <v>0</v>
      </c>
      <c r="J91" s="185">
        <v>0</v>
      </c>
      <c r="K91" s="185">
        <v>0</v>
      </c>
    </row>
    <row r="92" spans="1:11" ht="26" x14ac:dyDescent="0.2">
      <c r="A92" s="185">
        <v>264</v>
      </c>
      <c r="B92" s="185" t="s">
        <v>181</v>
      </c>
      <c r="C92" s="185" t="s">
        <v>894</v>
      </c>
      <c r="D92" s="186">
        <v>0</v>
      </c>
      <c r="E92" s="185">
        <v>0</v>
      </c>
      <c r="F92" s="185">
        <v>0</v>
      </c>
      <c r="G92" s="185" t="s">
        <v>618</v>
      </c>
      <c r="H92" s="185">
        <v>0</v>
      </c>
      <c r="I92" s="185">
        <v>0</v>
      </c>
      <c r="J92" s="185">
        <v>0</v>
      </c>
      <c r="K92" s="185" t="s">
        <v>2111</v>
      </c>
    </row>
    <row r="93" spans="1:11" ht="52" x14ac:dyDescent="0.2">
      <c r="A93" s="185">
        <v>266</v>
      </c>
      <c r="B93" s="185" t="s">
        <v>430</v>
      </c>
      <c r="C93" s="185" t="s">
        <v>895</v>
      </c>
      <c r="D93" s="186">
        <v>0</v>
      </c>
      <c r="E93" s="185">
        <v>0</v>
      </c>
      <c r="F93" s="185">
        <v>0</v>
      </c>
      <c r="G93" s="185" t="s">
        <v>618</v>
      </c>
      <c r="H93" s="185">
        <v>0</v>
      </c>
      <c r="I93" s="185">
        <v>0</v>
      </c>
      <c r="J93" s="185">
        <v>0</v>
      </c>
      <c r="K93" s="185">
        <v>12.8</v>
      </c>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A100" sqref="A100"/>
    </sheetView>
  </sheetViews>
  <sheetFormatPr baseColWidth="10" defaultColWidth="6.625" defaultRowHeight="13" x14ac:dyDescent="0.15"/>
  <cols>
    <col min="1" max="16384" width="6.625" style="216"/>
  </cols>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Z36"/>
  <sheetViews>
    <sheetView topLeftCell="A19" workbookViewId="0">
      <selection activeCell="B29" sqref="B29"/>
    </sheetView>
  </sheetViews>
  <sheetFormatPr baseColWidth="10" defaultColWidth="10.625" defaultRowHeight="16" x14ac:dyDescent="0.2"/>
  <cols>
    <col min="2" max="2" width="10.625" style="173"/>
    <col min="3" max="3" width="93.25" customWidth="1"/>
  </cols>
  <sheetData>
    <row r="1" spans="1:26" ht="36" customHeight="1" x14ac:dyDescent="0.15">
      <c r="A1" s="304" t="s">
        <v>2674</v>
      </c>
      <c r="B1" s="305"/>
      <c r="C1" s="306"/>
      <c r="D1" s="166"/>
      <c r="E1" s="166"/>
      <c r="F1" s="166"/>
      <c r="G1" s="166"/>
      <c r="H1" s="166"/>
      <c r="I1" s="167"/>
      <c r="J1" s="168"/>
      <c r="K1" s="168"/>
      <c r="L1" s="168"/>
      <c r="M1" s="168"/>
      <c r="N1" s="168"/>
      <c r="O1" s="168"/>
      <c r="P1" s="168"/>
      <c r="Q1" s="168"/>
      <c r="R1" s="168"/>
      <c r="S1" s="168"/>
      <c r="T1" s="168"/>
      <c r="U1" s="168"/>
      <c r="V1" s="168"/>
      <c r="W1" s="168"/>
      <c r="X1" s="168"/>
      <c r="Y1" s="168"/>
      <c r="Z1" s="168"/>
    </row>
    <row r="2" spans="1:26" ht="25.5" customHeight="1" x14ac:dyDescent="0.15">
      <c r="A2" s="307" t="s">
        <v>96</v>
      </c>
      <c r="B2" s="308"/>
      <c r="C2" s="309"/>
      <c r="D2" s="169"/>
      <c r="E2" s="169"/>
      <c r="F2" s="169"/>
      <c r="G2" s="169"/>
      <c r="H2" s="169"/>
      <c r="I2" s="167"/>
      <c r="J2" s="168"/>
      <c r="K2" s="168"/>
      <c r="L2" s="168"/>
      <c r="M2" s="168"/>
      <c r="N2" s="168"/>
      <c r="O2" s="168"/>
      <c r="P2" s="168"/>
      <c r="Q2" s="168"/>
      <c r="R2" s="168"/>
      <c r="S2" s="168"/>
      <c r="T2" s="168"/>
      <c r="U2" s="168"/>
      <c r="V2" s="168"/>
      <c r="W2" s="168"/>
      <c r="X2" s="168"/>
      <c r="Y2" s="168"/>
      <c r="Z2" s="168"/>
    </row>
    <row r="3" spans="1:26" s="18" customFormat="1" ht="24" customHeight="1" x14ac:dyDescent="0.2">
      <c r="A3" s="170" t="s">
        <v>146</v>
      </c>
      <c r="B3" s="170" t="s">
        <v>0</v>
      </c>
      <c r="C3" s="170" t="s">
        <v>147</v>
      </c>
      <c r="D3" s="171"/>
      <c r="E3" s="171"/>
      <c r="F3" s="171"/>
      <c r="G3" s="171"/>
      <c r="H3" s="171"/>
      <c r="I3" s="171"/>
      <c r="J3" s="171"/>
      <c r="K3" s="171"/>
      <c r="L3" s="171"/>
      <c r="M3" s="171"/>
      <c r="N3" s="171"/>
      <c r="O3" s="171"/>
      <c r="P3" s="171"/>
      <c r="Q3" s="171"/>
      <c r="R3" s="171"/>
      <c r="S3" s="171"/>
      <c r="T3" s="171"/>
      <c r="U3" s="171"/>
      <c r="V3" s="171"/>
      <c r="W3" s="171"/>
      <c r="X3" s="171"/>
      <c r="Y3" s="171"/>
      <c r="Z3" s="171"/>
    </row>
    <row r="4" spans="1:26" ht="36" customHeight="1" x14ac:dyDescent="0.2">
      <c r="A4" s="112" t="s">
        <v>148</v>
      </c>
      <c r="B4" s="172">
        <v>42586</v>
      </c>
      <c r="C4" s="112" t="s">
        <v>480</v>
      </c>
    </row>
    <row r="5" spans="1:26" ht="36" customHeight="1" x14ac:dyDescent="0.2">
      <c r="A5" s="112" t="s">
        <v>159</v>
      </c>
      <c r="B5" s="172">
        <v>42596</v>
      </c>
      <c r="C5" s="112" t="s">
        <v>3053</v>
      </c>
    </row>
    <row r="6" spans="1:26" ht="36" customHeight="1" x14ac:dyDescent="0.2">
      <c r="A6" s="112" t="s">
        <v>160</v>
      </c>
      <c r="B6" s="172">
        <v>42597</v>
      </c>
      <c r="C6" s="112" t="s">
        <v>481</v>
      </c>
    </row>
    <row r="7" spans="1:26" ht="36" customHeight="1" x14ac:dyDescent="0.2">
      <c r="A7" s="112" t="s">
        <v>163</v>
      </c>
      <c r="B7" s="172">
        <v>42598</v>
      </c>
      <c r="C7" s="112" t="s">
        <v>482</v>
      </c>
    </row>
    <row r="8" spans="1:26" ht="36" customHeight="1" x14ac:dyDescent="0.2">
      <c r="A8" s="112" t="s">
        <v>427</v>
      </c>
      <c r="B8" s="172">
        <v>42606</v>
      </c>
      <c r="C8" s="112" t="s">
        <v>483</v>
      </c>
    </row>
    <row r="9" spans="1:26" ht="36" customHeight="1" x14ac:dyDescent="0.2">
      <c r="A9" s="112" t="s">
        <v>428</v>
      </c>
      <c r="B9" s="172">
        <v>42607</v>
      </c>
      <c r="C9" s="112" t="s">
        <v>484</v>
      </c>
    </row>
    <row r="10" spans="1:26" ht="36" customHeight="1" x14ac:dyDescent="0.2">
      <c r="A10" s="112" t="s">
        <v>451</v>
      </c>
      <c r="B10" s="172">
        <v>42608</v>
      </c>
      <c r="C10" s="112" t="s">
        <v>485</v>
      </c>
    </row>
    <row r="11" spans="1:26" ht="36" customHeight="1" x14ac:dyDescent="0.2">
      <c r="A11" s="112" t="s">
        <v>463</v>
      </c>
      <c r="B11" s="172">
        <v>42608</v>
      </c>
      <c r="C11" s="112" t="s">
        <v>464</v>
      </c>
    </row>
    <row r="12" spans="1:26" ht="36" customHeight="1" x14ac:dyDescent="0.2">
      <c r="A12" s="112" t="s">
        <v>465</v>
      </c>
      <c r="B12" s="172">
        <v>42634</v>
      </c>
      <c r="C12" s="112" t="s">
        <v>466</v>
      </c>
    </row>
    <row r="13" spans="1:26" ht="36" customHeight="1" x14ac:dyDescent="0.2">
      <c r="A13" s="112" t="s">
        <v>469</v>
      </c>
      <c r="B13" s="172">
        <v>42636</v>
      </c>
      <c r="C13" s="112" t="s">
        <v>479</v>
      </c>
    </row>
    <row r="14" spans="1:26" ht="36" customHeight="1" x14ac:dyDescent="0.2">
      <c r="A14" s="112" t="s">
        <v>477</v>
      </c>
      <c r="B14" s="172">
        <v>42639</v>
      </c>
      <c r="C14" s="112" t="s">
        <v>478</v>
      </c>
    </row>
    <row r="15" spans="1:26" ht="36" customHeight="1" x14ac:dyDescent="0.2">
      <c r="A15" s="112" t="s">
        <v>492</v>
      </c>
      <c r="B15" s="172">
        <v>42649</v>
      </c>
      <c r="C15" s="112" t="s">
        <v>513</v>
      </c>
    </row>
    <row r="16" spans="1:26" ht="36" customHeight="1" x14ac:dyDescent="0.2">
      <c r="A16" s="112" t="s">
        <v>493</v>
      </c>
      <c r="B16" s="172">
        <v>42660</v>
      </c>
      <c r="C16" s="112" t="s">
        <v>514</v>
      </c>
    </row>
    <row r="17" spans="1:3" ht="36" customHeight="1" x14ac:dyDescent="0.2">
      <c r="A17" s="112" t="s">
        <v>494</v>
      </c>
      <c r="B17" s="172">
        <v>42690</v>
      </c>
      <c r="C17" s="112" t="s">
        <v>495</v>
      </c>
    </row>
    <row r="18" spans="1:3" ht="36" customHeight="1" x14ac:dyDescent="0.2">
      <c r="A18" s="112" t="s">
        <v>501</v>
      </c>
      <c r="B18" s="172">
        <v>42695</v>
      </c>
      <c r="C18" s="112" t="s">
        <v>3054</v>
      </c>
    </row>
    <row r="19" spans="1:3" ht="36" customHeight="1" x14ac:dyDescent="0.2">
      <c r="A19" s="112" t="s">
        <v>511</v>
      </c>
      <c r="B19" s="172">
        <v>42697</v>
      </c>
      <c r="C19" s="112" t="s">
        <v>512</v>
      </c>
    </row>
    <row r="20" spans="1:3" ht="36" customHeight="1" x14ac:dyDescent="0.2">
      <c r="A20" s="112" t="s">
        <v>531</v>
      </c>
      <c r="B20" s="172">
        <v>42847</v>
      </c>
      <c r="C20" s="112" t="s">
        <v>532</v>
      </c>
    </row>
    <row r="21" spans="1:3" ht="36" customHeight="1" x14ac:dyDescent="0.2">
      <c r="A21" s="112" t="s">
        <v>533</v>
      </c>
      <c r="B21" s="172">
        <v>42853</v>
      </c>
      <c r="C21" s="112" t="s">
        <v>534</v>
      </c>
    </row>
    <row r="22" spans="1:3" ht="36" customHeight="1" x14ac:dyDescent="0.2">
      <c r="A22" s="112" t="s">
        <v>889</v>
      </c>
      <c r="B22" s="172">
        <v>43032</v>
      </c>
      <c r="C22" s="112" t="s">
        <v>890</v>
      </c>
    </row>
    <row r="23" spans="1:3" ht="36" customHeight="1" x14ac:dyDescent="0.2">
      <c r="A23" s="112" t="s">
        <v>2638</v>
      </c>
      <c r="B23" s="172">
        <v>43386</v>
      </c>
      <c r="C23" s="112" t="s">
        <v>2658</v>
      </c>
    </row>
    <row r="24" spans="1:3" ht="36" customHeight="1" x14ac:dyDescent="0.2">
      <c r="A24" s="112" t="s">
        <v>2668</v>
      </c>
      <c r="B24" s="172">
        <v>43405</v>
      </c>
      <c r="C24" s="112" t="s">
        <v>2669</v>
      </c>
    </row>
    <row r="25" spans="1:3" ht="36" customHeight="1" x14ac:dyDescent="0.2">
      <c r="A25" s="112" t="s">
        <v>2991</v>
      </c>
      <c r="B25" s="172">
        <v>43490</v>
      </c>
      <c r="C25" s="112" t="s">
        <v>2670</v>
      </c>
    </row>
    <row r="26" spans="1:3" ht="36" customHeight="1" x14ac:dyDescent="0.2">
      <c r="A26" s="112" t="s">
        <v>2992</v>
      </c>
      <c r="B26" s="172">
        <v>43543</v>
      </c>
      <c r="C26" s="112" t="s">
        <v>2671</v>
      </c>
    </row>
    <row r="27" spans="1:3" ht="36" customHeight="1" x14ac:dyDescent="0.2">
      <c r="A27" s="112" t="s">
        <v>2993</v>
      </c>
      <c r="B27" s="172">
        <v>43584</v>
      </c>
      <c r="C27" s="112" t="s">
        <v>2672</v>
      </c>
    </row>
    <row r="28" spans="1:3" ht="36" customHeight="1" x14ac:dyDescent="0.2">
      <c r="A28" s="112" t="s">
        <v>2994</v>
      </c>
      <c r="B28" s="172">
        <v>43742</v>
      </c>
      <c r="C28" s="112" t="s">
        <v>2982</v>
      </c>
    </row>
    <row r="29" spans="1:3" ht="36" customHeight="1" x14ac:dyDescent="0.2">
      <c r="A29" s="112" t="s">
        <v>3065</v>
      </c>
      <c r="B29" s="172">
        <v>43790</v>
      </c>
      <c r="C29" s="112" t="s">
        <v>3066</v>
      </c>
    </row>
    <row r="30" spans="1:3" ht="36" customHeight="1" x14ac:dyDescent="0.2">
      <c r="A30" s="112"/>
      <c r="B30" s="215"/>
      <c r="C30" s="112"/>
    </row>
    <row r="31" spans="1:3" ht="36" customHeight="1" x14ac:dyDescent="0.2">
      <c r="A31" s="112"/>
      <c r="B31" s="215"/>
      <c r="C31" s="112"/>
    </row>
    <row r="32" spans="1:3" ht="36" customHeight="1" x14ac:dyDescent="0.2">
      <c r="A32" s="112"/>
      <c r="B32" s="215"/>
      <c r="C32" s="112"/>
    </row>
    <row r="33" spans="1:3" ht="36" customHeight="1" x14ac:dyDescent="0.2">
      <c r="A33" s="112"/>
      <c r="B33" s="215"/>
      <c r="C33" s="112"/>
    </row>
    <row r="34" spans="1:3" ht="36" customHeight="1" x14ac:dyDescent="0.2">
      <c r="A34" s="112"/>
      <c r="B34" s="215"/>
      <c r="C34" s="112"/>
    </row>
    <row r="35" spans="1:3" ht="36" customHeight="1" x14ac:dyDescent="0.2">
      <c r="A35" s="112"/>
      <c r="B35" s="215"/>
      <c r="C35" s="112"/>
    </row>
    <row r="36" spans="1:3" ht="36" customHeight="1" x14ac:dyDescent="0.2">
      <c r="A36" s="112"/>
      <c r="B36" s="215"/>
      <c r="C36" s="112"/>
    </row>
  </sheetData>
  <mergeCells count="2">
    <mergeCell ref="A1:C1"/>
    <mergeCell ref="A2:C2"/>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rgb="FF0070C0"/>
  </sheetPr>
  <dimension ref="A1:A38"/>
  <sheetViews>
    <sheetView workbookViewId="0">
      <selection activeCell="A4" sqref="A4"/>
    </sheetView>
  </sheetViews>
  <sheetFormatPr baseColWidth="10" defaultColWidth="11.25" defaultRowHeight="16" x14ac:dyDescent="0.2"/>
  <cols>
    <col min="1" max="1" width="37" customWidth="1"/>
  </cols>
  <sheetData>
    <row r="1" spans="1:1" ht="17" x14ac:dyDescent="0.2">
      <c r="A1" s="4" t="s">
        <v>81</v>
      </c>
    </row>
    <row r="3" spans="1:1" ht="17" x14ac:dyDescent="0.2">
      <c r="A3" s="4" t="s">
        <v>82</v>
      </c>
    </row>
    <row r="4" spans="1:1" ht="17" x14ac:dyDescent="0.2">
      <c r="A4" t="s">
        <v>17</v>
      </c>
    </row>
    <row r="5" spans="1:1" ht="17" x14ac:dyDescent="0.2">
      <c r="A5" t="s">
        <v>20</v>
      </c>
    </row>
    <row r="6" spans="1:1" ht="17" x14ac:dyDescent="0.2">
      <c r="A6" t="s">
        <v>83</v>
      </c>
    </row>
    <row r="8" spans="1:1" ht="17" x14ac:dyDescent="0.2">
      <c r="A8" s="4" t="s">
        <v>84</v>
      </c>
    </row>
    <row r="9" spans="1:1" ht="17" x14ac:dyDescent="0.2">
      <c r="A9" t="s">
        <v>85</v>
      </c>
    </row>
    <row r="10" spans="1:1" ht="17" x14ac:dyDescent="0.2">
      <c r="A10" t="s">
        <v>86</v>
      </c>
    </row>
    <row r="11" spans="1:1" ht="17" x14ac:dyDescent="0.2">
      <c r="A11" t="s">
        <v>87</v>
      </c>
    </row>
    <row r="12" spans="1:1" ht="17" x14ac:dyDescent="0.2">
      <c r="A12" t="s">
        <v>30</v>
      </c>
    </row>
    <row r="14" spans="1:1" ht="17" x14ac:dyDescent="0.2">
      <c r="A14" s="4" t="s">
        <v>88</v>
      </c>
    </row>
    <row r="15" spans="1:1" ht="17" x14ac:dyDescent="0.2">
      <c r="A15" t="s">
        <v>89</v>
      </c>
    </row>
    <row r="16" spans="1:1" ht="17" x14ac:dyDescent="0.2">
      <c r="A16" t="s">
        <v>90</v>
      </c>
    </row>
    <row r="17" spans="1:1" ht="17" x14ac:dyDescent="0.2">
      <c r="A17" t="s">
        <v>91</v>
      </c>
    </row>
    <row r="18" spans="1:1" ht="17" x14ac:dyDescent="0.2">
      <c r="A18" t="s">
        <v>92</v>
      </c>
    </row>
    <row r="19" spans="1:1" ht="17" x14ac:dyDescent="0.2">
      <c r="A19" t="s">
        <v>30</v>
      </c>
    </row>
    <row r="21" spans="1:1" ht="17" x14ac:dyDescent="0.2">
      <c r="A21" s="4" t="s">
        <v>115</v>
      </c>
    </row>
    <row r="22" spans="1:1" ht="17" x14ac:dyDescent="0.2">
      <c r="A22" t="s">
        <v>116</v>
      </c>
    </row>
    <row r="23" spans="1:1" ht="17" x14ac:dyDescent="0.2">
      <c r="A23" t="s">
        <v>117</v>
      </c>
    </row>
    <row r="25" spans="1:1" ht="17" x14ac:dyDescent="0.2">
      <c r="A25" s="4" t="s">
        <v>486</v>
      </c>
    </row>
    <row r="26" spans="1:1" ht="17" x14ac:dyDescent="0.2">
      <c r="A26" t="s">
        <v>487</v>
      </c>
    </row>
    <row r="27" spans="1:1" ht="17" x14ac:dyDescent="0.2">
      <c r="A27" t="s">
        <v>488</v>
      </c>
    </row>
    <row r="29" spans="1:1" ht="17" x14ac:dyDescent="0.2">
      <c r="A29" s="4" t="s">
        <v>489</v>
      </c>
    </row>
    <row r="30" spans="1:1" ht="17" x14ac:dyDescent="0.2">
      <c r="A30" t="s">
        <v>490</v>
      </c>
    </row>
    <row r="31" spans="1:1" ht="17" x14ac:dyDescent="0.2">
      <c r="A31" t="s">
        <v>491</v>
      </c>
    </row>
    <row r="33" spans="1:1" ht="17" x14ac:dyDescent="0.2">
      <c r="A33" s="4" t="s">
        <v>496</v>
      </c>
    </row>
    <row r="34" spans="1:1" ht="17" x14ac:dyDescent="0.2">
      <c r="A34" t="s">
        <v>497</v>
      </c>
    </row>
    <row r="35" spans="1:1" ht="17" x14ac:dyDescent="0.2">
      <c r="A35" t="s">
        <v>498</v>
      </c>
    </row>
    <row r="36" spans="1:1" ht="17" x14ac:dyDescent="0.2">
      <c r="A36" t="s">
        <v>499</v>
      </c>
    </row>
    <row r="37" spans="1:1" ht="17" x14ac:dyDescent="0.2">
      <c r="A37" t="s">
        <v>500</v>
      </c>
    </row>
    <row r="38" spans="1:1" ht="17" x14ac:dyDescent="0.2">
      <c r="A38" t="s">
        <v>83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2"/>
  <sheetViews>
    <sheetView workbookViewId="0">
      <selection sqref="A1:B1"/>
    </sheetView>
  </sheetViews>
  <sheetFormatPr baseColWidth="10" defaultColWidth="10.625" defaultRowHeight="16" x14ac:dyDescent="0.2"/>
  <cols>
    <col min="1" max="1" width="18.375" customWidth="1"/>
    <col min="2" max="2" width="88.125" customWidth="1"/>
  </cols>
  <sheetData>
    <row r="1" spans="1:256" ht="45.75" customHeight="1" x14ac:dyDescent="0.2">
      <c r="A1" s="244" t="s">
        <v>2986</v>
      </c>
      <c r="B1" s="244"/>
    </row>
    <row r="2" spans="1:256" ht="26" customHeight="1" x14ac:dyDescent="0.15">
      <c r="A2" s="245"/>
      <c r="B2" s="245"/>
      <c r="C2" s="21"/>
      <c r="D2" s="21"/>
      <c r="E2" s="21"/>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18" customFormat="1" ht="24" customHeight="1" x14ac:dyDescent="0.2">
      <c r="A3" s="239" t="s">
        <v>453</v>
      </c>
      <c r="B3" s="240"/>
    </row>
    <row r="4" spans="1:256" ht="72" customHeight="1" x14ac:dyDescent="0.2">
      <c r="A4" s="234" t="s">
        <v>2659</v>
      </c>
      <c r="B4" s="234"/>
    </row>
    <row r="5" spans="1:256" s="18" customFormat="1" ht="24" customHeight="1" x14ac:dyDescent="0.2">
      <c r="A5" s="239" t="s">
        <v>454</v>
      </c>
      <c r="B5" s="240"/>
    </row>
    <row r="6" spans="1:256" ht="84" customHeight="1" x14ac:dyDescent="0.2">
      <c r="A6" s="234" t="s">
        <v>2985</v>
      </c>
      <c r="B6" s="234"/>
    </row>
    <row r="7" spans="1:256" ht="55.25" customHeight="1" x14ac:dyDescent="0.2">
      <c r="A7" s="22" t="s">
        <v>1</v>
      </c>
      <c r="B7" s="16" t="s">
        <v>2660</v>
      </c>
    </row>
    <row r="8" spans="1:256" ht="54" customHeight="1" x14ac:dyDescent="0.2">
      <c r="A8" s="22" t="s">
        <v>12</v>
      </c>
      <c r="B8" s="16" t="s">
        <v>456</v>
      </c>
    </row>
    <row r="9" spans="1:256" ht="36" customHeight="1" x14ac:dyDescent="0.2">
      <c r="A9" s="22" t="s">
        <v>18</v>
      </c>
      <c r="B9" s="16" t="s">
        <v>2661</v>
      </c>
    </row>
    <row r="10" spans="1:256" ht="36" customHeight="1" x14ac:dyDescent="0.2">
      <c r="A10" s="22" t="s">
        <v>152</v>
      </c>
      <c r="B10" s="16" t="s">
        <v>457</v>
      </c>
    </row>
    <row r="11" spans="1:256" ht="36" customHeight="1" x14ac:dyDescent="0.2">
      <c r="A11" s="22" t="s">
        <v>455</v>
      </c>
      <c r="B11" s="16" t="s">
        <v>2615</v>
      </c>
    </row>
    <row r="12" spans="1:256" ht="96" customHeight="1" x14ac:dyDescent="0.2">
      <c r="A12" s="234" t="s">
        <v>460</v>
      </c>
      <c r="B12" s="234"/>
    </row>
    <row r="13" spans="1:256" ht="124.25" customHeight="1" x14ac:dyDescent="0.2">
      <c r="A13" s="236" t="s">
        <v>458</v>
      </c>
      <c r="B13" s="237"/>
    </row>
    <row r="14" spans="1:256" s="18" customFormat="1" ht="24" customHeight="1" x14ac:dyDescent="0.2">
      <c r="A14" s="239" t="s">
        <v>461</v>
      </c>
      <c r="B14" s="240"/>
    </row>
    <row r="15" spans="1:256" ht="56" customHeight="1" x14ac:dyDescent="0.2">
      <c r="A15" s="234" t="s">
        <v>462</v>
      </c>
      <c r="B15" s="234"/>
    </row>
    <row r="16" spans="1:256" ht="112.25" customHeight="1" x14ac:dyDescent="0.2">
      <c r="A16" s="236" t="s">
        <v>459</v>
      </c>
      <c r="B16" s="237"/>
    </row>
    <row r="17" spans="1:2" s="18" customFormat="1" ht="24" customHeight="1" x14ac:dyDescent="0.2">
      <c r="A17" s="239" t="s">
        <v>2643</v>
      </c>
      <c r="B17" s="240"/>
    </row>
    <row r="18" spans="1:2" ht="36" customHeight="1" x14ac:dyDescent="0.2">
      <c r="A18" s="141" t="s">
        <v>2632</v>
      </c>
      <c r="B18" s="16" t="s">
        <v>2987</v>
      </c>
    </row>
    <row r="19" spans="1:2" ht="36" customHeight="1" x14ac:dyDescent="0.2">
      <c r="A19" s="141" t="s">
        <v>2641</v>
      </c>
      <c r="B19" s="16" t="s">
        <v>2662</v>
      </c>
    </row>
    <row r="20" spans="1:2" ht="36" customHeight="1" x14ac:dyDescent="0.2">
      <c r="A20" s="141" t="s">
        <v>2640</v>
      </c>
      <c r="B20" s="16" t="s">
        <v>2642</v>
      </c>
    </row>
    <row r="21" spans="1:2" ht="86" customHeight="1" x14ac:dyDescent="0.2">
      <c r="A21" s="242" t="s">
        <v>2663</v>
      </c>
      <c r="B21" s="243"/>
    </row>
    <row r="22" spans="1:2" ht="124" customHeight="1" x14ac:dyDescent="0.2">
      <c r="A22" s="161"/>
      <c r="B22" s="162" t="s">
        <v>2664</v>
      </c>
    </row>
    <row r="23" spans="1:2" s="18" customFormat="1" ht="24" customHeight="1" x14ac:dyDescent="0.2">
      <c r="A23" s="239" t="s">
        <v>2639</v>
      </c>
      <c r="B23" s="240"/>
    </row>
    <row r="24" spans="1:2" ht="54" customHeight="1" x14ac:dyDescent="0.2">
      <c r="A24" s="241" t="s">
        <v>2665</v>
      </c>
      <c r="B24" s="234"/>
    </row>
    <row r="25" spans="1:2" ht="36" customHeight="1" x14ac:dyDescent="0.2">
      <c r="A25" s="238" t="s">
        <v>2995</v>
      </c>
      <c r="B25" s="238"/>
    </row>
    <row r="26" spans="1:2" ht="47" customHeight="1" x14ac:dyDescent="0.2">
      <c r="A26" s="235"/>
      <c r="B26" s="235"/>
    </row>
    <row r="27" spans="1:2" s="18" customFormat="1" ht="36" customHeight="1" x14ac:dyDescent="0.2">
      <c r="A27" s="232" t="s">
        <v>2621</v>
      </c>
      <c r="B27" s="233"/>
    </row>
    <row r="28" spans="1:2" ht="136" customHeight="1" x14ac:dyDescent="0.2">
      <c r="A28" s="234" t="s">
        <v>2996</v>
      </c>
      <c r="B28" s="234"/>
    </row>
    <row r="29" spans="1:2" x14ac:dyDescent="0.2">
      <c r="A29" s="20"/>
    </row>
    <row r="30" spans="1:2" x14ac:dyDescent="0.2">
      <c r="A30" s="19"/>
    </row>
    <row r="32" spans="1:2" x14ac:dyDescent="0.2">
      <c r="A32" s="19"/>
    </row>
  </sheetData>
  <mergeCells count="19">
    <mergeCell ref="A6:B6"/>
    <mergeCell ref="A12:B12"/>
    <mergeCell ref="A14:B14"/>
    <mergeCell ref="A15:B15"/>
    <mergeCell ref="A17:B17"/>
    <mergeCell ref="A1:B1"/>
    <mergeCell ref="A2:B2"/>
    <mergeCell ref="A3:B3"/>
    <mergeCell ref="A4:B4"/>
    <mergeCell ref="A5:B5"/>
    <mergeCell ref="A27:B27"/>
    <mergeCell ref="A28:B28"/>
    <mergeCell ref="A26:B26"/>
    <mergeCell ref="A16:B16"/>
    <mergeCell ref="A13:B13"/>
    <mergeCell ref="A25:B25"/>
    <mergeCell ref="A23:B23"/>
    <mergeCell ref="A24:B24"/>
    <mergeCell ref="A21:B21"/>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312"/>
  <sheetViews>
    <sheetView showGridLines="0" tabSelected="1" topLeftCell="A310" workbookViewId="0">
      <selection activeCell="D82" sqref="D82"/>
    </sheetView>
  </sheetViews>
  <sheetFormatPr baseColWidth="10" defaultColWidth="6.625" defaultRowHeight="15" customHeight="1" x14ac:dyDescent="0.15"/>
  <cols>
    <col min="1" max="1" width="8.25" customWidth="1"/>
    <col min="2" max="2" width="58.5" style="5" customWidth="1"/>
    <col min="3" max="3" width="20" style="24" customWidth="1"/>
    <col min="4" max="4" width="50.625" style="7" customWidth="1"/>
    <col min="5" max="5" width="32" style="8" customWidth="1"/>
    <col min="6" max="256" width="6.625" style="5" customWidth="1"/>
  </cols>
  <sheetData>
    <row r="1" spans="1:5" ht="36" customHeight="1" x14ac:dyDescent="0.15">
      <c r="A1" s="252" t="s">
        <v>2983</v>
      </c>
      <c r="B1" s="252"/>
      <c r="C1" s="252"/>
      <c r="D1" s="252"/>
      <c r="E1" s="164" t="s">
        <v>3067</v>
      </c>
    </row>
    <row r="2" spans="1:5" ht="26" customHeight="1" x14ac:dyDescent="0.15">
      <c r="A2" s="245" t="s">
        <v>96</v>
      </c>
      <c r="B2" s="245"/>
      <c r="C2" s="245"/>
      <c r="D2" s="245"/>
      <c r="E2" s="245"/>
    </row>
    <row r="3" spans="1:5" ht="29" customHeight="1" x14ac:dyDescent="0.15">
      <c r="A3" s="23" t="s">
        <v>426</v>
      </c>
      <c r="B3" s="10" t="s">
        <v>0</v>
      </c>
      <c r="C3" s="254">
        <v>44004</v>
      </c>
      <c r="D3" s="254"/>
      <c r="E3" s="254"/>
    </row>
    <row r="4" spans="1:5" ht="36" customHeight="1" x14ac:dyDescent="0.15">
      <c r="A4" s="248" t="s">
        <v>1</v>
      </c>
      <c r="B4" s="248"/>
      <c r="C4" s="25"/>
      <c r="D4" s="26"/>
      <c r="E4" s="27"/>
    </row>
    <row r="5" spans="1:5" ht="72" customHeight="1" x14ac:dyDescent="0.15">
      <c r="A5" s="253" t="s">
        <v>2981</v>
      </c>
      <c r="B5" s="253"/>
      <c r="C5" s="253"/>
      <c r="D5" s="253"/>
      <c r="E5" s="253"/>
    </row>
    <row r="6" spans="1:5" ht="24" customHeight="1" x14ac:dyDescent="0.15">
      <c r="A6" s="258" t="s">
        <v>2552</v>
      </c>
      <c r="B6" s="258"/>
      <c r="C6" s="258"/>
      <c r="D6" s="258"/>
      <c r="E6" s="258"/>
    </row>
    <row r="7" spans="1:5" ht="22.25" customHeight="1" x14ac:dyDescent="0.15">
      <c r="A7" s="17" t="s">
        <v>431</v>
      </c>
      <c r="B7" s="28" t="s">
        <v>3</v>
      </c>
      <c r="C7" s="255" t="s">
        <v>3095</v>
      </c>
      <c r="D7" s="256"/>
      <c r="E7" s="256"/>
    </row>
    <row r="8" spans="1:5" ht="22.25" customHeight="1" x14ac:dyDescent="0.15">
      <c r="A8" s="17" t="s">
        <v>432</v>
      </c>
      <c r="B8" s="28" t="s">
        <v>4</v>
      </c>
      <c r="C8" s="255" t="s">
        <v>3102</v>
      </c>
      <c r="D8" s="256"/>
      <c r="E8" s="256"/>
    </row>
    <row r="9" spans="1:5" ht="22.25" customHeight="1" x14ac:dyDescent="0.15">
      <c r="A9" s="17" t="s">
        <v>433</v>
      </c>
      <c r="B9" s="28" t="s">
        <v>5</v>
      </c>
      <c r="C9" s="255" t="s">
        <v>2103</v>
      </c>
      <c r="D9" s="256"/>
      <c r="E9" s="256"/>
    </row>
    <row r="10" spans="1:5" ht="22.25" customHeight="1" x14ac:dyDescent="0.15">
      <c r="A10" s="17" t="s">
        <v>434</v>
      </c>
      <c r="B10" s="28" t="s">
        <v>6</v>
      </c>
      <c r="C10" s="255" t="s">
        <v>3068</v>
      </c>
      <c r="D10" s="256"/>
      <c r="E10" s="256"/>
    </row>
    <row r="11" spans="1:5" ht="22.25" customHeight="1" x14ac:dyDescent="0.15">
      <c r="A11" s="17" t="s">
        <v>435</v>
      </c>
      <c r="B11" s="28" t="s">
        <v>7</v>
      </c>
      <c r="C11" s="255" t="s">
        <v>2104</v>
      </c>
      <c r="D11" s="256"/>
      <c r="E11" s="256"/>
    </row>
    <row r="12" spans="1:5" ht="22.25" customHeight="1" x14ac:dyDescent="0.15">
      <c r="A12" s="17" t="s">
        <v>436</v>
      </c>
      <c r="B12" s="28" t="s">
        <v>8</v>
      </c>
      <c r="C12" s="255" t="s">
        <v>2104</v>
      </c>
      <c r="D12" s="256"/>
      <c r="E12" s="256"/>
    </row>
    <row r="13" spans="1:5" ht="22.25" customHeight="1" x14ac:dyDescent="0.15">
      <c r="A13" s="17" t="s">
        <v>437</v>
      </c>
      <c r="B13" s="28" t="s">
        <v>9</v>
      </c>
      <c r="C13" s="255" t="s">
        <v>3072</v>
      </c>
      <c r="D13" s="256"/>
      <c r="E13" s="256"/>
    </row>
    <row r="14" spans="1:5" ht="22.25" customHeight="1" x14ac:dyDescent="0.15">
      <c r="A14" s="17" t="s">
        <v>438</v>
      </c>
      <c r="B14" s="28" t="s">
        <v>10</v>
      </c>
      <c r="C14" s="255" t="s">
        <v>3073</v>
      </c>
      <c r="D14" s="256"/>
      <c r="E14" s="256"/>
    </row>
    <row r="15" spans="1:5" ht="22.25" customHeight="1" x14ac:dyDescent="0.15">
      <c r="A15" s="17" t="s">
        <v>439</v>
      </c>
      <c r="B15" s="28" t="s">
        <v>2640</v>
      </c>
      <c r="C15" s="255" t="s">
        <v>3075</v>
      </c>
      <c r="D15" s="256"/>
      <c r="E15" s="256"/>
    </row>
    <row r="16" spans="1:5" ht="22.25" customHeight="1" x14ac:dyDescent="0.15">
      <c r="A16" s="17" t="s">
        <v>440</v>
      </c>
      <c r="B16" s="28" t="s">
        <v>2641</v>
      </c>
      <c r="C16" s="256" t="s">
        <v>2647</v>
      </c>
      <c r="D16" s="256"/>
      <c r="E16" s="256"/>
    </row>
    <row r="17" spans="1:5" ht="24" customHeight="1" x14ac:dyDescent="0.15">
      <c r="A17" s="258" t="s">
        <v>2644</v>
      </c>
      <c r="B17" s="258"/>
      <c r="C17" s="258"/>
      <c r="D17" s="258"/>
      <c r="E17" s="258"/>
    </row>
    <row r="18" spans="1:5" ht="22.25" customHeight="1" x14ac:dyDescent="0.15">
      <c r="A18" s="17" t="s">
        <v>2645</v>
      </c>
      <c r="B18" s="28" t="s">
        <v>2553</v>
      </c>
      <c r="C18" s="259" t="s">
        <v>2554</v>
      </c>
      <c r="D18" s="259"/>
      <c r="E18" s="259"/>
    </row>
    <row r="19" spans="1:5" ht="22.25" customHeight="1" x14ac:dyDescent="0.15">
      <c r="A19" s="17" t="s">
        <v>2646</v>
      </c>
      <c r="B19" s="28" t="s">
        <v>97</v>
      </c>
      <c r="C19" s="257" t="s">
        <v>2106</v>
      </c>
      <c r="D19" s="257"/>
      <c r="E19" s="257"/>
    </row>
    <row r="20" spans="1:5" ht="36" customHeight="1" x14ac:dyDescent="0.15">
      <c r="A20" s="248" t="s">
        <v>11</v>
      </c>
      <c r="B20" s="248"/>
      <c r="C20" s="25"/>
      <c r="D20" s="26"/>
      <c r="E20" s="27"/>
    </row>
    <row r="21" spans="1:5" ht="48" customHeight="1" x14ac:dyDescent="0.15">
      <c r="A21" s="253" t="s">
        <v>2673</v>
      </c>
      <c r="B21" s="253"/>
      <c r="C21" s="253"/>
      <c r="D21" s="253"/>
      <c r="E21" s="253"/>
    </row>
    <row r="22" spans="1:5" ht="37.25" customHeight="1" x14ac:dyDescent="0.15">
      <c r="A22" s="248" t="s">
        <v>12</v>
      </c>
      <c r="B22" s="248"/>
      <c r="C22" s="25" t="s">
        <v>13</v>
      </c>
      <c r="D22" s="25" t="s">
        <v>14</v>
      </c>
      <c r="E22" s="9" t="s">
        <v>15</v>
      </c>
    </row>
    <row r="23" spans="1:5" ht="48" customHeight="1" x14ac:dyDescent="0.15">
      <c r="A23" s="253" t="s">
        <v>2666</v>
      </c>
      <c r="B23" s="253"/>
      <c r="C23" s="253"/>
      <c r="D23" s="253"/>
      <c r="E23" s="253"/>
    </row>
    <row r="24" spans="1:5" ht="48" customHeight="1" x14ac:dyDescent="0.15">
      <c r="A24" s="17" t="s">
        <v>164</v>
      </c>
      <c r="B24" s="30" t="s">
        <v>95</v>
      </c>
      <c r="C24" s="14" t="s">
        <v>20</v>
      </c>
      <c r="D24" s="116"/>
      <c r="E24" s="11" t="str">
        <f>IF(C24="","",IF(C24="Yes","You are required to complete the questions in the HIPAA section.","Responses to the questions in the HIPAA section are optional."))</f>
        <v>Responses to the questions in the HIPAA section are optional.</v>
      </c>
    </row>
    <row r="25" spans="1:5" ht="48" customHeight="1" x14ac:dyDescent="0.15">
      <c r="A25" s="17" t="s">
        <v>165</v>
      </c>
      <c r="B25" s="30" t="s">
        <v>566</v>
      </c>
      <c r="C25" s="14" t="s">
        <v>17</v>
      </c>
      <c r="D25" s="117"/>
      <c r="E25" s="11" t="str">
        <f>IF(C25="","",IF(C25="Yes","You are required to complete the questions in the Mobile Application section.","Responses to the questions in the Mobile Application section are optional."))</f>
        <v>You are required to complete the questions in the Mobile Application section.</v>
      </c>
    </row>
    <row r="26" spans="1:5" ht="48" customHeight="1" x14ac:dyDescent="0.15">
      <c r="A26" s="17" t="s">
        <v>166</v>
      </c>
      <c r="B26" s="30" t="s">
        <v>567</v>
      </c>
      <c r="C26" s="14" t="s">
        <v>17</v>
      </c>
      <c r="D26" s="117"/>
      <c r="E26" s="11" t="str">
        <f>IF(C26="","",IF(C26="Yes","You are required to complete the questions in the Third Parties section.","Responses to the questions in the Third Parties section are optional."))</f>
        <v>You are required to complete the questions in the Third Parties section.</v>
      </c>
    </row>
    <row r="27" spans="1:5" ht="48" customHeight="1" x14ac:dyDescent="0.15">
      <c r="A27" s="17" t="s">
        <v>167</v>
      </c>
      <c r="B27" s="30" t="s">
        <v>155</v>
      </c>
      <c r="C27" s="14" t="s">
        <v>17</v>
      </c>
      <c r="D27" s="116"/>
      <c r="E27" s="11" t="str">
        <f>IF(C27="","",IF(C27="Yes","You are required to complete the questions in the Business Continuity section.","Respond to as many questions in the Business Continuity section as possible."))</f>
        <v>You are required to complete the questions in the Business Continuity section.</v>
      </c>
    </row>
    <row r="28" spans="1:5" ht="48" customHeight="1" x14ac:dyDescent="0.15">
      <c r="A28" s="17" t="s">
        <v>168</v>
      </c>
      <c r="B28" s="30" t="s">
        <v>156</v>
      </c>
      <c r="C28" s="14" t="s">
        <v>17</v>
      </c>
      <c r="D28" s="116"/>
      <c r="E28" s="11" t="str">
        <f>IF(C28="","",IF(C28="Yes","You are required to complete the questions in the Disaster Recovery section.","Respond to as many questions in the Disaster Recovery section as possible."))</f>
        <v>You are required to complete the questions in the Disaster Recovery section.</v>
      </c>
    </row>
    <row r="29" spans="1:5" ht="48" customHeight="1" x14ac:dyDescent="0.15">
      <c r="A29" s="17" t="s">
        <v>169</v>
      </c>
      <c r="B29" s="30" t="s">
        <v>16</v>
      </c>
      <c r="C29" s="14" t="s">
        <v>20</v>
      </c>
      <c r="D29" s="116"/>
      <c r="E29" s="11" t="str">
        <f>IF(C29="","",IF(C29="Yes","You are required to complete the questions in the PCI DSS section.","Responses to the questions in the PCI DSS section are optional."))</f>
        <v>Responses to the questions in the PCI DSS section are optional.</v>
      </c>
    </row>
    <row r="30" spans="1:5" ht="64.25" customHeight="1" x14ac:dyDescent="0.15">
      <c r="A30" s="17" t="s">
        <v>170</v>
      </c>
      <c r="B30" s="30" t="s">
        <v>515</v>
      </c>
      <c r="C30" s="14" t="s">
        <v>20</v>
      </c>
      <c r="D30" s="116"/>
      <c r="E30" s="11" t="str">
        <f>IF(C30="","",IF(C30="Yes","You are required to complete the questions in the Consulting section. All questions AFTER the Consulting section are OPTIONAL.","Responses to the questions in the Consulting section are optional."))</f>
        <v>Responses to the questions in the Consulting section are optional.</v>
      </c>
    </row>
    <row r="31" spans="1:5" ht="36" customHeight="1" x14ac:dyDescent="0.15">
      <c r="A31" s="248" t="s">
        <v>18</v>
      </c>
      <c r="B31" s="248"/>
      <c r="C31" s="25" t="s">
        <v>13</v>
      </c>
      <c r="D31" s="25" t="s">
        <v>14</v>
      </c>
      <c r="E31" s="9" t="s">
        <v>15</v>
      </c>
    </row>
    <row r="32" spans="1:5" ht="97.25" customHeight="1" x14ac:dyDescent="0.15">
      <c r="A32" s="17" t="s">
        <v>171</v>
      </c>
      <c r="B32" s="96" t="s">
        <v>3064</v>
      </c>
      <c r="C32" s="217" t="s">
        <v>20</v>
      </c>
      <c r="D32" s="310" t="s">
        <v>3258</v>
      </c>
      <c r="E32" s="12" t="str">
        <f>IF(C32="","",IF(C32="Yes","Provide the date of assessment and include a SOC 2 Type 2 (preferred) or SOC 3 report. If you have a SOC3 report, include a URL for the published report. Indicate if your hosting provider was the subject of the audit.","Describe any plans to undergo a SSAE 16 audit."))</f>
        <v>Describe any plans to undergo a SSAE 16 audit.</v>
      </c>
    </row>
    <row r="33" spans="1:5" ht="48" customHeight="1" x14ac:dyDescent="0.15">
      <c r="A33" s="17" t="s">
        <v>172</v>
      </c>
      <c r="B33" s="96" t="s">
        <v>129</v>
      </c>
      <c r="C33" s="217" t="s">
        <v>17</v>
      </c>
      <c r="D33" s="219" t="s">
        <v>3260</v>
      </c>
      <c r="E33" s="12" t="str">
        <f>IF(C33="","",IF(C33="Yes","Please include a copy with your response and include a URL for the published assessment.","Describe any plans to complete the CSA self assessment or CAIQ."))</f>
        <v>Please include a copy with your response and include a URL for the published assessment.</v>
      </c>
    </row>
    <row r="34" spans="1:5" ht="48" customHeight="1" x14ac:dyDescent="0.15">
      <c r="A34" s="17" t="s">
        <v>173</v>
      </c>
      <c r="B34" s="96" t="s">
        <v>19</v>
      </c>
      <c r="C34" s="217" t="s">
        <v>20</v>
      </c>
      <c r="D34" s="117"/>
      <c r="E34" s="11" t="str">
        <f>IF(C34="","",IF(C34="Yes","Provide date of certification, any supporting documentation, and a URL for the certification.","Describe any plans to obtain CSA STAR certification."))</f>
        <v>Describe any plans to obtain CSA STAR certification.</v>
      </c>
    </row>
    <row r="35" spans="1:5" ht="64.25" customHeight="1" x14ac:dyDescent="0.15">
      <c r="A35" s="17" t="s">
        <v>174</v>
      </c>
      <c r="B35" s="96" t="s">
        <v>2634</v>
      </c>
      <c r="C35" s="217" t="s">
        <v>20</v>
      </c>
      <c r="D35" s="310" t="s">
        <v>3259</v>
      </c>
      <c r="E35" s="11" t="str">
        <f>IF(C35="","",IF(C35="Yes","Provide documentation on how your organization conforms to each framework and indicate current certification levels, where appropriate.","Describe any plans to conform to an industry standard security framework."))</f>
        <v>Describe any plans to conform to an industry standard security framework.</v>
      </c>
    </row>
    <row r="36" spans="1:5" ht="64.25" customHeight="1" x14ac:dyDescent="0.15">
      <c r="A36" s="17" t="s">
        <v>175</v>
      </c>
      <c r="B36" s="96" t="s">
        <v>891</v>
      </c>
      <c r="C36" s="217" t="s">
        <v>17</v>
      </c>
      <c r="D36" s="310" t="s">
        <v>3257</v>
      </c>
      <c r="E36" s="11" t="str">
        <f>IF(C36="","",IF(C36="Yes","Indicate level, agency issuing ATO, and necessary details on ATO. If using FEDRamp, please indicate the supporting details.","Describe any plans to become FISMA compliant."))</f>
        <v>Indicate level, agency issuing ATO, and necessary details on ATO. If using FEDRamp, please indicate the supporting details.</v>
      </c>
    </row>
    <row r="37" spans="1:5" ht="48" customHeight="1" x14ac:dyDescent="0.15">
      <c r="A37" s="17" t="s">
        <v>176</v>
      </c>
      <c r="B37" s="30" t="s">
        <v>470</v>
      </c>
      <c r="C37" s="217" t="s">
        <v>17</v>
      </c>
      <c r="D37" s="226" t="s">
        <v>3232</v>
      </c>
      <c r="E37" s="11" t="str">
        <f>IF(C37="","",IF(C37="Yes","Provide your data privacy document (or a valid link to it) upon submission.","Describe your plans to provide a data privacy document."))</f>
        <v>Provide your data privacy document (or a valid link to it) upon submission.</v>
      </c>
    </row>
    <row r="38" spans="1:5" ht="36" customHeight="1" x14ac:dyDescent="0.15">
      <c r="A38" s="248" t="s">
        <v>152</v>
      </c>
      <c r="B38" s="248"/>
      <c r="C38" s="25" t="s">
        <v>13</v>
      </c>
      <c r="D38" s="25" t="s">
        <v>14</v>
      </c>
      <c r="E38" s="9" t="s">
        <v>15</v>
      </c>
    </row>
    <row r="39" spans="1:5" ht="54" customHeight="1" x14ac:dyDescent="0.15">
      <c r="A39" s="17" t="s">
        <v>177</v>
      </c>
      <c r="B39" s="96" t="s">
        <v>153</v>
      </c>
      <c r="C39" s="249" t="s">
        <v>3261</v>
      </c>
      <c r="D39" s="250"/>
      <c r="E39" s="11" t="s">
        <v>2556</v>
      </c>
    </row>
    <row r="40" spans="1:5" ht="54" customHeight="1" x14ac:dyDescent="0.15">
      <c r="A40" s="17" t="s">
        <v>178</v>
      </c>
      <c r="B40" s="96" t="s">
        <v>154</v>
      </c>
      <c r="C40" s="249" t="s">
        <v>3088</v>
      </c>
      <c r="D40" s="250"/>
      <c r="E40" s="11" t="s">
        <v>2557</v>
      </c>
    </row>
    <row r="41" spans="1:5" ht="54" customHeight="1" x14ac:dyDescent="0.15">
      <c r="A41" s="17" t="s">
        <v>179</v>
      </c>
      <c r="B41" s="96" t="s">
        <v>892</v>
      </c>
      <c r="C41" s="217" t="s">
        <v>17</v>
      </c>
      <c r="D41" s="227" t="s">
        <v>3233</v>
      </c>
      <c r="E41" s="11" t="str">
        <f>IF(C41="","",IF(C41="Yes","Provide a list of Higher Ed references, with contact information.","State your primary industry."))</f>
        <v>Provide a list of Higher Ed references, with contact information.</v>
      </c>
    </row>
    <row r="42" spans="1:5" ht="64.25" customHeight="1" x14ac:dyDescent="0.15">
      <c r="A42" s="17" t="s">
        <v>180</v>
      </c>
      <c r="B42" s="96" t="s">
        <v>893</v>
      </c>
      <c r="C42" s="217" t="s">
        <v>20</v>
      </c>
      <c r="D42" s="97"/>
      <c r="E42" s="11" t="str">
        <f>IF(C42="","",IF(C42="Yes","Provide a detailed summary of the breach.",""))</f>
        <v/>
      </c>
    </row>
    <row r="43" spans="1:5" ht="54" customHeight="1" x14ac:dyDescent="0.15">
      <c r="A43" s="17" t="s">
        <v>181</v>
      </c>
      <c r="B43" s="96" t="s">
        <v>894</v>
      </c>
      <c r="C43" s="217" t="s">
        <v>17</v>
      </c>
      <c r="D43" s="219" t="s">
        <v>3262</v>
      </c>
      <c r="E43" s="11" t="str">
        <f>IF(C43="","",IF(C43="Yes","Decribe your Information Security Office, including size, talents, resources, etc.","Describe any plans to create an Information Security Office for your organization."))</f>
        <v>Decribe your Information Security Office, including size, talents, resources, etc.</v>
      </c>
    </row>
    <row r="44" spans="1:5" ht="64.25" customHeight="1" x14ac:dyDescent="0.15">
      <c r="A44" s="17" t="s">
        <v>182</v>
      </c>
      <c r="B44" s="96" t="s">
        <v>2555</v>
      </c>
      <c r="C44" s="217" t="s">
        <v>17</v>
      </c>
      <c r="D44" s="227" t="s">
        <v>3263</v>
      </c>
      <c r="E44" s="11" t="str">
        <f>IF(C44="","",IF(C44="Yes","Describe the structure and size of your Software and System Development teams. (e.g. Customer Support, Implementation, Product Management, etc.)","Describe any plans to create an Information Security Office for your organization."))</f>
        <v>Describe the structure and size of your Software and System Development teams. (e.g. Customer Support, Implementation, Product Management, etc.)</v>
      </c>
    </row>
    <row r="45" spans="1:5" ht="83" customHeight="1" x14ac:dyDescent="0.15">
      <c r="A45" s="17" t="s">
        <v>430</v>
      </c>
      <c r="B45" s="96" t="s">
        <v>895</v>
      </c>
      <c r="C45" s="249" t="s">
        <v>3089</v>
      </c>
      <c r="D45" s="251"/>
      <c r="E45" s="11" t="s">
        <v>2558</v>
      </c>
    </row>
    <row r="46" spans="1:5" ht="36" customHeight="1" x14ac:dyDescent="0.15">
      <c r="A46" s="248" t="str">
        <f>IF($C$26="No","Third Parties - Optional based on QUALIFIER response.","Third Parties")</f>
        <v>Third Parties</v>
      </c>
      <c r="B46" s="248"/>
      <c r="C46" s="25" t="s">
        <v>13</v>
      </c>
      <c r="D46" s="25" t="s">
        <v>14</v>
      </c>
      <c r="E46" s="9" t="s">
        <v>15</v>
      </c>
    </row>
    <row r="47" spans="1:5" ht="96" customHeight="1" x14ac:dyDescent="0.15">
      <c r="A47" s="17" t="s">
        <v>183</v>
      </c>
      <c r="B47" s="30" t="s">
        <v>130</v>
      </c>
      <c r="C47" s="246" t="s">
        <v>3090</v>
      </c>
      <c r="D47" s="247"/>
      <c r="E47" s="11" t="s">
        <v>2623</v>
      </c>
    </row>
    <row r="48" spans="1:5" ht="80" customHeight="1" x14ac:dyDescent="0.15">
      <c r="A48" s="17" t="s">
        <v>184</v>
      </c>
      <c r="B48" s="30" t="s">
        <v>516</v>
      </c>
      <c r="C48" s="246" t="s">
        <v>3091</v>
      </c>
      <c r="D48" s="247"/>
      <c r="E48" s="11" t="s">
        <v>2624</v>
      </c>
    </row>
    <row r="49" spans="1:256" ht="80" customHeight="1" x14ac:dyDescent="0.15">
      <c r="A49" s="17" t="s">
        <v>185</v>
      </c>
      <c r="B49" s="30" t="s">
        <v>21</v>
      </c>
      <c r="C49" s="246" t="s">
        <v>3092</v>
      </c>
      <c r="D49" s="247"/>
      <c r="E49" s="11" t="s">
        <v>2625</v>
      </c>
    </row>
    <row r="50" spans="1:256" ht="80" customHeight="1" x14ac:dyDescent="0.15">
      <c r="A50" s="17" t="s">
        <v>429</v>
      </c>
      <c r="B50" s="30" t="s">
        <v>441</v>
      </c>
      <c r="C50" s="246" t="s">
        <v>3093</v>
      </c>
      <c r="D50" s="247"/>
      <c r="E50" s="11" t="s">
        <v>2626</v>
      </c>
    </row>
    <row r="51" spans="1:256" ht="36" customHeight="1" x14ac:dyDescent="0.15">
      <c r="A51" s="248" t="str">
        <f>IF($C$30="","Consulting",IF($C$30="Yes","Consulting - All questions after this section are OPTIONAL.","Consulting - Optional based on QUALIFIER response."))</f>
        <v>Consulting - Optional based on QUALIFIER response.</v>
      </c>
      <c r="B51" s="248"/>
      <c r="C51" s="25" t="s">
        <v>13</v>
      </c>
      <c r="D51" s="25" t="s">
        <v>14</v>
      </c>
      <c r="E51" s="9" t="s">
        <v>15</v>
      </c>
    </row>
    <row r="52" spans="1:256" ht="48" customHeight="1" x14ac:dyDescent="0.15">
      <c r="A52" s="17" t="s">
        <v>186</v>
      </c>
      <c r="B52" s="30" t="s">
        <v>901</v>
      </c>
      <c r="C52" s="14"/>
      <c r="D52" s="29"/>
      <c r="E52" s="12" t="str">
        <f>IF(C52="","",IF(C52="Yes","Describe how physical access will be managed.",""))</f>
        <v/>
      </c>
    </row>
    <row r="53" spans="1:256" ht="63" customHeight="1" x14ac:dyDescent="0.15">
      <c r="A53" s="17" t="s">
        <v>187</v>
      </c>
      <c r="B53" s="30" t="s">
        <v>535</v>
      </c>
      <c r="C53" s="14"/>
      <c r="D53" s="29"/>
      <c r="E53" s="12" t="str">
        <f>IF(C53="","",IF(C53="Yes","Describe how institution's resources will be protected during this engagement.",""))</f>
        <v/>
      </c>
    </row>
    <row r="54" spans="1:256" ht="63" customHeight="1" x14ac:dyDescent="0.15">
      <c r="A54" s="17" t="s">
        <v>188</v>
      </c>
      <c r="B54" s="30" t="s">
        <v>536</v>
      </c>
      <c r="C54" s="14"/>
      <c r="D54" s="29"/>
      <c r="E54" s="12" t="str">
        <f>IF(C54="","",IF(C54="Yes","Summarize the need for physical access and what steps/agreements will be implemented to ensure physical security.",""))</f>
        <v/>
      </c>
    </row>
    <row r="55" spans="1:256" ht="48" customHeight="1" x14ac:dyDescent="0.15">
      <c r="A55" s="17" t="s">
        <v>189</v>
      </c>
      <c r="B55" s="30" t="s">
        <v>537</v>
      </c>
      <c r="C55" s="14"/>
      <c r="D55" s="15"/>
      <c r="E55" s="12" t="str">
        <f>IF(C55="","",IF(C55="Yes","Summarize the need for an account within the Institution's domain.",""))</f>
        <v/>
      </c>
    </row>
    <row r="56" spans="1:256" ht="48" customHeight="1" x14ac:dyDescent="0.15">
      <c r="A56" s="17" t="s">
        <v>190</v>
      </c>
      <c r="B56" s="30" t="s">
        <v>468</v>
      </c>
      <c r="C56" s="14"/>
      <c r="D56" s="15"/>
      <c r="E56" s="12" t="str">
        <f>IF(C56="","",IF(C56="Yes","State the name of  the training received and the most currently training date for each training.",""))</f>
        <v/>
      </c>
    </row>
    <row r="57" spans="1:256" ht="48" customHeight="1" x14ac:dyDescent="0.15">
      <c r="A57" s="17" t="s">
        <v>191</v>
      </c>
      <c r="B57" s="30" t="s">
        <v>471</v>
      </c>
      <c r="C57" s="14"/>
      <c r="D57" s="15"/>
      <c r="E57" s="12" t="str">
        <f>IF(C57="","",IF(C57="Yes","State how long the data will remain in their possession and state how the data will be protected.",""))</f>
        <v/>
      </c>
    </row>
    <row r="58" spans="1:256" s="3" customFormat="1" ht="48" customHeight="1" x14ac:dyDescent="0.2">
      <c r="A58" s="17" t="s">
        <v>192</v>
      </c>
      <c r="B58" s="30" t="s">
        <v>472</v>
      </c>
      <c r="C58" s="140"/>
      <c r="D58" s="15"/>
      <c r="E58" s="12" t="str">
        <f>IF(C58="","",IF(C58="Yes","Describe how encryption is implemented.","Describe the implemented compensating controls  to safeguard data."))</f>
        <v/>
      </c>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row>
    <row r="59" spans="1:256" ht="48" customHeight="1" x14ac:dyDescent="0.15">
      <c r="A59" s="17" t="s">
        <v>193</v>
      </c>
      <c r="B59" s="30" t="s">
        <v>538</v>
      </c>
      <c r="C59" s="14"/>
      <c r="D59" s="15"/>
      <c r="E59" s="12" t="str">
        <f>IF(C59="","",IF(C59="Yes","Describe the tools and technical controls implemented to secure remote access.",""))</f>
        <v/>
      </c>
    </row>
    <row r="60" spans="1:256" s="3" customFormat="1" ht="48" customHeight="1" x14ac:dyDescent="0.2">
      <c r="A60" s="17" t="s">
        <v>194</v>
      </c>
      <c r="B60" s="30" t="s">
        <v>22</v>
      </c>
      <c r="C60" s="14"/>
      <c r="D60" s="15"/>
      <c r="E60" s="12" t="str">
        <f>IF(C60="","",IF(C60="Yes","State any limitations to this restriction.",IF(C60="No","State potential restriction capabilities.","No remote access necessary.")))</f>
        <v/>
      </c>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row>
    <row r="61" spans="1:256" ht="36" customHeight="1" x14ac:dyDescent="0.15">
      <c r="A61" s="248" t="str">
        <f>IF($C$30="","Application/Service Security",IF($C$30="Yes","App/Service Security - Optional based on QUALIFIER response.","Application/Service Security"))</f>
        <v>Application/Service Security</v>
      </c>
      <c r="B61" s="248"/>
      <c r="C61" s="25" t="s">
        <v>13</v>
      </c>
      <c r="D61" s="25" t="s">
        <v>14</v>
      </c>
      <c r="E61" s="9" t="s">
        <v>15</v>
      </c>
    </row>
    <row r="62" spans="1:256" ht="49.25" customHeight="1" x14ac:dyDescent="0.15">
      <c r="A62" s="17" t="s">
        <v>195</v>
      </c>
      <c r="B62" s="64" t="s">
        <v>896</v>
      </c>
      <c r="C62" s="217" t="s">
        <v>17</v>
      </c>
      <c r="D62" s="219" t="s">
        <v>3234</v>
      </c>
      <c r="E62" s="11" t="str">
        <f>IF(C62="","",IF(C62="Yes","Describe any infrastructure dependencies.","Describe any limitations that prevent virtualization."))</f>
        <v>Describe any infrastructure dependencies.</v>
      </c>
    </row>
    <row r="63" spans="1:256" ht="48" customHeight="1" x14ac:dyDescent="0.15">
      <c r="A63" s="17" t="s">
        <v>196</v>
      </c>
      <c r="B63" s="64" t="s">
        <v>897</v>
      </c>
      <c r="C63" s="217" t="s">
        <v>20</v>
      </c>
      <c r="D63" s="225" t="s">
        <v>3235</v>
      </c>
      <c r="E63" s="11" t="str">
        <f>IF(C63="","",IF(C63="Yes","Describe the utilized technology.","Describe any plans to virtualize your environment hosting Institution data."))</f>
        <v>Describe any plans to virtualize your environment hosting Institution data.</v>
      </c>
    </row>
    <row r="64" spans="1:256" ht="48" customHeight="1" x14ac:dyDescent="0.15">
      <c r="A64" s="17" t="s">
        <v>539</v>
      </c>
      <c r="B64" s="64" t="s">
        <v>898</v>
      </c>
      <c r="C64" s="217" t="s">
        <v>17</v>
      </c>
      <c r="D64" s="219" t="s">
        <v>3236</v>
      </c>
      <c r="E64" s="11" t="str">
        <f>IF(C64="","",IF(C64="Yes","If available, submit documentation and/or web resources.","Provide details that prevent this capability."))</f>
        <v>If available, submit documentation and/or web resources.</v>
      </c>
    </row>
    <row r="65" spans="1:256" ht="80" customHeight="1" x14ac:dyDescent="0.15">
      <c r="A65" s="17" t="s">
        <v>197</v>
      </c>
      <c r="B65" s="64" t="s">
        <v>899</v>
      </c>
      <c r="C65" s="217" t="s">
        <v>17</v>
      </c>
      <c r="D65" s="218" t="s">
        <v>3237</v>
      </c>
      <c r="E65" s="11" t="str">
        <f>IF(C65="","",IF(C65="Yes","Provide a reference to the requested documents or provide them when submitting this fully-populated HECVAT.","State any plans to provide system and/or application architecture diagrams."))</f>
        <v>Provide a reference to the requested documents or provide them when submitting this fully-populated HECVAT.</v>
      </c>
    </row>
    <row r="66" spans="1:256" ht="63" customHeight="1" x14ac:dyDescent="0.15">
      <c r="A66" s="17" t="s">
        <v>198</v>
      </c>
      <c r="B66" s="64" t="s">
        <v>31</v>
      </c>
      <c r="C66" s="217" t="s">
        <v>17</v>
      </c>
      <c r="D66" s="218" t="s">
        <v>3238</v>
      </c>
      <c r="E66" s="11" t="str">
        <f>IF(C66="","",IF(C66="Yes","Provide a reference to documentation of your data input validation and error messaging capabilities.","State plans to implement data input validation and error messaging across all components of your system."))</f>
        <v>Provide a reference to documentation of your data input validation and error messaging capabilities.</v>
      </c>
    </row>
    <row r="67" spans="1:256" ht="48" customHeight="1" x14ac:dyDescent="0.15">
      <c r="A67" s="17" t="s">
        <v>199</v>
      </c>
      <c r="B67" s="64" t="s">
        <v>900</v>
      </c>
      <c r="C67" s="217" t="s">
        <v>20</v>
      </c>
      <c r="D67" s="228" t="s">
        <v>3239</v>
      </c>
      <c r="E67" s="11" t="str">
        <f>IF(C67="","",IF(C67="Yes","Describe your single-tenant strategy.",""))</f>
        <v/>
      </c>
    </row>
    <row r="68" spans="1:256" s="3" customFormat="1" ht="80" customHeight="1" x14ac:dyDescent="0.2">
      <c r="A68" s="17" t="s">
        <v>200</v>
      </c>
      <c r="B68" s="64" t="s">
        <v>560</v>
      </c>
      <c r="C68" s="246" t="s">
        <v>3094</v>
      </c>
      <c r="D68" s="247"/>
      <c r="E68" s="13" t="s">
        <v>2073</v>
      </c>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row>
    <row r="69" spans="1:256" ht="72" customHeight="1" x14ac:dyDescent="0.15">
      <c r="A69" s="17" t="s">
        <v>201</v>
      </c>
      <c r="B69" s="30" t="s">
        <v>517</v>
      </c>
      <c r="C69" s="217" t="s">
        <v>20</v>
      </c>
      <c r="D69" s="15"/>
      <c r="E69" s="11" t="str">
        <f>IF(C69="","",IF(C69="Yes","Describe the conditions of this breach and how was the investigation and response was managed in conjunction with the customer.",""))</f>
        <v/>
      </c>
    </row>
    <row r="70" spans="1:256" ht="64.25" customHeight="1" x14ac:dyDescent="0.15">
      <c r="A70" s="17" t="s">
        <v>202</v>
      </c>
      <c r="B70" s="64" t="s">
        <v>442</v>
      </c>
      <c r="C70" s="246" t="s">
        <v>3096</v>
      </c>
      <c r="D70" s="247"/>
      <c r="E70" s="13" t="s">
        <v>2074</v>
      </c>
    </row>
    <row r="71" spans="1:256" ht="64.25" customHeight="1" x14ac:dyDescent="0.15">
      <c r="A71" s="17" t="s">
        <v>203</v>
      </c>
      <c r="B71" s="64" t="s">
        <v>443</v>
      </c>
      <c r="C71" s="246" t="s">
        <v>3097</v>
      </c>
      <c r="D71" s="247"/>
      <c r="E71" s="11" t="s">
        <v>2560</v>
      </c>
    </row>
    <row r="72" spans="1:256" ht="48" customHeight="1" x14ac:dyDescent="0.15">
      <c r="A72" s="17" t="s">
        <v>204</v>
      </c>
      <c r="B72" s="64" t="s">
        <v>502</v>
      </c>
      <c r="C72" s="217" t="s">
        <v>17</v>
      </c>
      <c r="D72" s="221" t="s">
        <v>3240</v>
      </c>
      <c r="E72" s="11" t="str">
        <f>IF(C72="","",IF(C72="Yes","Provide a brief description.","Provide a detailed description of the database and front-end system relationship."))</f>
        <v>Provide a brief description.</v>
      </c>
    </row>
    <row r="73" spans="1:256" ht="65" customHeight="1" x14ac:dyDescent="0.15">
      <c r="A73" s="17" t="s">
        <v>205</v>
      </c>
      <c r="B73" s="64" t="s">
        <v>444</v>
      </c>
      <c r="C73" s="246" t="s">
        <v>3098</v>
      </c>
      <c r="D73" s="247"/>
      <c r="E73" s="11" t="s">
        <v>2997</v>
      </c>
    </row>
    <row r="74" spans="1:256" ht="65" customHeight="1" x14ac:dyDescent="0.15">
      <c r="A74" s="17" t="s">
        <v>206</v>
      </c>
      <c r="B74" s="64" t="s">
        <v>2075</v>
      </c>
      <c r="C74" s="217" t="s">
        <v>17</v>
      </c>
      <c r="D74" s="221" t="s">
        <v>3241</v>
      </c>
      <c r="E74" s="11" t="str">
        <f>IF(C74="","",IF(C74="Yes","Describe all OS and web-browser combonations that are not currently supported.",""))</f>
        <v>Describe all OS and web-browser combonations that are not currently supported.</v>
      </c>
    </row>
    <row r="75" spans="1:256" ht="63" customHeight="1" x14ac:dyDescent="0.15">
      <c r="A75" s="17" t="s">
        <v>207</v>
      </c>
      <c r="B75" s="64" t="s">
        <v>113</v>
      </c>
      <c r="C75" s="217" t="s">
        <v>17</v>
      </c>
      <c r="D75" s="221" t="s">
        <v>3242</v>
      </c>
      <c r="E75" s="11" t="str">
        <f>IF(C75="","",IF(C75="Yes","Provide a detailed description of system capabilities and how location data is secured.",""))</f>
        <v>Provide a detailed description of system capabilities and how location data is secured.</v>
      </c>
    </row>
    <row r="76" spans="1:256" ht="84" customHeight="1" x14ac:dyDescent="0.15">
      <c r="A76" s="17" t="s">
        <v>540</v>
      </c>
      <c r="B76" s="64" t="s">
        <v>445</v>
      </c>
      <c r="C76" s="246" t="s">
        <v>3099</v>
      </c>
      <c r="D76" s="247"/>
      <c r="E76" s="11" t="s">
        <v>2561</v>
      </c>
    </row>
    <row r="77" spans="1:256" ht="65" customHeight="1" x14ac:dyDescent="0.15">
      <c r="A77" s="17" t="s">
        <v>208</v>
      </c>
      <c r="B77" s="64" t="s">
        <v>503</v>
      </c>
      <c r="C77" s="246" t="s">
        <v>3100</v>
      </c>
      <c r="D77" s="247"/>
      <c r="E77" s="11" t="s">
        <v>2562</v>
      </c>
    </row>
    <row r="78" spans="1:256" ht="65" customHeight="1" x14ac:dyDescent="0.15">
      <c r="A78" s="17" t="s">
        <v>209</v>
      </c>
      <c r="B78" s="64" t="s">
        <v>3000</v>
      </c>
      <c r="C78" s="246" t="s">
        <v>3101</v>
      </c>
      <c r="D78" s="247"/>
      <c r="E78" s="11" t="s">
        <v>2563</v>
      </c>
    </row>
    <row r="79" spans="1:256" ht="36" customHeight="1" x14ac:dyDescent="0.15">
      <c r="A79" s="248" t="str">
        <f>IF($C$30="","Authentication, Authorization, and Accounting",IF($C$30="Yes","AAA - Optional based on QUALIFIER response.","Authentication, Authorization, and Accounting"))</f>
        <v>Authentication, Authorization, and Accounting</v>
      </c>
      <c r="B79" s="248"/>
      <c r="C79" s="25" t="s">
        <v>13</v>
      </c>
      <c r="D79" s="25" t="s">
        <v>14</v>
      </c>
      <c r="E79" s="9" t="s">
        <v>15</v>
      </c>
    </row>
    <row r="80" spans="1:256" ht="48" customHeight="1" x14ac:dyDescent="0.15">
      <c r="A80" s="17" t="s">
        <v>211</v>
      </c>
      <c r="B80" s="30" t="s">
        <v>34</v>
      </c>
      <c r="C80" s="217" t="s">
        <v>20</v>
      </c>
      <c r="D80" s="221" t="s">
        <v>3243</v>
      </c>
      <c r="E80" s="12" t="str">
        <f>IF(C80="","",IF(C80="Yes","Describe how aging requirements are implemented in the product.","Describe plans to support password/passphrase aging requirements."))</f>
        <v>Describe plans to support password/passphrase aging requirements.</v>
      </c>
    </row>
    <row r="81" spans="1:5" ht="48" customHeight="1" x14ac:dyDescent="0.15">
      <c r="A81" s="17" t="s">
        <v>212</v>
      </c>
      <c r="B81" s="30" t="s">
        <v>518</v>
      </c>
      <c r="C81" s="217" t="s">
        <v>20</v>
      </c>
      <c r="D81" s="221" t="s">
        <v>3244</v>
      </c>
      <c r="E81" s="12" t="str">
        <f>IF(C81="","",IF(C81="Yes","Describe how password/passphrase complexity requirements are implemented in the product.","Describe plans to support password/passphrase complexity requirements."))</f>
        <v>Describe plans to support password/passphrase complexity requirements.</v>
      </c>
    </row>
    <row r="82" spans="1:5" ht="48" customHeight="1" x14ac:dyDescent="0.15">
      <c r="A82" s="17" t="s">
        <v>213</v>
      </c>
      <c r="B82" s="30" t="s">
        <v>2066</v>
      </c>
      <c r="C82" s="217" t="s">
        <v>17</v>
      </c>
      <c r="D82" s="310" t="s">
        <v>3264</v>
      </c>
      <c r="E82" s="12" t="str">
        <f>IF(C82="","",IF(C82="Yes","Describe these limitations and/or restrictions and state what lengths and complexities are supported.",""))</f>
        <v>Describe these limitations and/or restrictions and state what lengths and complexities are supported.</v>
      </c>
    </row>
    <row r="83" spans="1:5" ht="65" customHeight="1" x14ac:dyDescent="0.15">
      <c r="A83" s="17" t="s">
        <v>214</v>
      </c>
      <c r="B83" s="30" t="s">
        <v>2067</v>
      </c>
      <c r="C83" s="217" t="s">
        <v>17</v>
      </c>
      <c r="D83" s="225" t="s">
        <v>3245</v>
      </c>
      <c r="E83" s="12" t="str">
        <f>IF(C83="","",IF(C83="Yes","Describe your documented password/passphrase reset procedures that are currently implemented in the system and/or customer support.","Describe your plans to document system password/passphrase reset procedures."))</f>
        <v>Describe your documented password/passphrase reset procedures that are currently implemented in the system and/or customer support.</v>
      </c>
    </row>
    <row r="84" spans="1:5" ht="47" customHeight="1" x14ac:dyDescent="0.15">
      <c r="A84" s="17" t="s">
        <v>215</v>
      </c>
      <c r="B84" s="30" t="s">
        <v>2656</v>
      </c>
      <c r="C84" s="217" t="s">
        <v>17</v>
      </c>
      <c r="D84" s="218" t="s">
        <v>3246</v>
      </c>
      <c r="E84" s="12" t="str">
        <f>IF(C84="","",IF(C84="Yes","Describe or provide a reference to the supported types of authentication.","Describe plans to support authentication in your web-based interface."))</f>
        <v>Describe or provide a reference to the supported types of authentication.</v>
      </c>
    </row>
    <row r="85" spans="1:5" ht="48" customHeight="1" x14ac:dyDescent="0.15">
      <c r="A85" s="17" t="s">
        <v>216</v>
      </c>
      <c r="B85" s="30" t="s">
        <v>2564</v>
      </c>
      <c r="C85" s="14"/>
      <c r="D85" s="221" t="s">
        <v>3247</v>
      </c>
      <c r="E85" s="12" t="str">
        <f>IF(C85="","",IF(C85="Yes","Provide a detailed description of passwords/passphrases hard-coded into your systems or products.",""))</f>
        <v/>
      </c>
    </row>
    <row r="86" spans="1:5" ht="48" customHeight="1" x14ac:dyDescent="0.15">
      <c r="A86" s="17" t="s">
        <v>217</v>
      </c>
      <c r="B86" s="30" t="s">
        <v>35</v>
      </c>
      <c r="C86" s="217" t="s">
        <v>20</v>
      </c>
      <c r="D86" s="221" t="s">
        <v>3248</v>
      </c>
      <c r="E86" s="12" t="str">
        <f>IF(C86="","",IF(C86="Yes","Provide a detailed description stating why user account passwords/passphrases are visible by administrators.",""))</f>
        <v/>
      </c>
    </row>
    <row r="87" spans="1:5" ht="48" customHeight="1" x14ac:dyDescent="0.15">
      <c r="A87" s="17" t="s">
        <v>218</v>
      </c>
      <c r="B87" s="30" t="s">
        <v>36</v>
      </c>
      <c r="C87" s="217" t="s">
        <v>17</v>
      </c>
      <c r="D87" s="221" t="s">
        <v>3249</v>
      </c>
      <c r="E87" s="12" t="str">
        <f>IF(C87="","",IF(C87="Yes","Describe or provide a reference to the algorithm/strategy that is used to encrypt stored passwords/passphrases.","Provide a detailed description stating why user account passwords/passphrases are not encrypted in storage."))</f>
        <v>Describe or provide a reference to the algorithm/strategy that is used to encrypt stored passwords/passphrases.</v>
      </c>
    </row>
    <row r="88" spans="1:5" ht="48" customHeight="1" x14ac:dyDescent="0.15">
      <c r="A88" s="17" t="s">
        <v>219</v>
      </c>
      <c r="B88" s="30" t="s">
        <v>132</v>
      </c>
      <c r="C88" s="217" t="s">
        <v>20</v>
      </c>
      <c r="D88" s="221" t="s">
        <v>3250</v>
      </c>
      <c r="E88" s="12" t="str">
        <f>IF(C88="","",IF(C88="Yes","List all supported multi-factor authentication methods, technologies, and/or products and provide a brief summary of each.","Describe any plans to support multi-factor authentication in your application."))</f>
        <v>Describe any plans to support multi-factor authentication in your application.</v>
      </c>
    </row>
    <row r="89" spans="1:5" ht="53" customHeight="1" x14ac:dyDescent="0.15">
      <c r="A89" s="17" t="s">
        <v>220</v>
      </c>
      <c r="B89" s="30" t="s">
        <v>902</v>
      </c>
      <c r="C89" s="217" t="s">
        <v>17</v>
      </c>
      <c r="D89" s="221" t="s">
        <v>3251</v>
      </c>
      <c r="E89" s="12" t="str">
        <f>IF(C89="","",IF(C89="Yes","Provide a brief description of supported authentication and authorization systems.","Describe any plans to support integration with other authentication and authorization systems."))</f>
        <v>Provide a brief description of supported authentication and authorization systems.</v>
      </c>
    </row>
    <row r="90" spans="1:5" ht="47" customHeight="1" x14ac:dyDescent="0.15">
      <c r="A90" s="17" t="s">
        <v>221</v>
      </c>
      <c r="B90" s="30" t="s">
        <v>519</v>
      </c>
      <c r="C90" s="220" t="s">
        <v>20</v>
      </c>
      <c r="D90" s="221" t="s">
        <v>3252</v>
      </c>
      <c r="E90" s="12" t="str">
        <f>IF(C90="","",IF(C90="Yes","Summarize the utilized technology and provide references to how it is implemented in the product/system.",""))</f>
        <v/>
      </c>
    </row>
    <row r="91" spans="1:5" ht="54" customHeight="1" x14ac:dyDescent="0.15">
      <c r="A91" s="17" t="s">
        <v>222</v>
      </c>
      <c r="B91" s="30" t="s">
        <v>131</v>
      </c>
      <c r="C91" s="217" t="s">
        <v>17</v>
      </c>
      <c r="D91" s="221" t="s">
        <v>3253</v>
      </c>
      <c r="E91" s="12" t="str">
        <f>IF(C91="","",IF(C91="Yes","Describe all authentication services supported by the system.","Describe any plans to support external authentication services in place of local authentication."))</f>
        <v>Describe all authentication services supported by the system.</v>
      </c>
    </row>
    <row r="92" spans="1:5" ht="54" customHeight="1" x14ac:dyDescent="0.15">
      <c r="A92" s="17" t="s">
        <v>223</v>
      </c>
      <c r="B92" s="30" t="s">
        <v>94</v>
      </c>
      <c r="C92" s="220" t="s">
        <v>17</v>
      </c>
      <c r="D92" s="221" t="s">
        <v>3254</v>
      </c>
      <c r="E92" s="12" t="str">
        <f>IF(C92="","",IF(C92="Yes","Provide a detailed description of your mixed authentication mode practices.","Describe any plans to use mixed authentication modes."))</f>
        <v>Provide a detailed description of your mixed authentication mode practices.</v>
      </c>
    </row>
    <row r="93" spans="1:5" ht="47" customHeight="1" x14ac:dyDescent="0.15">
      <c r="A93" s="17" t="s">
        <v>224</v>
      </c>
      <c r="B93" s="30" t="s">
        <v>520</v>
      </c>
      <c r="C93" s="220" t="s">
        <v>20</v>
      </c>
      <c r="D93" s="221" t="s">
        <v>3255</v>
      </c>
      <c r="E93" s="12" t="str">
        <f>IF(C93="","",IF(C93="Yes","Summarize the utilized technology and provide references to how it is implemented in the product/system.",""))</f>
        <v/>
      </c>
    </row>
    <row r="94" spans="1:5" ht="48" customHeight="1" x14ac:dyDescent="0.15">
      <c r="A94" s="17" t="s">
        <v>225</v>
      </c>
      <c r="B94" s="30" t="s">
        <v>541</v>
      </c>
      <c r="C94" s="217" t="s">
        <v>17</v>
      </c>
      <c r="D94" s="221" t="s">
        <v>3256</v>
      </c>
      <c r="E94" s="12" t="str">
        <f>IF(C94="","",IF(C94="Yes","Ensure that all elements of AAAI-15 are evaluated for your response. Provide a description of logging capabilities.","Describe any plans to enable audit logs for these data elements."))</f>
        <v>Ensure that all elements of AAAI-15 are evaluated for your response. Provide a description of logging capabilities.</v>
      </c>
    </row>
    <row r="95" spans="1:5" ht="96" customHeight="1" x14ac:dyDescent="0.15">
      <c r="A95" s="17" t="s">
        <v>226</v>
      </c>
      <c r="B95" s="30" t="s">
        <v>2068</v>
      </c>
      <c r="C95" s="246" t="s">
        <v>2631</v>
      </c>
      <c r="D95" s="247"/>
      <c r="E95" s="12" t="s">
        <v>2565</v>
      </c>
    </row>
    <row r="96" spans="1:5" ht="84" customHeight="1" x14ac:dyDescent="0.15">
      <c r="A96" s="17" t="s">
        <v>227</v>
      </c>
      <c r="B96" s="30" t="s">
        <v>446</v>
      </c>
      <c r="C96" s="246" t="s">
        <v>3103</v>
      </c>
      <c r="D96" s="247"/>
      <c r="E96" s="12" t="s">
        <v>2566</v>
      </c>
    </row>
    <row r="97" spans="1:5" ht="36" customHeight="1" x14ac:dyDescent="0.15">
      <c r="A97" s="248" t="str">
        <f>IF(OR($C$27="No",$C$30="Yes"),"BCP - Respond to as many questions below as possible.","Business Continuity Plan")</f>
        <v>Business Continuity Plan</v>
      </c>
      <c r="B97" s="248"/>
      <c r="C97" s="25" t="s">
        <v>13</v>
      </c>
      <c r="D97" s="25" t="s">
        <v>14</v>
      </c>
      <c r="E97" s="9" t="s">
        <v>15</v>
      </c>
    </row>
    <row r="98" spans="1:5" ht="48" customHeight="1" x14ac:dyDescent="0.15">
      <c r="A98" s="17" t="s">
        <v>210</v>
      </c>
      <c r="B98" s="30" t="s">
        <v>542</v>
      </c>
      <c r="C98" s="246" t="s">
        <v>3104</v>
      </c>
      <c r="D98" s="247"/>
      <c r="E98" s="12" t="s">
        <v>2568</v>
      </c>
    </row>
    <row r="99" spans="1:5" ht="47" customHeight="1" x14ac:dyDescent="0.15">
      <c r="A99" s="17" t="s">
        <v>228</v>
      </c>
      <c r="B99" s="30" t="s">
        <v>2567</v>
      </c>
      <c r="C99" s="217" t="s">
        <v>17</v>
      </c>
      <c r="D99" s="15"/>
      <c r="E99" s="12" t="str">
        <f>IF(C99="","",IF(C99="Yes","Provide a reference to your BCP and supporting documentation or submit it along with this fully-populated HECVAT.","Briefly summarize your response."))</f>
        <v>Provide a reference to your BCP and supporting documentation or submit it along with this fully-populated HECVAT.</v>
      </c>
    </row>
    <row r="100" spans="1:5" ht="47" customHeight="1" x14ac:dyDescent="0.15">
      <c r="A100" s="17" t="s">
        <v>229</v>
      </c>
      <c r="B100" s="30" t="s">
        <v>119</v>
      </c>
      <c r="C100" s="217" t="s">
        <v>17</v>
      </c>
      <c r="D100" s="221" t="s">
        <v>3105</v>
      </c>
      <c r="E100" s="12" t="str">
        <f>IF(C100="","",IF(C100="Yes","Provide additional details, as needed.","Describe any plans to define a BCP owner responsible for maintenance and review."))</f>
        <v>Provide additional details, as needed.</v>
      </c>
    </row>
    <row r="101" spans="1:5" ht="47" customHeight="1" x14ac:dyDescent="0.15">
      <c r="A101" s="17" t="s">
        <v>230</v>
      </c>
      <c r="B101" s="30" t="s">
        <v>122</v>
      </c>
      <c r="C101" s="217" t="s">
        <v>17</v>
      </c>
      <c r="D101" s="15"/>
      <c r="E101" s="12" t="str">
        <f>IF(C101="","",IF(C101="Yes","Summarize your defined problem/issue escalation plan contained in your BCP.","Describe any plans to define a problem/issue escalation plan in your BCP."))</f>
        <v>Summarize your defined problem/issue escalation plan contained in your BCP.</v>
      </c>
    </row>
    <row r="102" spans="1:5" ht="47" customHeight="1" x14ac:dyDescent="0.15">
      <c r="A102" s="17" t="s">
        <v>231</v>
      </c>
      <c r="B102" s="30" t="s">
        <v>123</v>
      </c>
      <c r="C102" s="14"/>
      <c r="D102" s="221" t="s">
        <v>3106</v>
      </c>
      <c r="E102" s="12" t="str">
        <f>IF(C102="","",IF(C102="Yes","Summarize your documented communication plan contained in your BCP.","Describe any plans to document a communication plan in your BCP."))</f>
        <v/>
      </c>
    </row>
    <row r="103" spans="1:5" ht="48" customHeight="1" x14ac:dyDescent="0.15">
      <c r="A103" s="17" t="s">
        <v>232</v>
      </c>
      <c r="B103" s="30" t="s">
        <v>543</v>
      </c>
      <c r="C103" s="14"/>
      <c r="D103" s="221" t="s">
        <v>3107</v>
      </c>
      <c r="E103" s="12" t="str">
        <f>IF(C103="","",IF(C103="Yes","Describe your BCP component review strategy.","Describe any plans to annually review and update (as needed) your BCP."))</f>
        <v/>
      </c>
    </row>
    <row r="104" spans="1:5" ht="48" customHeight="1" x14ac:dyDescent="0.15">
      <c r="A104" s="17" t="s">
        <v>233</v>
      </c>
      <c r="B104" s="30" t="s">
        <v>2069</v>
      </c>
      <c r="C104" s="14"/>
      <c r="D104" s="221" t="s">
        <v>3108</v>
      </c>
      <c r="E104" s="12" t="str">
        <f>IF(C104="","",IF(C104="Yes","State the date of your last BCP test.","Describe your strategy to implement annual BCP testing."))</f>
        <v/>
      </c>
    </row>
    <row r="105" spans="1:5" ht="47" customHeight="1" x14ac:dyDescent="0.15">
      <c r="A105" s="17" t="s">
        <v>234</v>
      </c>
      <c r="B105" s="30" t="s">
        <v>124</v>
      </c>
      <c r="C105" s="14"/>
      <c r="D105" s="221" t="s">
        <v>3109</v>
      </c>
      <c r="E105" s="12" t="str">
        <f>IF(C105="","",IF(C105="Yes","Describe your training and awareness activities.","State your plans to implement training and awareness activities focused on roles and responsibilities during a crisis."))</f>
        <v/>
      </c>
    </row>
    <row r="106" spans="1:5" ht="47" customHeight="1" x14ac:dyDescent="0.15">
      <c r="A106" s="17" t="s">
        <v>235</v>
      </c>
      <c r="B106" s="30" t="s">
        <v>125</v>
      </c>
      <c r="C106" s="14"/>
      <c r="D106" s="221" t="s">
        <v>3110</v>
      </c>
      <c r="E106" s="12" t="str">
        <f>IF(C106="","",IF(C106="Yes","Summarize these crisis management roles and responsibilities.","State your plans to define and document crisis management roles and responsibilities."))</f>
        <v/>
      </c>
    </row>
    <row r="107" spans="1:5" ht="47" customHeight="1" x14ac:dyDescent="0.15">
      <c r="A107" s="17" t="s">
        <v>236</v>
      </c>
      <c r="B107" s="30" t="s">
        <v>126</v>
      </c>
      <c r="C107" s="14"/>
      <c r="D107" s="221" t="s">
        <v>3111</v>
      </c>
      <c r="E107" s="12" t="str">
        <f>IF(C107="","",IF(C107="Yes","Provide the distance (in miles) between the primary and secondary locations.","Describe your plans to coordinate an alternative business site or contract with a business recovery provider?"))</f>
        <v/>
      </c>
    </row>
    <row r="108" spans="1:5" ht="47" customHeight="1" x14ac:dyDescent="0.15">
      <c r="A108" s="17" t="s">
        <v>237</v>
      </c>
      <c r="B108" s="30" t="s">
        <v>2648</v>
      </c>
      <c r="C108" s="217" t="s">
        <v>17</v>
      </c>
      <c r="D108" s="221" t="s">
        <v>3112</v>
      </c>
      <c r="E108" s="12" t="str">
        <f>IF(C108="","",IF(C108="Yes","State the date of your last alternate site relocation test.","Describe your strategy to implement annual alternate site relocation testing."))</f>
        <v>State the date of your last alternate site relocation test.</v>
      </c>
    </row>
    <row r="109" spans="1:5" ht="64.25" customHeight="1" x14ac:dyDescent="0.15">
      <c r="A109" s="17" t="s">
        <v>238</v>
      </c>
      <c r="B109" s="30" t="s">
        <v>2070</v>
      </c>
      <c r="C109" s="14"/>
      <c r="D109" s="221" t="s">
        <v>3113</v>
      </c>
      <c r="E109" s="12" t="str">
        <f>IF(C109="","",IF(C109="Yes","Provide a brief summary to support your selection.","Summarize this product's restoration priority in your BCP."))</f>
        <v/>
      </c>
    </row>
    <row r="110" spans="1:5" ht="36" customHeight="1" x14ac:dyDescent="0.15">
      <c r="A110" s="248" t="str">
        <f>IF($C$30="","Change Management",IF($C$30="Yes","Change Management - Optional based on QUALIFIER response.","Change Management"))</f>
        <v>Change Management</v>
      </c>
      <c r="B110" s="248"/>
      <c r="C110" s="25" t="s">
        <v>13</v>
      </c>
      <c r="D110" s="25" t="s">
        <v>14</v>
      </c>
      <c r="E110" s="9" t="s">
        <v>15</v>
      </c>
    </row>
    <row r="111" spans="1:5" ht="48" customHeight="1" x14ac:dyDescent="0.15">
      <c r="A111" s="17" t="s">
        <v>239</v>
      </c>
      <c r="B111" s="30" t="s">
        <v>101</v>
      </c>
      <c r="C111" s="217" t="s">
        <v>17</v>
      </c>
      <c r="D111" s="221" t="s">
        <v>3114</v>
      </c>
      <c r="E111" s="12" t="str">
        <f>IF(C111="","",IF(C111="Yes","Summarize your current change management process.","Describe current plans to implement a change management process."))</f>
        <v>Summarize your current change management process.</v>
      </c>
    </row>
    <row r="112" spans="1:5" ht="80" customHeight="1" x14ac:dyDescent="0.15">
      <c r="A112" s="17" t="s">
        <v>240</v>
      </c>
      <c r="B112" s="30" t="s">
        <v>504</v>
      </c>
      <c r="C112" s="246" t="s">
        <v>3069</v>
      </c>
      <c r="D112" s="247"/>
      <c r="E112" s="12" t="s">
        <v>2569</v>
      </c>
    </row>
    <row r="113" spans="1:256" ht="64.25" customHeight="1" x14ac:dyDescent="0.15">
      <c r="A113" s="17" t="s">
        <v>241</v>
      </c>
      <c r="B113" s="30" t="s">
        <v>2071</v>
      </c>
      <c r="C113" s="217" t="s">
        <v>17</v>
      </c>
      <c r="D113" s="218" t="s">
        <v>3115</v>
      </c>
      <c r="E113" s="106" t="str">
        <f>IF(C113="","",IF(C113="Yes","State how and when the Institution will be notified of major changes to your environment.","Describe plans to establish a notification mechanism for major environmental changes."))</f>
        <v>State how and when the Institution will be notified of major changes to your environment.</v>
      </c>
    </row>
    <row r="114" spans="1:256" ht="64.25" customHeight="1" x14ac:dyDescent="0.15">
      <c r="A114" s="17" t="s">
        <v>242</v>
      </c>
      <c r="B114" s="30" t="s">
        <v>98</v>
      </c>
      <c r="C114" s="217" t="s">
        <v>20</v>
      </c>
      <c r="D114" s="218" t="s">
        <v>3116</v>
      </c>
      <c r="E114" s="12" t="str">
        <f>IF(C114="","",IF(C114="Yes","Provide reference the the process/procedure to manage releases.","Summarize why clients do not have alternative release option."))</f>
        <v>Summarize why clients do not have alternative release option.</v>
      </c>
    </row>
    <row r="115" spans="1:256" ht="64.25" customHeight="1" x14ac:dyDescent="0.15">
      <c r="A115" s="17" t="s">
        <v>243</v>
      </c>
      <c r="B115" s="30" t="s">
        <v>450</v>
      </c>
      <c r="C115" s="246" t="s">
        <v>3070</v>
      </c>
      <c r="D115" s="247"/>
      <c r="E115" s="12" t="s">
        <v>2570</v>
      </c>
    </row>
    <row r="116" spans="1:256" ht="64.25" customHeight="1" x14ac:dyDescent="0.15">
      <c r="A116" s="17" t="s">
        <v>244</v>
      </c>
      <c r="B116" s="30" t="s">
        <v>112</v>
      </c>
      <c r="C116" s="246" t="s">
        <v>3071</v>
      </c>
      <c r="D116" s="247"/>
      <c r="E116" s="12" t="s">
        <v>2571</v>
      </c>
    </row>
    <row r="117" spans="1:256" ht="64.25" customHeight="1" x14ac:dyDescent="0.15">
      <c r="A117" s="17" t="s">
        <v>245</v>
      </c>
      <c r="B117" s="30" t="s">
        <v>2072</v>
      </c>
      <c r="C117" s="217" t="s">
        <v>17</v>
      </c>
      <c r="D117" s="218" t="s">
        <v>3117</v>
      </c>
      <c r="E117" s="12" t="str">
        <f>IF(C117="","",IF(C117="Yes","Describe how this is accomplished within your system.","Describe any business or technical reasons why customizations are not supported."))</f>
        <v>Describe how this is accomplished within your system.</v>
      </c>
    </row>
    <row r="118" spans="1:256" ht="64.25" customHeight="1" x14ac:dyDescent="0.15">
      <c r="A118" s="17" t="s">
        <v>246</v>
      </c>
      <c r="B118" s="30" t="s">
        <v>2076</v>
      </c>
      <c r="C118" s="217" t="s">
        <v>17</v>
      </c>
      <c r="D118" s="218" t="s">
        <v>3118</v>
      </c>
      <c r="E118" s="12" t="str">
        <f>IF(C118="","",IF(C118="Yes","Describe how this is accomplished within your environment.","Describe your plans to ensure that only application software verifiable as authorized, tested, and approved for production, is placed into production."))</f>
        <v>Describe how this is accomplished within your environment.</v>
      </c>
    </row>
    <row r="119" spans="1:256" ht="64.25" customHeight="1" x14ac:dyDescent="0.15">
      <c r="A119" s="17" t="s">
        <v>247</v>
      </c>
      <c r="B119" s="30" t="s">
        <v>2077</v>
      </c>
      <c r="C119" s="217" t="s">
        <v>17</v>
      </c>
      <c r="D119" s="218" t="s">
        <v>3119</v>
      </c>
      <c r="E119" s="12" t="str">
        <f>IF(C119="","",IF(C119="Yes","Provide a reference to this product's release schedule.","State any plans to release a schedule of product updates."))</f>
        <v>Provide a reference to this product's release schedule.</v>
      </c>
    </row>
    <row r="120" spans="1:256" ht="64.25" customHeight="1" x14ac:dyDescent="0.15">
      <c r="A120" s="17" t="s">
        <v>248</v>
      </c>
      <c r="B120" s="30" t="s">
        <v>2078</v>
      </c>
      <c r="C120" s="217" t="s">
        <v>17</v>
      </c>
      <c r="D120" s="218" t="s">
        <v>3120</v>
      </c>
      <c r="E120" s="12" t="str">
        <f>IF(C120="","",IF(C120="Yes","Provide a reference to your technology roadmap.","State any plans to release a technology roadmap covering the next two years."))</f>
        <v>Provide a reference to your technology roadmap.</v>
      </c>
    </row>
    <row r="121" spans="1:256" ht="64.25" customHeight="1" x14ac:dyDescent="0.15">
      <c r="A121" s="17" t="s">
        <v>249</v>
      </c>
      <c r="B121" s="30" t="s">
        <v>2079</v>
      </c>
      <c r="C121" s="217" t="s">
        <v>20</v>
      </c>
      <c r="D121" s="218" t="s">
        <v>3121</v>
      </c>
      <c r="E121" s="12" t="str">
        <f>IF(C121="","",IF(C121="Yes","Summarize the Institution's responsibilities during product updates.",""))</f>
        <v/>
      </c>
    </row>
    <row r="122" spans="1:256" ht="64.25" customHeight="1" x14ac:dyDescent="0.15">
      <c r="A122" s="17" t="s">
        <v>250</v>
      </c>
      <c r="B122" s="30" t="s">
        <v>2080</v>
      </c>
      <c r="C122" s="217" t="s">
        <v>17</v>
      </c>
      <c r="D122" s="218" t="s">
        <v>3122</v>
      </c>
      <c r="E122" s="12" t="str">
        <f>IF(C122="","",IF(C122="Yes","Summarize the policy and procedure(s) managing how critical patches are applied to systems and applications.","State your plans to implement policy and procedure(s) to manage how critical patches are applied to systems and applications."))</f>
        <v>Summarize the policy and procedure(s) managing how critical patches are applied to systems and applications.</v>
      </c>
    </row>
    <row r="123" spans="1:256" ht="64.25" customHeight="1" x14ac:dyDescent="0.15">
      <c r="A123" s="17" t="s">
        <v>251</v>
      </c>
      <c r="B123" s="30" t="s">
        <v>2081</v>
      </c>
      <c r="C123" s="217" t="s">
        <v>20</v>
      </c>
      <c r="D123" s="218" t="s">
        <v>3123</v>
      </c>
      <c r="E123" s="12" t="str">
        <f>IF(C123="","",IF(C123="Yes","Summarize the policy and procedure(s) guiding risk mitigation practices before critical patches can be applied.","State your plans to implement policy and procedure(s) guiding risk mitigation practices before critical patches can be applied."))</f>
        <v>State your plans to implement policy and procedure(s) guiding risk mitigation practices before critical patches can be applied.</v>
      </c>
    </row>
    <row r="124" spans="1:256" ht="48" customHeight="1" x14ac:dyDescent="0.15">
      <c r="A124" s="17" t="s">
        <v>252</v>
      </c>
      <c r="B124" s="30" t="s">
        <v>102</v>
      </c>
      <c r="C124" s="217" t="s">
        <v>17</v>
      </c>
      <c r="D124" s="218" t="s">
        <v>3124</v>
      </c>
      <c r="E124" s="12" t="str">
        <f>IF(C124="","",IF(C124="Yes","Define current off-peak hours.","Decribe plans to minimize the impact of downtime based on predefined off-peak hours."))</f>
        <v>Define current off-peak hours.</v>
      </c>
    </row>
    <row r="125" spans="1:256" ht="48" customHeight="1" x14ac:dyDescent="0.15">
      <c r="A125" s="17" t="s">
        <v>253</v>
      </c>
      <c r="B125" s="30" t="s">
        <v>103</v>
      </c>
      <c r="C125" s="217" t="s">
        <v>17</v>
      </c>
      <c r="D125" s="218" t="s">
        <v>3125</v>
      </c>
      <c r="E125" s="12" t="str">
        <f>IF(C125="","",IF(C125="Yes","Summarize implemented procedures ensuring that emergency changes are documented and authorized.","Describe plans to implement procedure ensuring that emergency changes are documented and authorized."))</f>
        <v>Summarize implemented procedures ensuring that emergency changes are documented and authorized.</v>
      </c>
    </row>
    <row r="126" spans="1:256" ht="36" customHeight="1" x14ac:dyDescent="0.2">
      <c r="A126" s="248" t="str">
        <f>IF($C$30="","Data",IF($C$30="Yes","Data - Optional based on QUALIFIER response.","Data"))</f>
        <v>Data</v>
      </c>
      <c r="B126" s="248"/>
      <c r="C126" s="25" t="s">
        <v>13</v>
      </c>
      <c r="D126" s="25" t="s">
        <v>14</v>
      </c>
      <c r="E126" s="9" t="s">
        <v>15</v>
      </c>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ht="48" customHeight="1" x14ac:dyDescent="0.2">
      <c r="A127" s="17" t="s">
        <v>254</v>
      </c>
      <c r="B127" s="30" t="s">
        <v>2082</v>
      </c>
      <c r="C127" s="217" t="s">
        <v>17</v>
      </c>
      <c r="D127" s="222" t="s">
        <v>3126</v>
      </c>
      <c r="E127" s="12" t="str">
        <f>IF(C127="","",IF(C127="Yes","Describe or provide a reference to how institution data is physically and logically separated from that of other customers.","Describe your plan to physically and logically separate Institution's data from other customers."))</f>
        <v>Describe or provide a reference to how institution data is physically and logically separated from that of other customers.</v>
      </c>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48" customHeight="1" x14ac:dyDescent="0.2">
      <c r="A128" s="17" t="s">
        <v>255</v>
      </c>
      <c r="B128" s="30" t="s">
        <v>544</v>
      </c>
      <c r="C128" s="217" t="s">
        <v>20</v>
      </c>
      <c r="D128" s="222" t="s">
        <v>3127</v>
      </c>
      <c r="E128" s="12" t="str">
        <f>IF(C128="","",IF(C128="Yes","State the need for this strategy, in detail.",""))</f>
        <v/>
      </c>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48" customHeight="1" x14ac:dyDescent="0.2">
      <c r="A129" s="17" t="s">
        <v>256</v>
      </c>
      <c r="B129" s="30" t="s">
        <v>2575</v>
      </c>
      <c r="C129" s="217" t="s">
        <v>17</v>
      </c>
      <c r="D129" s="222" t="s">
        <v>3128</v>
      </c>
      <c r="E129" s="12" t="str">
        <f>IF(C129="","",IF(C129="Yes","Summarize your transport encryption strategy.","Decribe why sensitive data in not encrypted in transport."))</f>
        <v>Summarize your transport encryption strategy.</v>
      </c>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48" customHeight="1" x14ac:dyDescent="0.2">
      <c r="A130" s="17" t="s">
        <v>257</v>
      </c>
      <c r="B130" s="30" t="s">
        <v>473</v>
      </c>
      <c r="C130" s="217" t="s">
        <v>17</v>
      </c>
      <c r="D130" s="222" t="s">
        <v>3129</v>
      </c>
      <c r="E130" s="12" t="str">
        <f>IF(C130="","",IF(C130="Yes","Summarize your data encryption strategy.","Decribe why sensitive data in not encrypted in storage."))</f>
        <v>Summarize your data encryption strategy.</v>
      </c>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48" customHeight="1" x14ac:dyDescent="0.2">
      <c r="A131" s="17" t="s">
        <v>258</v>
      </c>
      <c r="B131" s="30" t="s">
        <v>452</v>
      </c>
      <c r="C131" s="217" t="s">
        <v>20</v>
      </c>
      <c r="D131" s="222" t="s">
        <v>3130</v>
      </c>
      <c r="E131" s="12" t="str">
        <f>IF(C131="","",IF(C131="Yes","Provide a detailed description of all non-conforming modules.",""))</f>
        <v/>
      </c>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65" customHeight="1" x14ac:dyDescent="0.2">
      <c r="A132" s="17" t="s">
        <v>259</v>
      </c>
      <c r="B132" s="30" t="s">
        <v>2576</v>
      </c>
      <c r="C132" s="217" t="s">
        <v>17</v>
      </c>
      <c r="D132" s="222" t="s">
        <v>3131</v>
      </c>
      <c r="E132" s="12" t="str">
        <f>IF(C132="","","Include all types of encryption; remote-access, application/database, end-user-to-system, etc.")</f>
        <v>Include all types of encryption; remote-access, application/database, end-user-to-system, etc.</v>
      </c>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ht="60" customHeight="1" x14ac:dyDescent="0.2">
      <c r="A133" s="17" t="s">
        <v>260</v>
      </c>
      <c r="B133" s="30" t="s">
        <v>521</v>
      </c>
      <c r="C133" s="260" t="s">
        <v>2105</v>
      </c>
      <c r="D133" s="261"/>
      <c r="E133" s="12" t="s">
        <v>2572</v>
      </c>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ht="48" customHeight="1" x14ac:dyDescent="0.2">
      <c r="A134" s="17" t="s">
        <v>261</v>
      </c>
      <c r="B134" s="30" t="s">
        <v>522</v>
      </c>
      <c r="C134" s="217" t="s">
        <v>17</v>
      </c>
      <c r="D134" s="222" t="s">
        <v>3132</v>
      </c>
      <c r="E134" s="12" t="str">
        <f>IF(C134="","",IF(C134="Yes","Describe how data will be returned to the institution and in what format will it be presented.","Summarize why the institution's data won't be returned."))</f>
        <v>Describe how data will be returned to the institution and in what format will it be presented.</v>
      </c>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ht="48" customHeight="1" x14ac:dyDescent="0.2">
      <c r="A135" s="17" t="s">
        <v>262</v>
      </c>
      <c r="B135" s="30" t="s">
        <v>2577</v>
      </c>
      <c r="C135" s="217" t="s">
        <v>17</v>
      </c>
      <c r="D135" s="222" t="s">
        <v>3133</v>
      </c>
      <c r="E135" s="12" t="str">
        <f>IF(C135="","",IF(C135="Yes","State the length of time that Institution's data will be available in the system at the completion of the contract.","Describe your data export procedures conducted at the termination of contract."))</f>
        <v>State the length of time that Institution's data will be available in the system at the completion of the contract.</v>
      </c>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ht="48" customHeight="1" x14ac:dyDescent="0.2">
      <c r="A136" s="17" t="s">
        <v>263</v>
      </c>
      <c r="B136" s="30" t="s">
        <v>523</v>
      </c>
      <c r="C136" s="217" t="s">
        <v>17</v>
      </c>
      <c r="D136" s="222" t="s">
        <v>3134</v>
      </c>
      <c r="E136" s="12" t="str">
        <f>IF(C136="","",IF(C136="Yes","Describe frequency and procedures for obtaining a full backup of data.","Summarize why the institution cannot extract a full backup of its data."))</f>
        <v>Describe frequency and procedures for obtaining a full backup of data.</v>
      </c>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ht="48" customHeight="1" x14ac:dyDescent="0.2">
      <c r="A137" s="17" t="s">
        <v>264</v>
      </c>
      <c r="B137" s="30" t="s">
        <v>2578</v>
      </c>
      <c r="C137" s="217" t="s">
        <v>17</v>
      </c>
      <c r="D137" s="222" t="s">
        <v>3135</v>
      </c>
      <c r="E137" s="12" t="str">
        <f>IF(C137="","",IF(C137="Yes","Provide reference to your data ownership documention.","Describe in detail why ownership rights are not retained by the institution."))</f>
        <v>Provide reference to your data ownership documention.</v>
      </c>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ht="48" customHeight="1" x14ac:dyDescent="0.2">
      <c r="A138" s="17" t="s">
        <v>265</v>
      </c>
      <c r="B138" s="30" t="s">
        <v>99</v>
      </c>
      <c r="C138" s="217" t="s">
        <v>17</v>
      </c>
      <c r="D138" s="222" t="s">
        <v>3136</v>
      </c>
      <c r="E138" s="12" t="str">
        <f>IF(C138="","",IF(C138="Yes","Provide references, as needed.","Provide a detailed description why rights are not retained."))</f>
        <v>Provide references, as needed.</v>
      </c>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ht="54" customHeight="1" x14ac:dyDescent="0.2">
      <c r="A139" s="17" t="s">
        <v>266</v>
      </c>
      <c r="B139" s="30" t="s">
        <v>100</v>
      </c>
      <c r="C139" s="217" t="s">
        <v>17</v>
      </c>
      <c r="D139" s="222" t="s">
        <v>3137</v>
      </c>
      <c r="E139" s="12" t="str">
        <f>IF(C139="","",IF(C139="Yes","State how the institution will be notified of imminent termination.","Provide a detailed summary to support your selection."))</f>
        <v>State how the institution will be notified of imminent termination.</v>
      </c>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2">
      <c r="A140" s="17" t="s">
        <v>267</v>
      </c>
      <c r="B140" s="30" t="s">
        <v>447</v>
      </c>
      <c r="C140" s="260" t="s">
        <v>2</v>
      </c>
      <c r="D140" s="261"/>
      <c r="E140" s="12" t="s">
        <v>2573</v>
      </c>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2">
      <c r="A141" s="17" t="s">
        <v>268</v>
      </c>
      <c r="B141" s="30" t="s">
        <v>105</v>
      </c>
      <c r="C141" s="217" t="s">
        <v>17</v>
      </c>
      <c r="D141" s="222" t="s">
        <v>3138</v>
      </c>
      <c r="E141" s="12" t="str">
        <f>IF(C141="","",IF(C141="Yes","Summarize your backup scheduling strategy.","Describe plans to implement pre-defined schedules for secure backups."))</f>
        <v>Summarize your backup scheduling strategy.</v>
      </c>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2">
      <c r="A142" s="17" t="s">
        <v>269</v>
      </c>
      <c r="B142" s="30" t="s">
        <v>23</v>
      </c>
      <c r="C142" s="260" t="s">
        <v>3074</v>
      </c>
      <c r="D142" s="261"/>
      <c r="E142" s="12" t="s">
        <v>2574</v>
      </c>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2">
      <c r="A143" s="17" t="s">
        <v>270</v>
      </c>
      <c r="B143" s="30" t="s">
        <v>545</v>
      </c>
      <c r="C143" s="217" t="s">
        <v>17</v>
      </c>
      <c r="D143" s="222" t="s">
        <v>3139</v>
      </c>
      <c r="E143" s="12" t="str">
        <f>IF(C143="","",IF(C143="Yes","Summarize the encryption algorithm/strategy you are using to secure backups.","Summarize why backups are not encrypted."))</f>
        <v>Summarize the encryption algorithm/strategy you are using to secure backups.</v>
      </c>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72" customHeight="1" x14ac:dyDescent="0.2">
      <c r="A144" s="17" t="s">
        <v>271</v>
      </c>
      <c r="B144" s="30" t="s">
        <v>2650</v>
      </c>
      <c r="C144" s="217" t="s">
        <v>17</v>
      </c>
      <c r="D144" s="223" t="s">
        <v>3140</v>
      </c>
      <c r="E144" s="12" t="str">
        <f>IF(C144="","",IF(C144="Yes","Summarize your cryptographic key management process.","Provide a brief summary supporting your response."))</f>
        <v>Summarize your cryptographic key management process.</v>
      </c>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48" customHeight="1" x14ac:dyDescent="0.2">
      <c r="A145" s="17" t="s">
        <v>272</v>
      </c>
      <c r="B145" s="30" t="s">
        <v>546</v>
      </c>
      <c r="C145" s="217" t="s">
        <v>17</v>
      </c>
      <c r="D145" s="222" t="s">
        <v>3141</v>
      </c>
      <c r="E145" s="12" t="str">
        <f>IF(C145="","",IF(C145="Yes","Decribe your overall strategy to accomplish these elements.","State plans to include the elements listed in DATA-20 in your backup strategy."))</f>
        <v>Decribe your overall strategy to accomplish these elements.</v>
      </c>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48" customHeight="1" x14ac:dyDescent="0.2">
      <c r="A146" s="17" t="s">
        <v>273</v>
      </c>
      <c r="B146" s="30" t="s">
        <v>2579</v>
      </c>
      <c r="C146" s="217" t="s">
        <v>17</v>
      </c>
      <c r="D146" s="222" t="s">
        <v>3142</v>
      </c>
      <c r="E146" s="12" t="str">
        <f>IF(C146="","",IF(C146="Yes","Summarize your off site backup strategy.","State any plans to implement off site physical backups in your environment."))</f>
        <v>Summarize your off site backup strategy.</v>
      </c>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2">
      <c r="A147" s="17" t="s">
        <v>274</v>
      </c>
      <c r="B147" s="30" t="s">
        <v>547</v>
      </c>
      <c r="C147" s="217" t="s">
        <v>20</v>
      </c>
      <c r="D147" s="222" t="s">
        <v>3143</v>
      </c>
      <c r="E147" s="12" t="str">
        <f>IF(C147="","",IF(C147="Yes","Provide the distance (in miles) between the primary and off-site locations.","State any plans to implement off site physical backups in your environment."))</f>
        <v>State any plans to implement off site physical backups in your environment.</v>
      </c>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2">
      <c r="A148" s="17" t="s">
        <v>275</v>
      </c>
      <c r="B148" s="30" t="s">
        <v>2635</v>
      </c>
      <c r="C148" s="217" t="s">
        <v>20</v>
      </c>
      <c r="D148" s="222" t="s">
        <v>3144</v>
      </c>
      <c r="E148" s="12" t="str">
        <f>IF(C148="","",IF(C148="Yes","Summarize why backups containing the Institution's data leave the Institution's data zone.",""))</f>
        <v/>
      </c>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73.25" customHeight="1" x14ac:dyDescent="0.2">
      <c r="A149" s="17" t="s">
        <v>276</v>
      </c>
      <c r="B149" s="30" t="s">
        <v>2649</v>
      </c>
      <c r="C149" s="217" t="s">
        <v>17</v>
      </c>
      <c r="D149" s="224" t="s">
        <v>3145</v>
      </c>
      <c r="E149" s="163" t="str">
        <f>IF(C149="","",IF(C149="Yes","Provide details of these procedures (link or attached).","Provide a detailed summary for this response."))</f>
        <v>Provide details of these procedures (link or attached).</v>
      </c>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2">
      <c r="A150" s="17" t="s">
        <v>277</v>
      </c>
      <c r="B150" s="30" t="s">
        <v>2657</v>
      </c>
      <c r="C150" s="217" t="s">
        <v>17</v>
      </c>
      <c r="D150" s="222" t="s">
        <v>3146</v>
      </c>
      <c r="E150" s="12" t="str">
        <f>IF(C150="","",IF(C150="Yes","","State plans to adhere to DoD 5220.22-M and/or NIST SP 800-88 standards."))</f>
        <v/>
      </c>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2">
      <c r="A151" s="17" t="s">
        <v>278</v>
      </c>
      <c r="B151" s="30" t="s">
        <v>107</v>
      </c>
      <c r="C151" s="217" t="s">
        <v>17</v>
      </c>
      <c r="D151" s="222" t="s">
        <v>3147</v>
      </c>
      <c r="E151" s="12" t="str">
        <f>IF(C151="","",IF(C151="Yes","Provide a general summary of your long-term data retention strategy.","State plans to implement a long-term data retention strategy."))</f>
        <v>Provide a general summary of your long-term data retention strategy.</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2">
      <c r="A152" s="17" t="s">
        <v>279</v>
      </c>
      <c r="B152" s="30" t="s">
        <v>106</v>
      </c>
      <c r="C152" s="217" t="s">
        <v>17</v>
      </c>
      <c r="D152" s="222" t="s">
        <v>3148</v>
      </c>
      <c r="E152" s="12" t="str">
        <f>IF(C152="","",IF(C152="Yes","Provide a general summary of your archival environment.","State plans to store long-term media in environmentally protected areas."))</f>
        <v>Provide a general summary of your archival environment.</v>
      </c>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2">
      <c r="A153" s="17" t="s">
        <v>280</v>
      </c>
      <c r="B153" s="30" t="s">
        <v>24</v>
      </c>
      <c r="C153" s="217" t="s">
        <v>17</v>
      </c>
      <c r="D153" s="222" t="s">
        <v>3149</v>
      </c>
      <c r="E153" s="12" t="str">
        <f>IF(C153="","",IF(C153="Yes","Describe how FERPA compliance is integrated into your process and procedures.","State plans to handle data in a FERPA compliant manner."))</f>
        <v>Describe how FERPA compliance is integrated into your process and procedures.</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2">
      <c r="A154" s="17" t="s">
        <v>281</v>
      </c>
      <c r="B154" s="30" t="s">
        <v>524</v>
      </c>
      <c r="C154" s="217" t="s">
        <v>17</v>
      </c>
      <c r="D154" s="221" t="s">
        <v>3150</v>
      </c>
      <c r="E154" s="12" t="str">
        <f>IF(C154="","",IF(C154="Yes","Summarize why the Institution's data is visible in system adminitration modules/tools.",""))</f>
        <v>Summarize why the Institution's data is visible in system adminitration modules/tools.</v>
      </c>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36" customHeight="1" x14ac:dyDescent="0.2">
      <c r="A155" s="248" t="str">
        <f>IF($C$30="","Database",IF($C$30="Yes","Database - Optional based on QUALIFIER response.","Database"))</f>
        <v>Database</v>
      </c>
      <c r="B155" s="248"/>
      <c r="C155" s="25" t="s">
        <v>13</v>
      </c>
      <c r="D155" s="25" t="s">
        <v>14</v>
      </c>
      <c r="E155" s="9" t="s">
        <v>15</v>
      </c>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2">
      <c r="A156" s="17" t="s">
        <v>282</v>
      </c>
      <c r="B156" s="30" t="s">
        <v>25</v>
      </c>
      <c r="C156" s="217" t="s">
        <v>17</v>
      </c>
      <c r="D156" s="222" t="s">
        <v>3151</v>
      </c>
      <c r="E156" s="12" t="str">
        <f>IF(C156="","",IF(C156="Yes","Describe the type of encryption that is supported.","State plans to support database encryption (in storage) of specified data elements."))</f>
        <v>Describe the type of encryption that is supported.</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2">
      <c r="A157" s="17" t="s">
        <v>283</v>
      </c>
      <c r="B157" s="30" t="s">
        <v>559</v>
      </c>
      <c r="C157" s="217" t="s">
        <v>17</v>
      </c>
      <c r="D157" s="221" t="s">
        <v>3152</v>
      </c>
      <c r="E157" s="12" t="str">
        <f>IF(C157="","",IF(C157="Yes","Describe how encryption is leveraged in your database(s).","Describe plans to implement encryption in your database(s)"))</f>
        <v>Describe how encryption is leveraged in your database(s).</v>
      </c>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36" customHeight="1" x14ac:dyDescent="0.2">
      <c r="A158" s="248" t="str">
        <f>IF($C$30="","Datacenter",IF($C$30="Yes","Datacenter - Optional based on QUALIFIER response.","Datacenter"))</f>
        <v>Datacenter</v>
      </c>
      <c r="B158" s="248"/>
      <c r="C158" s="25" t="s">
        <v>13</v>
      </c>
      <c r="D158" s="25" t="s">
        <v>14</v>
      </c>
      <c r="E158" s="9" t="s">
        <v>15</v>
      </c>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9.25" customHeight="1" x14ac:dyDescent="0.2">
      <c r="A159" s="17" t="s">
        <v>284</v>
      </c>
      <c r="B159" s="30" t="s">
        <v>548</v>
      </c>
      <c r="C159" s="217" t="s">
        <v>20</v>
      </c>
      <c r="D159" s="221" t="s">
        <v>3153</v>
      </c>
      <c r="E159" s="12" t="str">
        <f>IF(C159="","",IF(C159="Yes","Provide a brief summary of your data center.","Provide a detailed description of where the Institution's data will reside."))</f>
        <v>Provide a detailed description of where the Institution's data will reside.</v>
      </c>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2">
      <c r="A160" s="17" t="s">
        <v>285</v>
      </c>
      <c r="B160" s="30" t="s">
        <v>505</v>
      </c>
      <c r="C160" s="217" t="s">
        <v>17</v>
      </c>
      <c r="D160" s="221" t="s">
        <v>3154</v>
      </c>
      <c r="E160" s="12" t="str">
        <f>IF(C160="","",IF(C160="Yes","Obtain the report if possible and add it to your submission.",""))</f>
        <v>Obtain the report if possible and add it to your submission.</v>
      </c>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2">
      <c r="A161" s="17" t="s">
        <v>286</v>
      </c>
      <c r="B161" s="30" t="s">
        <v>2998</v>
      </c>
      <c r="C161" s="217" t="s">
        <v>17</v>
      </c>
      <c r="D161" s="221" t="s">
        <v>3155</v>
      </c>
      <c r="E161" s="12" t="str">
        <f>IF(C161="","",IF(C161="Yes","Describe the on-site staff capabilities.","State any plans to staff data centers 24x7x365."))</f>
        <v>Describe the on-site staff capabilities.</v>
      </c>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7" customHeight="1" x14ac:dyDescent="0.2">
      <c r="A162" s="17" t="s">
        <v>287</v>
      </c>
      <c r="B162" s="30" t="s">
        <v>26</v>
      </c>
      <c r="C162" s="217" t="s">
        <v>20</v>
      </c>
      <c r="D162" s="221" t="s">
        <v>3156</v>
      </c>
      <c r="E162" s="12" t="str">
        <f>IF(C162="","",IF(C162="Yes","Provide a brief summary of this arrangement.",""))</f>
        <v/>
      </c>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7" customHeight="1" x14ac:dyDescent="0.2">
      <c r="A163" s="17" t="s">
        <v>288</v>
      </c>
      <c r="B163" s="30" t="s">
        <v>27</v>
      </c>
      <c r="C163" s="14"/>
      <c r="D163" s="15"/>
      <c r="E163" s="12" t="str">
        <f>IF(C163="","",IF(C163="Yes","Describe your physical barrier strategy.","State plans to separate your servers for others via a physical barrier."))</f>
        <v/>
      </c>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2">
      <c r="A164" s="17" t="s">
        <v>289</v>
      </c>
      <c r="B164" s="30" t="s">
        <v>2651</v>
      </c>
      <c r="C164" s="14"/>
      <c r="D164" s="15"/>
      <c r="E164" s="12" t="str">
        <f>IF(C164="","",IF(C164="Yes","Elaborate on your DCTR-05 response, as needed.","State plans to implement a physical barrier to prevent physical contact with any of your devices."))</f>
        <v/>
      </c>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7" customHeight="1" x14ac:dyDescent="0.2">
      <c r="A165" s="17" t="s">
        <v>290</v>
      </c>
      <c r="B165" s="30" t="s">
        <v>29</v>
      </c>
      <c r="C165" s="217" t="s">
        <v>91</v>
      </c>
      <c r="D165" s="221" t="s">
        <v>3157</v>
      </c>
      <c r="E165" s="12" t="s">
        <v>2580</v>
      </c>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2">
      <c r="A166" s="17" t="s">
        <v>291</v>
      </c>
      <c r="B166" s="30" t="s">
        <v>2096</v>
      </c>
      <c r="C166" s="217" t="s">
        <v>20</v>
      </c>
      <c r="D166" s="221" t="s">
        <v>3158</v>
      </c>
      <c r="E166" s="12" t="str">
        <f>IF(C166="","",IF(C166="Yes","State the location of the data center and summarize the strategy for this implementation.",""))</f>
        <v/>
      </c>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2">
      <c r="A167" s="17" t="s">
        <v>292</v>
      </c>
      <c r="B167" s="30" t="s">
        <v>2610</v>
      </c>
      <c r="C167" s="217" t="s">
        <v>20</v>
      </c>
      <c r="D167" s="221" t="s">
        <v>3159</v>
      </c>
      <c r="E167" s="12" t="str">
        <f>IF(C167="","",IF(C167="Yes","Summarize the strategy for removing Institution's data from its Data Zone.",""))</f>
        <v/>
      </c>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64.25" customHeight="1" x14ac:dyDescent="0.2">
      <c r="A168" s="17" t="s">
        <v>293</v>
      </c>
      <c r="B168" s="30" t="s">
        <v>2637</v>
      </c>
      <c r="C168" s="247"/>
      <c r="D168" s="247"/>
      <c r="E168" s="12" t="s">
        <v>2581</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54" customHeight="1" x14ac:dyDescent="0.2">
      <c r="A169" s="17" t="s">
        <v>294</v>
      </c>
      <c r="B169" s="30" t="s">
        <v>28</v>
      </c>
      <c r="C169" s="217" t="s">
        <v>17</v>
      </c>
      <c r="D169" s="221" t="s">
        <v>3160</v>
      </c>
      <c r="E169" s="12" t="str">
        <f>IF(C169="","",IF(C169="Yes","State your primary and secondary data center locations. For cloud infrastructures, state the primary and secondary zones.","Decribe any plans to implement a geographically diverse infrastructure."))</f>
        <v>State your primary and secondary data center locations. For cloud infrastructures, state the primary and secondary zones.</v>
      </c>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2">
      <c r="A170" s="17" t="s">
        <v>295</v>
      </c>
      <c r="B170" s="30" t="s">
        <v>2611</v>
      </c>
      <c r="C170" s="217" t="s">
        <v>17</v>
      </c>
      <c r="D170" s="221" t="s">
        <v>3161</v>
      </c>
      <c r="E170" s="12" t="str">
        <f>IF(C170="","",IF(C170="Yes","Summarize details of the contract, where applicable.","State any plans to implement data location elements in future contracts."))</f>
        <v>Summarize details of the contract, where applicable.</v>
      </c>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64.25" customHeight="1" x14ac:dyDescent="0.2">
      <c r="A171" s="17" t="s">
        <v>296</v>
      </c>
      <c r="B171" s="30" t="s">
        <v>104</v>
      </c>
      <c r="C171" s="217" t="s">
        <v>499</v>
      </c>
      <c r="D171" s="223" t="s">
        <v>3162</v>
      </c>
      <c r="E171" s="12" t="s">
        <v>2582</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3" customFormat="1" ht="48" customHeight="1" x14ac:dyDescent="0.2">
      <c r="A172" s="17" t="s">
        <v>297</v>
      </c>
      <c r="B172" s="30" t="s">
        <v>467</v>
      </c>
      <c r="C172" s="217" t="s">
        <v>17</v>
      </c>
      <c r="D172" s="221" t="s">
        <v>3163</v>
      </c>
      <c r="E172" s="12" t="str">
        <f>IF(C172="","",IF(C172="Yes","Provide a summary to support your response selection.","Describe any plans to implement a high availability environment for your systems."))</f>
        <v>Provide a summary to support your response selection.</v>
      </c>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c r="IF172" s="6"/>
      <c r="IG172" s="6"/>
      <c r="IH172" s="6"/>
      <c r="II172" s="6"/>
      <c r="IJ172" s="6"/>
      <c r="IK172" s="6"/>
      <c r="IL172" s="6"/>
      <c r="IM172" s="6"/>
      <c r="IN172" s="6"/>
      <c r="IO172" s="6"/>
      <c r="IP172" s="6"/>
      <c r="IQ172" s="6"/>
      <c r="IR172" s="6"/>
      <c r="IS172" s="6"/>
      <c r="IT172" s="6"/>
      <c r="IU172" s="6"/>
      <c r="IV172" s="6"/>
    </row>
    <row r="173" spans="1:256" ht="48" customHeight="1" x14ac:dyDescent="0.2">
      <c r="A173" s="17" t="s">
        <v>298</v>
      </c>
      <c r="B173" s="30" t="s">
        <v>525</v>
      </c>
      <c r="C173" s="217" t="s">
        <v>17</v>
      </c>
      <c r="D173" s="221" t="s">
        <v>3164</v>
      </c>
      <c r="E173" s="12" t="str">
        <f>IF(C173="","",IF(C173="Yes","Provide a detailed description of the implemented strategy. (i.e. batteries, generator)","Provide a brief description."))</f>
        <v>Provide a detailed description of the implemented strategy. (i.e. batteries, generator)</v>
      </c>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8" customHeight="1" x14ac:dyDescent="0.2">
      <c r="A174" s="17" t="s">
        <v>299</v>
      </c>
      <c r="B174" s="30" t="s">
        <v>2584</v>
      </c>
      <c r="C174" s="217" t="s">
        <v>17</v>
      </c>
      <c r="D174" s="221" t="s">
        <v>3165</v>
      </c>
      <c r="E174" s="12" t="str">
        <f>IF(C174="","",IF(C174="Yes","State how often redundant power strategies are tested and the date of the last successful test.","State plans to implement redundant power testing for your systems."))</f>
        <v>State how often redundant power strategies are tested and the date of the last successful test.</v>
      </c>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48" customHeight="1" x14ac:dyDescent="0.2">
      <c r="A175" s="17" t="s">
        <v>300</v>
      </c>
      <c r="B175" s="30" t="s">
        <v>526</v>
      </c>
      <c r="C175" s="246" t="s">
        <v>3076</v>
      </c>
      <c r="D175" s="247"/>
      <c r="E175" s="12" t="s">
        <v>2583</v>
      </c>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2">
      <c r="A176" s="17" t="s">
        <v>301</v>
      </c>
      <c r="B176" s="30" t="s">
        <v>549</v>
      </c>
      <c r="C176" s="246" t="s">
        <v>3077</v>
      </c>
      <c r="D176" s="247"/>
      <c r="E176" s="12" t="s">
        <v>2627</v>
      </c>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2">
      <c r="A177" s="17" t="s">
        <v>302</v>
      </c>
      <c r="B177" s="30" t="s">
        <v>550</v>
      </c>
      <c r="C177" s="217" t="s">
        <v>17</v>
      </c>
      <c r="D177" s="221" t="s">
        <v>3077</v>
      </c>
      <c r="E177" s="12" t="str">
        <f>IF(C177="","",IF(C177="Yes","Provide a brief description for each datacenter.","State plans to implement diversity of path in your network provider connections."))</f>
        <v>Provide a brief description for each datacenter.</v>
      </c>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36" customHeight="1" x14ac:dyDescent="0.2">
      <c r="A178" s="248" t="str">
        <f>IF(OR($C$28="No",$C$30="Yes"),"DRP - Respond to as many questions below as possible.","Disaster Recovery Plan")</f>
        <v>Disaster Recovery Plan</v>
      </c>
      <c r="B178" s="248"/>
      <c r="C178" s="25" t="s">
        <v>13</v>
      </c>
      <c r="D178" s="25" t="s">
        <v>14</v>
      </c>
      <c r="E178" s="9" t="s">
        <v>15</v>
      </c>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48" customHeight="1" x14ac:dyDescent="0.2">
      <c r="A179" s="17" t="s">
        <v>303</v>
      </c>
      <c r="B179" s="30" t="s">
        <v>551</v>
      </c>
      <c r="C179" s="246" t="s">
        <v>3078</v>
      </c>
      <c r="D179" s="247"/>
      <c r="E179" s="12" t="s">
        <v>2586</v>
      </c>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47" customHeight="1" x14ac:dyDescent="0.2">
      <c r="A180" s="17" t="s">
        <v>304</v>
      </c>
      <c r="B180" s="30" t="s">
        <v>552</v>
      </c>
      <c r="C180" s="217" t="s">
        <v>17</v>
      </c>
      <c r="D180" s="221" t="s">
        <v>3105</v>
      </c>
      <c r="E180" s="12" t="str">
        <f>IF(C180="","",IF(C180="Yes","State the responsible owner, or position title.","State plans to assign an owner responsible of the maintenance and review of the DRP."))</f>
        <v>State the responsible owner, or position title.</v>
      </c>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47" customHeight="1" x14ac:dyDescent="0.2">
      <c r="A181" s="17" t="s">
        <v>305</v>
      </c>
      <c r="B181" s="30" t="s">
        <v>2585</v>
      </c>
      <c r="C181" s="217" t="s">
        <v>17</v>
      </c>
      <c r="D181" s="221" t="s">
        <v>3166</v>
      </c>
      <c r="E181" s="12" t="str">
        <f>IF(C181="","",IF(C181="Yes","Provide DRP with your submission of this fully-populated HECVAT.",""))</f>
        <v>Provide DRP with your submission of this fully-populated HECVAT.</v>
      </c>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ht="47" customHeight="1" x14ac:dyDescent="0.2">
      <c r="A182" s="17" t="s">
        <v>306</v>
      </c>
      <c r="B182" s="30" t="s">
        <v>2612</v>
      </c>
      <c r="C182" s="217" t="s">
        <v>20</v>
      </c>
      <c r="D182" s="221" t="s">
        <v>3167</v>
      </c>
      <c r="E182" s="12" t="str">
        <f>IF(C182="","",IF(C182="Yes","List all locations outside of the U.S. and provide a brief summary of each.",""))</f>
        <v/>
      </c>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7" customHeight="1" x14ac:dyDescent="0.2">
      <c r="A183" s="17" t="s">
        <v>307</v>
      </c>
      <c r="B183" s="30" t="s">
        <v>2588</v>
      </c>
      <c r="C183" s="217" t="s">
        <v>17</v>
      </c>
      <c r="D183" s="221" t="s">
        <v>3168</v>
      </c>
      <c r="E183" s="12" t="str">
        <f>IF(C183="","",IF(C183="Yes","Summarize your disaster recovery strategy including the type of availability your disaster recovery site provides.","Describe your recovery plans if your primary location is unavailable."))</f>
        <v>Summarize your disaster recovery strategy including the type of availability your disaster recovery site provides.</v>
      </c>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 customHeight="1" x14ac:dyDescent="0.2">
      <c r="A184" s="17" t="s">
        <v>308</v>
      </c>
      <c r="B184" s="30" t="s">
        <v>118</v>
      </c>
      <c r="C184" s="217" t="s">
        <v>17</v>
      </c>
      <c r="D184" s="221" t="s">
        <v>3112</v>
      </c>
      <c r="E184" s="12" t="str">
        <f>IF(C184="","",IF(C184="Yes","Summarize your disaster recovery relocation testing strategy.","State plans to implement disaster recovery relocation testing."))</f>
        <v>Summarize your disaster recovery relocation testing strategy.</v>
      </c>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2">
      <c r="A185" s="17" t="s">
        <v>309</v>
      </c>
      <c r="B185" s="30" t="s">
        <v>121</v>
      </c>
      <c r="C185" s="217" t="s">
        <v>17</v>
      </c>
      <c r="D185" s="221" t="s">
        <v>3169</v>
      </c>
      <c r="E185" s="12" t="str">
        <f>IF(C185="","",IF(C185="Yes","Summarize your problem/issue escalation plan.","Describe your plans to implement a problem/issue escalation plan in your DRP."))</f>
        <v>Summarize your problem/issue escalation plan.</v>
      </c>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2">
      <c r="A186" s="17" t="s">
        <v>310</v>
      </c>
      <c r="B186" s="30" t="s">
        <v>120</v>
      </c>
      <c r="C186" s="217" t="s">
        <v>17</v>
      </c>
      <c r="D186" s="221" t="s">
        <v>3170</v>
      </c>
      <c r="E186" s="12" t="str">
        <f>IF(C186="","",IF(C186="Yes","Summarize your documented communication plan in your DRP.","Describe your plans to implement a documented communication plan in your DRP."))</f>
        <v>Summarize your documented communication plan in your DRP.</v>
      </c>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2">
      <c r="A187" s="17" t="s">
        <v>311</v>
      </c>
      <c r="B187" s="30" t="s">
        <v>506</v>
      </c>
      <c r="C187" s="246" t="s">
        <v>3079</v>
      </c>
      <c r="D187" s="247"/>
      <c r="E187" s="12" t="s">
        <v>2587</v>
      </c>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64.25" customHeight="1" x14ac:dyDescent="0.2">
      <c r="A188" s="17" t="s">
        <v>312</v>
      </c>
      <c r="B188" s="30" t="s">
        <v>903</v>
      </c>
      <c r="C188" s="217" t="s">
        <v>17</v>
      </c>
      <c r="D188" s="221" t="s">
        <v>3171</v>
      </c>
      <c r="E188" s="12" t="str">
        <f>IF(C188="","",IF(C188="Yes","Provide a summary of the results, including actual recovery time.","State the date of your next planned DRP test."))</f>
        <v>Provide a summary of the results, including actual recovery time.</v>
      </c>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64.25" customHeight="1" x14ac:dyDescent="0.2">
      <c r="A189" s="17" t="s">
        <v>313</v>
      </c>
      <c r="B189" s="30" t="s">
        <v>114</v>
      </c>
      <c r="C189" s="217" t="s">
        <v>17</v>
      </c>
      <c r="D189" s="221" t="s">
        <v>3172</v>
      </c>
      <c r="E189" s="12" t="str">
        <f>IF(C189="","",IF(C189="Yes","Summarize your recovery time capabilities observations.","Describe plans to implement appropriate tests to identify actual recovery time capabilities."))</f>
        <v>Summarize your recovery time capabilities observations.</v>
      </c>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8" customHeight="1" x14ac:dyDescent="0.2">
      <c r="A190" s="17" t="s">
        <v>314</v>
      </c>
      <c r="B190" s="30" t="s">
        <v>553</v>
      </c>
      <c r="C190" s="217" t="s">
        <v>17</v>
      </c>
      <c r="D190" s="221" t="s">
        <v>3173</v>
      </c>
      <c r="E190" s="12" t="str">
        <f>IF(C190="","",IF(C190="Yes","Summarize your DRP review and update processes and/or procedures.","State plans to implement annual (at a minimum) testing of your DRP."))</f>
        <v>Summarize your DRP review and update processes and/or procedures.</v>
      </c>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8" customHeight="1" x14ac:dyDescent="0.2">
      <c r="A191" s="17" t="s">
        <v>315</v>
      </c>
      <c r="B191" s="30" t="s">
        <v>474</v>
      </c>
      <c r="C191" s="217" t="s">
        <v>17</v>
      </c>
      <c r="D191" s="221" t="s">
        <v>3174</v>
      </c>
      <c r="E191" s="12" t="str">
        <f>IF(C191="","",IF(C191="Yes","Summarize your cyber insurance strategy.","Descibe any plans to carry cyber-risk insurance in the future."))</f>
        <v>Summarize your cyber insurance strategy.</v>
      </c>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36" customHeight="1" x14ac:dyDescent="0.2">
      <c r="A192" s="248" t="str">
        <f>IF($C$30="","Firewalls, IDS, IPS, and Networking",IF($C$30="Yes","FW/IDPS/Networks - Optional based on QUALIFIER response.","Firewalls, IDS, IPS, and Networking"))</f>
        <v>Firewalls, IDS, IPS, and Networking</v>
      </c>
      <c r="B192" s="248"/>
      <c r="C192" s="25" t="s">
        <v>13</v>
      </c>
      <c r="D192" s="25" t="s">
        <v>14</v>
      </c>
      <c r="E192" s="9" t="s">
        <v>15</v>
      </c>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48" customHeight="1" x14ac:dyDescent="0.2">
      <c r="A193" s="17" t="s">
        <v>316</v>
      </c>
      <c r="B193" s="30" t="s">
        <v>32</v>
      </c>
      <c r="C193" s="217" t="s">
        <v>20</v>
      </c>
      <c r="D193" s="221" t="s">
        <v>3175</v>
      </c>
      <c r="E193" s="12" t="str">
        <f>IF(C193="","",IF(C193="Yes","Describe the currently implemented WAF.","Describe compensating controls that protect your web application, if applicable."))</f>
        <v>Describe compensating controls that protect your web application, if applicable.</v>
      </c>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48" customHeight="1" x14ac:dyDescent="0.2">
      <c r="A194" s="17" t="s">
        <v>317</v>
      </c>
      <c r="B194" s="30" t="s">
        <v>33</v>
      </c>
      <c r="C194" s="217" t="s">
        <v>20</v>
      </c>
      <c r="D194" s="221" t="s">
        <v>3176</v>
      </c>
      <c r="E194" s="12" t="str">
        <f>IF(C194="","",IF(C194="Yes","Describe the currently implemented SPI firewall.","Describe any plans to implement a SPI firewall."))</f>
        <v>Describe any plans to implement a SPI firewall.</v>
      </c>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2">
      <c r="A195" s="17" t="s">
        <v>318</v>
      </c>
      <c r="B195" s="30" t="s">
        <v>507</v>
      </c>
      <c r="C195" s="246" t="s">
        <v>3080</v>
      </c>
      <c r="D195" s="247"/>
      <c r="E195" s="12" t="s">
        <v>2590</v>
      </c>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2">
      <c r="A196" s="17" t="s">
        <v>319</v>
      </c>
      <c r="B196" s="30" t="s">
        <v>508</v>
      </c>
      <c r="C196" s="217" t="s">
        <v>17</v>
      </c>
      <c r="D196" s="221" t="s">
        <v>3177</v>
      </c>
      <c r="E196" s="12" t="str">
        <f>IF(C196="","",IF(C196="Yes","Describe your documented firewall change request policy.","Describe your plans to implement a documented policy for firewall change requests."))</f>
        <v>Describe your documented firewall change request policy.</v>
      </c>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2">
      <c r="A197" s="17" t="s">
        <v>320</v>
      </c>
      <c r="B197" s="30" t="s">
        <v>108</v>
      </c>
      <c r="C197" s="217" t="s">
        <v>20</v>
      </c>
      <c r="D197" s="221" t="s">
        <v>3178</v>
      </c>
      <c r="E197" s="12" t="str">
        <f>IF(C197="","",IF(C197="Yes","Describe the currently implemented IDS.","Describe your plan to implement a Intrusion Detection System in your environment."))</f>
        <v>Describe your plan to implement a Intrusion Detection System in your environment.</v>
      </c>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2">
      <c r="A198" s="17" t="s">
        <v>321</v>
      </c>
      <c r="B198" s="30" t="s">
        <v>109</v>
      </c>
      <c r="C198" s="217" t="s">
        <v>17</v>
      </c>
      <c r="D198" s="221" t="s">
        <v>3179</v>
      </c>
      <c r="E198" s="12" t="str">
        <f>IF(C198="","",IF(C198="Yes","Describe the currently implemented IPS.","Describe your plan to implement a Intrusion Prevention System in your environment."))</f>
        <v>Describe the currently implemented IPS.</v>
      </c>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2">
      <c r="A199" s="17" t="s">
        <v>322</v>
      </c>
      <c r="B199" s="30" t="s">
        <v>127</v>
      </c>
      <c r="C199" s="217" t="s">
        <v>20</v>
      </c>
      <c r="D199" s="221" t="s">
        <v>3180</v>
      </c>
      <c r="E199" s="12" t="str">
        <f>IF(C199="","",IF(C199="Yes","Describe the currently implemented host-based IDS solution(s).","Describe your plan to implement host-based Intrusion Detection System capabilities in your environment."))</f>
        <v>Describe your plan to implement host-based Intrusion Detection System capabilities in your environment.</v>
      </c>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2">
      <c r="A200" s="17" t="s">
        <v>323</v>
      </c>
      <c r="B200" s="30" t="s">
        <v>128</v>
      </c>
      <c r="C200" s="217" t="s">
        <v>20</v>
      </c>
      <c r="D200" s="221" t="s">
        <v>3180</v>
      </c>
      <c r="E200" s="12" t="str">
        <f>IF(C200="","",IF(C200="Yes","Describe the currently implemented host-based IPS solution(s).","Describe your plan to implement host-based Intrusion Prevention System capabilities in your environment."))</f>
        <v>Describe your plan to implement host-based Intrusion Prevention System capabilities in your environment.</v>
      </c>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2">
      <c r="A201" s="17" t="s">
        <v>324</v>
      </c>
      <c r="B201" s="30" t="s">
        <v>2652</v>
      </c>
      <c r="C201" s="217" t="s">
        <v>20</v>
      </c>
      <c r="D201" s="223" t="s">
        <v>3181</v>
      </c>
      <c r="E201" s="163" t="str">
        <f>IF(C201="","",IF(C201="Yes","Describe your NGPT monitoring strategy.","Describe your intent to implement NGPT monitoring."))</f>
        <v>Describe your intent to implement NGPT monitoring.</v>
      </c>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2">
      <c r="A202" s="17" t="s">
        <v>325</v>
      </c>
      <c r="B202" s="30" t="s">
        <v>110</v>
      </c>
      <c r="C202" s="217" t="s">
        <v>17</v>
      </c>
      <c r="D202" s="221" t="s">
        <v>3182</v>
      </c>
      <c r="E202" s="12" t="str">
        <f>IF(C202="","",IF(C202="Yes","Provide a brief summary of this activity.","State plans to implement 24x7x365 intrusion monitoring in your environment(s)."))</f>
        <v>Provide a brief summary of this activity.</v>
      </c>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2">
      <c r="A203" s="17" t="s">
        <v>326</v>
      </c>
      <c r="B203" s="30" t="s">
        <v>111</v>
      </c>
      <c r="C203" s="246" t="s">
        <v>3081</v>
      </c>
      <c r="D203" s="247"/>
      <c r="E203" s="12" t="s">
        <v>2999</v>
      </c>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2">
      <c r="A204" s="17" t="s">
        <v>327</v>
      </c>
      <c r="B204" s="30" t="s">
        <v>2589</v>
      </c>
      <c r="C204" s="217" t="s">
        <v>17</v>
      </c>
      <c r="D204" s="221" t="s">
        <v>3183</v>
      </c>
      <c r="E204" s="12" t="str">
        <f>IF(C204="","",IF(C204="Yes","Describe your current network systems logging strategy.","State plans to implement auditing capabilities for your network, firewall, IDS and/or IPS"))</f>
        <v>Describe your current network systems logging strategy.</v>
      </c>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36" customHeight="1" x14ac:dyDescent="0.2">
      <c r="A205" s="248" t="str">
        <f>IF(OR($C$25="No",$C$30="Yes"),"Mobile Applications - Optional based on QUALIFIER response.","Mobile Applications")</f>
        <v>Mobile Applications</v>
      </c>
      <c r="B205" s="248"/>
      <c r="C205" s="25" t="s">
        <v>13</v>
      </c>
      <c r="D205" s="25" t="s">
        <v>14</v>
      </c>
      <c r="E205" s="9" t="s">
        <v>15</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2">
      <c r="A206" s="17" t="s">
        <v>328</v>
      </c>
      <c r="B206" s="30" t="s">
        <v>51</v>
      </c>
      <c r="C206" s="246" t="s">
        <v>3082</v>
      </c>
      <c r="D206" s="247"/>
      <c r="E206" s="12" t="s">
        <v>2591</v>
      </c>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47" customHeight="1" x14ac:dyDescent="0.2">
      <c r="A207" s="17" t="s">
        <v>329</v>
      </c>
      <c r="B207" s="30" t="s">
        <v>509</v>
      </c>
      <c r="C207" s="246" t="s">
        <v>3083</v>
      </c>
      <c r="D207" s="247"/>
      <c r="E207" s="12" t="s">
        <v>2592</v>
      </c>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2">
      <c r="A208" s="17" t="s">
        <v>330</v>
      </c>
      <c r="B208" s="30" t="s">
        <v>52</v>
      </c>
      <c r="C208" s="217" t="s">
        <v>17</v>
      </c>
      <c r="D208" s="221" t="s">
        <v>3184</v>
      </c>
      <c r="E208" s="12" t="str">
        <f>IF(C208="","",IF(C208="Yes","State the application title as listed within the trusted source.","Decribe how the application is distributed. Also, state any plans to publish the app to a trusted source."))</f>
        <v>State the application title as listed within the trusted source.</v>
      </c>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2">
      <c r="A209" s="17" t="s">
        <v>331</v>
      </c>
      <c r="B209" s="30" t="s">
        <v>53</v>
      </c>
      <c r="C209" s="217" t="s">
        <v>17</v>
      </c>
      <c r="D209" s="221" t="s">
        <v>3185</v>
      </c>
      <c r="E209" s="12" t="str">
        <f>IF(C209="","",IF(C209="Yes","Provide a detailed summary for your response.",""))</f>
        <v>Provide a detailed summary for your response.</v>
      </c>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2">
      <c r="A210" s="17" t="s">
        <v>332</v>
      </c>
      <c r="B210" s="30" t="s">
        <v>2593</v>
      </c>
      <c r="C210" s="217" t="s">
        <v>17</v>
      </c>
      <c r="D210" s="221" t="s">
        <v>3186</v>
      </c>
      <c r="E210" s="12" t="str">
        <f>IF(C210="","",IF(C210="Yes","Describe how data is encrypted in transport. (i.e. from system to app)","Summarize why data is not encrypted in transport. (i.e. from system to app)"))</f>
        <v>Describe how data is encrypted in transport. (i.e. from system to app)</v>
      </c>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2">
      <c r="A211" s="17" t="s">
        <v>333</v>
      </c>
      <c r="B211" s="30" t="s">
        <v>2594</v>
      </c>
      <c r="C211" s="217" t="s">
        <v>17</v>
      </c>
      <c r="D211" s="221" t="s">
        <v>3187</v>
      </c>
      <c r="E211" s="12" t="str">
        <f>IF(C211="","",IF(C211="Yes","Describe how data is encrypted in storage. (i.e. at-rest within the app)","Summarize why data is not encrypted in storage. (i.e. at-rest within the app)"))</f>
        <v>Describe how data is encrypted in storage. (i.e. at-rest within the app)</v>
      </c>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2">
      <c r="A212" s="17" t="s">
        <v>334</v>
      </c>
      <c r="B212" s="30" t="s">
        <v>54</v>
      </c>
      <c r="C212" s="217" t="s">
        <v>17</v>
      </c>
      <c r="D212" s="221" t="s">
        <v>3188</v>
      </c>
      <c r="E212" s="12" t="str">
        <f>IF(C212="","",IF(C212="Yes","Summarize your system authentication capabilities.","State any plans to support these authentication systems."))</f>
        <v>Summarize your system authentication capabilities.</v>
      </c>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2">
      <c r="A213" s="17" t="s">
        <v>335</v>
      </c>
      <c r="B213" s="30" t="s">
        <v>554</v>
      </c>
      <c r="C213" s="217" t="s">
        <v>20</v>
      </c>
      <c r="D213" s="221" t="s">
        <v>3189</v>
      </c>
      <c r="E213" s="12" t="str">
        <f>IF(C213="","",IF(C213="Yes","Summarize any requirements for the Institution to take advantage of these capabilities.",""))</f>
        <v/>
      </c>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2">
      <c r="A214" s="17" t="s">
        <v>336</v>
      </c>
      <c r="B214" s="30" t="s">
        <v>2595</v>
      </c>
      <c r="C214" s="217" t="s">
        <v>17</v>
      </c>
      <c r="D214" s="221" t="s">
        <v>3190</v>
      </c>
      <c r="E214" s="12" t="str">
        <f>IF(C214="","",IF(C214="Yes","Summarize your secure coding practices.","State plans to update your application to adhere to industry secure coding practices."))</f>
        <v>Summarize your secure coding practices.</v>
      </c>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2">
      <c r="A215" s="17" t="s">
        <v>337</v>
      </c>
      <c r="B215" s="30" t="s">
        <v>55</v>
      </c>
      <c r="C215" s="217" t="s">
        <v>17</v>
      </c>
      <c r="D215" s="221" t="s">
        <v>3191</v>
      </c>
      <c r="E215" s="12" t="str">
        <f>IF(C215="","",IF(C215="Yes","State the party that performed the test and the date it was conducted. Provide test results and mitigation plans, if any.","Describe any plans to implement mobile application vulnerability testing."))</f>
        <v>State the party that performed the test and the date it was conducted. Provide test results and mitigation plans, if any.</v>
      </c>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2">
      <c r="A216" s="30" t="s">
        <v>555</v>
      </c>
      <c r="B216" s="30" t="s">
        <v>2628</v>
      </c>
      <c r="C216" s="246" t="s">
        <v>3084</v>
      </c>
      <c r="D216" s="247"/>
      <c r="E216" s="12" t="s">
        <v>2622</v>
      </c>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36" customHeight="1" x14ac:dyDescent="0.2">
      <c r="A217" s="248" t="str">
        <f>IF($C$30="","Physical Security",IF($C$30="Yes","Physical Security - Optional based on QUALIFIER response.","Physical Security"))</f>
        <v>Physical Security</v>
      </c>
      <c r="B217" s="248"/>
      <c r="C217" s="25" t="s">
        <v>13</v>
      </c>
      <c r="D217" s="25" t="s">
        <v>14</v>
      </c>
      <c r="E217" s="9" t="s">
        <v>15</v>
      </c>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7" customHeight="1" x14ac:dyDescent="0.2">
      <c r="A218" s="17" t="s">
        <v>338</v>
      </c>
      <c r="B218" s="30" t="s">
        <v>2653</v>
      </c>
      <c r="C218" s="217" t="s">
        <v>17</v>
      </c>
      <c r="D218" s="223" t="s">
        <v>3192</v>
      </c>
      <c r="E218" s="163" t="str">
        <f>IF(C218="","",IF(C218="Yes","Provide a copy of your physical security controls and policies along with this document (link or attached).","Describe your intent to implement physical security controls and policies."))</f>
        <v>Provide a copy of your physical security controls and policies along with this document (link or attached).</v>
      </c>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2">
      <c r="A219" s="17" t="s">
        <v>339</v>
      </c>
      <c r="B219" s="30" t="s">
        <v>556</v>
      </c>
      <c r="C219" s="217" t="s">
        <v>17</v>
      </c>
      <c r="D219" s="221" t="s">
        <v>3193</v>
      </c>
      <c r="E219" s="12" t="str">
        <f>IF(C219="","",IF(C219="Yes","Provide a detailed summary outlining the security controls implemented to protect the Institution's data.",""))</f>
        <v>Provide a detailed summary outlining the security controls implemented to protect the Institution's data.</v>
      </c>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2">
      <c r="A220" s="17" t="s">
        <v>340</v>
      </c>
      <c r="B220" s="30" t="s">
        <v>158</v>
      </c>
      <c r="C220" s="217" t="s">
        <v>17</v>
      </c>
      <c r="D220" s="221" t="s">
        <v>3194</v>
      </c>
      <c r="E220" s="12" t="str">
        <f>IF(C220="","",IF(C220="Yes","State the retention period for security video.","State your plans to retain video monitoring feeds."))</f>
        <v>State the retention period for security video.</v>
      </c>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48" customHeight="1" x14ac:dyDescent="0.2">
      <c r="A221" s="17" t="s">
        <v>341</v>
      </c>
      <c r="B221" s="30" t="s">
        <v>2596</v>
      </c>
      <c r="C221" s="217" t="s">
        <v>17</v>
      </c>
      <c r="D221" s="221" t="s">
        <v>3195</v>
      </c>
      <c r="E221" s="12" t="str">
        <f>IF(C221="","",IF(C221="Yes","Summarize your video monitoring strategy for datacenter staff.","Describe plans to have video feed(s) monitored."))</f>
        <v>Summarize your video monitoring strategy for datacenter staff.</v>
      </c>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2">
      <c r="A222" s="17" t="s">
        <v>342</v>
      </c>
      <c r="B222" s="30" t="s">
        <v>37</v>
      </c>
      <c r="C222" s="217" t="s">
        <v>17</v>
      </c>
      <c r="D222" s="221" t="s">
        <v>3196</v>
      </c>
      <c r="E222" s="12" t="str">
        <f>IF(C222="","",IF(C222="Yes","Summarize your process and procedure for the installation and removal of equipment to/from your environment.","Provide a brief summary for your response."))</f>
        <v>Summarize your process and procedure for the installation and removal of equipment to/from your environment.</v>
      </c>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48" t="str">
        <f>IF($C$30="","Policies, Procedures, and Processes",IF($C$30="Yes","Pol/Pro/Proc - Optional based on QUALIFIER response.","Policies, Procedures, and Processes"))</f>
        <v>Policies, Procedures, and Processes</v>
      </c>
      <c r="B223" s="248"/>
      <c r="C223" s="25" t="s">
        <v>13</v>
      </c>
      <c r="D223" s="25" t="s">
        <v>14</v>
      </c>
      <c r="E223" s="9" t="s">
        <v>15</v>
      </c>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83" customHeight="1" x14ac:dyDescent="0.2">
      <c r="A224" s="17" t="s">
        <v>343</v>
      </c>
      <c r="B224" s="30" t="s">
        <v>2654</v>
      </c>
      <c r="C224" s="217" t="s">
        <v>17</v>
      </c>
      <c r="D224" s="218" t="s">
        <v>3197</v>
      </c>
      <c r="E224" s="163" t="str">
        <f>IF(C224="","",IF(C224="Yes","Provide a links to these documents in Additional Information or attach them with your submission. Include the responsible party for your information security program and the size of your security staff.","Provide a brief summary for this response."))</f>
        <v>Provide a links to these documents in Additional Information or attach them with your submission. Include the responsible party for your information security program and the size of your security staff.</v>
      </c>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2">
      <c r="A225" s="17" t="s">
        <v>344</v>
      </c>
      <c r="B225" s="30" t="s">
        <v>38</v>
      </c>
      <c r="C225" s="217" t="s">
        <v>17</v>
      </c>
      <c r="D225" s="221" t="s">
        <v>3198</v>
      </c>
      <c r="E225" s="12" t="str">
        <f>IF(C225="","",IF(C225="Yes","Summarize your documented patch management process.","State plans to document your patch management process."))</f>
        <v>Summarize your documented patch management process.</v>
      </c>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2">
      <c r="A226" s="17" t="s">
        <v>345</v>
      </c>
      <c r="B226" s="30" t="s">
        <v>39</v>
      </c>
      <c r="C226" s="217" t="s">
        <v>17</v>
      </c>
      <c r="D226" s="221" t="s">
        <v>3199</v>
      </c>
      <c r="E226" s="12" t="str">
        <f>IF(C226="","",IF(C226="Yes","Summarize any limitations to your accomodation capabilities.","State why you are unable to accommodate encryption requirements using open standards."))</f>
        <v>Summarize any limitations to your accomodation capabilities.</v>
      </c>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2">
      <c r="A227" s="17" t="s">
        <v>346</v>
      </c>
      <c r="B227" s="30" t="s">
        <v>40</v>
      </c>
      <c r="C227" s="217" t="s">
        <v>17</v>
      </c>
      <c r="D227" s="221" t="s">
        <v>3200</v>
      </c>
      <c r="E227" s="12" t="str">
        <f>IF(C227="","",IF(C227="Yes","Provide a brief description of the training provided.","State any scheduled training sessions focused on secure coding techniques."))</f>
        <v>Provide a brief description of the training provided.</v>
      </c>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2">
      <c r="A228" s="17" t="s">
        <v>347</v>
      </c>
      <c r="B228" s="30" t="s">
        <v>41</v>
      </c>
      <c r="C228" s="217" t="s">
        <v>17</v>
      </c>
      <c r="D228" s="221" t="s">
        <v>3201</v>
      </c>
      <c r="E228" s="12" t="str">
        <f>IF(C228="","",IF(C228="Yes","Describe the secure coding techniques used to develop your application.","State plans to update your application code using secure coding techniques."))</f>
        <v>Describe the secure coding techniques used to develop your application.</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2">
      <c r="A229" s="17" t="s">
        <v>348</v>
      </c>
      <c r="B229" s="30" t="s">
        <v>2603</v>
      </c>
      <c r="C229" s="217" t="s">
        <v>17</v>
      </c>
      <c r="D229" s="221" t="s">
        <v>3202</v>
      </c>
      <c r="E229" s="12" t="str">
        <f>IF(C229="","",IF(C229="Yes","Provide a list of all tools utilized during static code analysis or static application security testing.","State your plans to implement static code testing practices into your environment."))</f>
        <v>Provide a list of all tools utilized during static code analysis or static application security testing.</v>
      </c>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84" customHeight="1" x14ac:dyDescent="0.2">
      <c r="A230" s="17" t="s">
        <v>349</v>
      </c>
      <c r="B230" s="30" t="s">
        <v>2604</v>
      </c>
      <c r="C230" s="217" t="s">
        <v>17</v>
      </c>
      <c r="D230" s="221" t="s">
        <v>3203</v>
      </c>
      <c r="E230" s="12" t="str">
        <f>IF(C230="","",IF(C230="Yes","Describe testing processes, including but not limited to, development of test plans, personnel involved in the testing process, and authorized individual accountable for approval and certification of test results.","State your plans to implement software testing processes into your environment."))</f>
        <v>Describe testing processes, including but not limited to, development of test plans, personnel involved in the testing process, and authorized individual accountable for approval and certification of test results.</v>
      </c>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2">
      <c r="A231" s="17" t="s">
        <v>350</v>
      </c>
      <c r="B231" s="30" t="s">
        <v>42</v>
      </c>
      <c r="C231" s="217" t="s">
        <v>17</v>
      </c>
      <c r="D231" s="221" t="s">
        <v>3204</v>
      </c>
      <c r="E231" s="12" t="str">
        <f>IF(C231="","",IF(C231="Yes","Summarize the information security principles designed into the product lifecycle.","Describe why security principles are not designed into the product lifecycle."))</f>
        <v>Summarize the information security principles designed into the product lifecycle.</v>
      </c>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96" customHeight="1" x14ac:dyDescent="0.2">
      <c r="A232" s="17" t="s">
        <v>351</v>
      </c>
      <c r="B232" s="30" t="s">
        <v>43</v>
      </c>
      <c r="C232" s="217" t="s">
        <v>17</v>
      </c>
      <c r="D232" s="221" t="s">
        <v>3205</v>
      </c>
      <c r="E232" s="12" t="str">
        <f>IF(C232="","",IF(C232="Yes","Describe or provide a reference to your system development life cycle methodology including your environments, version control, and change management (if not already covered in the Change Management section).","Describe any plans to implement a documented SDLC."))</f>
        <v>Describe or provide a reference to your system development life cycle methodology including your environments, version control, and change management (if not already covered in the Change Management section).</v>
      </c>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2">
      <c r="A233" s="17" t="s">
        <v>352</v>
      </c>
      <c r="B233" s="30" t="s">
        <v>44</v>
      </c>
      <c r="C233" s="217" t="s">
        <v>17</v>
      </c>
      <c r="D233" s="221" t="s">
        <v>3206</v>
      </c>
      <c r="E233" s="12" t="str">
        <f>IF(C233="","",IF(C233="Yes","Summarize your formal incident response plan.","State plans to formalize an incident response plan."))</f>
        <v>Summarize your formal incident response plan.</v>
      </c>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2">
      <c r="A234" s="17" t="s">
        <v>353</v>
      </c>
      <c r="B234" s="30" t="s">
        <v>2605</v>
      </c>
      <c r="C234" s="217" t="s">
        <v>17</v>
      </c>
      <c r="D234" s="221" t="s">
        <v>3207</v>
      </c>
      <c r="E234" s="12" t="str">
        <f>IF(C234="","",IF(C234="Yes","State how quickly the Institution will be notified of a data breach or security incident.","Summarize why you will not comple with applicable breach notification laws."))</f>
        <v>State how quickly the Institution will be notified of a data breach or security incident.</v>
      </c>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2">
      <c r="A235" s="17" t="s">
        <v>354</v>
      </c>
      <c r="B235" s="30" t="s">
        <v>557</v>
      </c>
      <c r="C235" s="217" t="s">
        <v>17</v>
      </c>
      <c r="D235" s="221" t="s">
        <v>3208</v>
      </c>
      <c r="E235" s="12" t="str">
        <f>IF(C235="","",IF(C235="Yes","State that you have reviewed the Institution's IT policies with regards to user privacy and data protection.","Summarize why you will not comply with the Institution's IT policy with regards to user privacy and data protection."))</f>
        <v>State that you have reviewed the Institution's IT policies with regards to user privacy and data protection.</v>
      </c>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2">
      <c r="A236" s="17" t="s">
        <v>355</v>
      </c>
      <c r="B236" s="30" t="s">
        <v>2636</v>
      </c>
      <c r="C236" s="217" t="s">
        <v>17</v>
      </c>
      <c r="D236" s="221" t="s">
        <v>3209</v>
      </c>
      <c r="E236" s="12" t="str">
        <f>IF(C236="","",IF(C236="Yes","","State the country that governs and regulates your company."))</f>
        <v/>
      </c>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2">
      <c r="A237" s="17" t="s">
        <v>356</v>
      </c>
      <c r="B237" s="30" t="s">
        <v>475</v>
      </c>
      <c r="C237" s="217" t="s">
        <v>17</v>
      </c>
      <c r="D237" s="221" t="s">
        <v>3210</v>
      </c>
      <c r="E237" s="12" t="str">
        <f>IF(C237="","",IF(C237="Yes","Summarize your background check practices.","State plans to implement background check elements into your hiring process."))</f>
        <v>Summarize your background check practices.</v>
      </c>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65" customHeight="1" x14ac:dyDescent="0.2">
      <c r="A238" s="17" t="s">
        <v>357</v>
      </c>
      <c r="B238" s="30" t="s">
        <v>45</v>
      </c>
      <c r="C238" s="217" t="s">
        <v>17</v>
      </c>
      <c r="D238" s="221" t="s">
        <v>3211</v>
      </c>
      <c r="E238" s="12" t="str">
        <f>IF(C238="","",IF(C238="Yes","Summarize the required agreements and reviewed policies.","Summarize why new employees are not required to accept agreements or review policy."))</f>
        <v>Summarize the required agreements and reviewed policies.</v>
      </c>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2">
      <c r="A239" s="17" t="s">
        <v>358</v>
      </c>
      <c r="B239" s="30" t="s">
        <v>2606</v>
      </c>
      <c r="C239" s="217" t="s">
        <v>17</v>
      </c>
      <c r="D239" s="221" t="s">
        <v>3177</v>
      </c>
      <c r="E239" s="12" t="str">
        <f>IF(C239="","",IF(C239="Yes","Provide a reference to your information security policy or submit documentation with this fully-populated HECVAT.","State plans to implement information security policy at your company."))</f>
        <v>Provide a reference to your information security policy or submit documentation with this fully-populated HECVAT.</v>
      </c>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48" customHeight="1" x14ac:dyDescent="0.2">
      <c r="A240" s="17" t="s">
        <v>359</v>
      </c>
      <c r="B240" s="30" t="s">
        <v>46</v>
      </c>
      <c r="C240" s="217" t="s">
        <v>17</v>
      </c>
      <c r="D240" s="221" t="s">
        <v>3212</v>
      </c>
      <c r="E240" s="12" t="str">
        <f>IF(C240="","",IF(C240="Yes","Summarize your information security awareness program.","State plans to implement an information security awareness program."))</f>
        <v>Summarize your information security awareness program.</v>
      </c>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4.25" customHeight="1" x14ac:dyDescent="0.2">
      <c r="A241" s="17" t="s">
        <v>360</v>
      </c>
      <c r="B241" s="30" t="s">
        <v>2607</v>
      </c>
      <c r="C241" s="217" t="s">
        <v>17</v>
      </c>
      <c r="D241" s="221" t="s">
        <v>3213</v>
      </c>
      <c r="E241" s="12" t="str">
        <f>IF(C241="","",IF(C241="Yes","Summarize your security awareness training content and state how frequently employees are required to undergo security awareness training.","State plans to make security awareness training mandatory for all employees."))</f>
        <v>Summarize your security awareness training content and state how frequently employees are required to undergo security awareness training.</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48" customHeight="1" x14ac:dyDescent="0.2">
      <c r="A242" s="17" t="s">
        <v>361</v>
      </c>
      <c r="B242" s="30" t="s">
        <v>2608</v>
      </c>
      <c r="C242" s="217" t="s">
        <v>17</v>
      </c>
      <c r="D242" s="221" t="s">
        <v>3214</v>
      </c>
      <c r="E242" s="12" t="str">
        <f>IF(C242="","",IF(C242="Yes","Provide a brief summary and the implement review interval.","Describe plans to implement privileged account access-list reviews to your environment."))</f>
        <v>Provide a brief summary and the implement review interval.</v>
      </c>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4.25" customHeight="1" x14ac:dyDescent="0.2">
      <c r="A243" s="17" t="s">
        <v>362</v>
      </c>
      <c r="B243" s="30" t="s">
        <v>2609</v>
      </c>
      <c r="C243" s="217" t="s">
        <v>17</v>
      </c>
      <c r="D243" s="221" t="s">
        <v>3215</v>
      </c>
      <c r="E243" s="12" t="str">
        <f>IF(C243="","",IF(C243="Yes","Summarize your internal audit processes and procedures.","State plans to document and implement internal audit process and procedure in your environment."))</f>
        <v>Summarize your internal audit processes and procedures.</v>
      </c>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36" customHeight="1" x14ac:dyDescent="0.2">
      <c r="A244" s="248" t="str">
        <f>IF($C$30="","Product Evaluation",IF($C$30="Yes","Product Evaluation - Optional based on QUALIFIER response.","Product Evaluation"))</f>
        <v>Product Evaluation</v>
      </c>
      <c r="B244" s="248"/>
      <c r="C244" s="25" t="s">
        <v>13</v>
      </c>
      <c r="D244" s="25" t="s">
        <v>14</v>
      </c>
      <c r="E244" s="9" t="s">
        <v>15</v>
      </c>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2">
      <c r="A245" s="17" t="s">
        <v>363</v>
      </c>
      <c r="B245" s="30" t="s">
        <v>47</v>
      </c>
      <c r="C245" s="217" t="s">
        <v>17</v>
      </c>
      <c r="D245" s="221" t="s">
        <v>3216</v>
      </c>
      <c r="E245" s="12" t="str">
        <f>IF(C245="","",IF(C245="Yes","Provide a reference to your customer feedback procedures.","State any plans to incorporate customer feedback into security feature requests."))</f>
        <v>Provide a reference to your customer feedback procedures.</v>
      </c>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2">
      <c r="A246" s="17" t="s">
        <v>364</v>
      </c>
      <c r="B246" s="30" t="s">
        <v>527</v>
      </c>
      <c r="C246" s="217" t="s">
        <v>17</v>
      </c>
      <c r="D246" s="221" t="s">
        <v>3217</v>
      </c>
      <c r="E246" s="12" t="str">
        <f>IF(C246="","",IF(C246="Yes","Summarize the scope of your evaluation site(s) and request procedures. Provide references, as needed.","State why an evaluation site cannot be provided to the Institution."))</f>
        <v>Summarize the scope of your evaluation site(s) and request procedures. Provide references, as needed.</v>
      </c>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36" customHeight="1" x14ac:dyDescent="0.2">
      <c r="A247" s="248" t="str">
        <f>IF($C$30="","Quality Assurance",IF($C$30="Yes","Quality Assurance - Optional based on QUALIFIER response.","Quality Assurance"))</f>
        <v>Quality Assurance</v>
      </c>
      <c r="B247" s="248"/>
      <c r="C247" s="25" t="s">
        <v>13</v>
      </c>
      <c r="D247" s="25" t="s">
        <v>14</v>
      </c>
      <c r="E247" s="9" t="s">
        <v>15</v>
      </c>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2">
      <c r="A248" s="17" t="s">
        <v>365</v>
      </c>
      <c r="B248" s="30" t="s">
        <v>157</v>
      </c>
      <c r="C248" s="246" t="s">
        <v>3085</v>
      </c>
      <c r="D248" s="247"/>
      <c r="E248" s="12" t="s">
        <v>2597</v>
      </c>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2">
      <c r="A249" s="17" t="s">
        <v>366</v>
      </c>
      <c r="B249" s="30" t="s">
        <v>149</v>
      </c>
      <c r="C249" s="217" t="s">
        <v>20</v>
      </c>
      <c r="D249" s="221" t="s">
        <v>3218</v>
      </c>
      <c r="E249" s="12" t="str">
        <f>IF(C249="","",IF(C249="Yes","If certified, provide supporting documentation.","Describe plans and/or efforts towards certification."))</f>
        <v>Describe plans and/or efforts towards certification.</v>
      </c>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53" customHeight="1" x14ac:dyDescent="0.2">
      <c r="A250" s="17" t="s">
        <v>367</v>
      </c>
      <c r="B250" s="30" t="s">
        <v>150</v>
      </c>
      <c r="C250" s="217" t="s">
        <v>17</v>
      </c>
      <c r="D250" s="221" t="s">
        <v>3219</v>
      </c>
      <c r="E250" s="12" t="str">
        <f>IF(C250="","",IF(C250="Yes","Provide references to quality and performance metrics documentation.","State plans to provide quality and performance metrics for this service."))</f>
        <v>Provide references to quality and performance metrics documentation.</v>
      </c>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53" customHeight="1" x14ac:dyDescent="0.2">
      <c r="A251" s="17" t="s">
        <v>368</v>
      </c>
      <c r="B251" s="30" t="s">
        <v>528</v>
      </c>
      <c r="C251" s="217" t="s">
        <v>20</v>
      </c>
      <c r="D251" s="221" t="s">
        <v>3220</v>
      </c>
      <c r="E251" s="12" t="str">
        <f>IF(C251="","",IF(C251="Yes","Provide the Institution's contact, describe the products and/or services offered, and the total value of the services provided.",""))</f>
        <v/>
      </c>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2">
      <c r="A252" s="17" t="s">
        <v>369</v>
      </c>
      <c r="B252" s="30" t="s">
        <v>151</v>
      </c>
      <c r="C252" s="217" t="s">
        <v>17</v>
      </c>
      <c r="D252" s="221" t="s">
        <v>3221</v>
      </c>
      <c r="E252" s="12" t="str">
        <f>IF(C252="","",IF(C252="Yes","Summarize your informational program.","Describe plans to implement this informational program."))</f>
        <v>Summarize your informational program.</v>
      </c>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36" customHeight="1" x14ac:dyDescent="0.2">
      <c r="A253" s="248" t="str">
        <f>IF($C$30="","Systems Management &amp; Configuration",IF($C$30="Yes","System Mgmt/Config - Optional based on QUALIFIER response.","Systems Management &amp; Configuration"))</f>
        <v>Systems Management &amp; Configuration</v>
      </c>
      <c r="B253" s="248"/>
      <c r="C253" s="25" t="s">
        <v>13</v>
      </c>
      <c r="D253" s="25" t="s">
        <v>14</v>
      </c>
      <c r="E253" s="9" t="s">
        <v>15</v>
      </c>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9.25" customHeight="1" x14ac:dyDescent="0.2">
      <c r="A254" s="17" t="s">
        <v>370</v>
      </c>
      <c r="B254" s="30" t="s">
        <v>161</v>
      </c>
      <c r="C254" s="217" t="s">
        <v>17</v>
      </c>
      <c r="D254" s="221" t="s">
        <v>3222</v>
      </c>
      <c r="E254" s="12" t="str">
        <f>IF(C254="","",IF(C254="Yes","Summarize how this is implemented in your environment.","Describe any implemented compensating controls."))</f>
        <v>Summarize how this is implemented in your environment.</v>
      </c>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2">
      <c r="A255" s="17" t="s">
        <v>371</v>
      </c>
      <c r="B255" s="30" t="s">
        <v>558</v>
      </c>
      <c r="C255" s="217" t="s">
        <v>17</v>
      </c>
      <c r="D255" s="221" t="s">
        <v>3223</v>
      </c>
      <c r="E255" s="12" t="str">
        <f>IF(C255="","",IF(C255="Yes","Summarize your implemented system configuration management precess.","Describe how system configuration management is currently handled in your environment."))</f>
        <v>Summarize your implemented system configuration management precess.</v>
      </c>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2">
      <c r="A256" s="17" t="s">
        <v>372</v>
      </c>
      <c r="B256" s="30" t="s">
        <v>162</v>
      </c>
      <c r="C256" s="217" t="s">
        <v>17</v>
      </c>
      <c r="D256" s="221" t="s">
        <v>3224</v>
      </c>
      <c r="E256" s="12" t="str">
        <f>IF(C256="","",IF(C256="Yes","Summarize your on-site MDM capabilities.","State any plans to implement a MDM platform in your environment."))</f>
        <v>Summarize your on-site MDM capabilities.</v>
      </c>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64.25" customHeight="1" x14ac:dyDescent="0.2">
      <c r="A257" s="17" t="s">
        <v>373</v>
      </c>
      <c r="B257" s="30" t="s">
        <v>2655</v>
      </c>
      <c r="C257" s="217" t="s">
        <v>17</v>
      </c>
      <c r="D257" s="223" t="s">
        <v>3225</v>
      </c>
      <c r="E257" s="163" t="str">
        <f>IF(C257="","",IF(C257="Yes","Summarize your systems management and configuration strategy.","Describe your intent to implement a systems management and configuration strategy."))</f>
        <v>Summarize your systems management and configuration strategy.</v>
      </c>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36" customHeight="1" x14ac:dyDescent="0.2">
      <c r="A258" s="248" t="str">
        <f>IF($C$30="","Vulnerability Scanning",IF($C$30="Yes","Vulnerability Scanning - Optional based on QUALIFIER response.","Vulnerability Scanning"))</f>
        <v>Vulnerability Scanning</v>
      </c>
      <c r="B258" s="248"/>
      <c r="C258" s="25" t="s">
        <v>13</v>
      </c>
      <c r="D258" s="25" t="s">
        <v>14</v>
      </c>
      <c r="E258" s="9" t="s">
        <v>15</v>
      </c>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2">
      <c r="A259" s="17" t="s">
        <v>374</v>
      </c>
      <c r="B259" s="30" t="s">
        <v>48</v>
      </c>
      <c r="C259" s="217" t="s">
        <v>17</v>
      </c>
      <c r="D259" s="221" t="s">
        <v>3226</v>
      </c>
      <c r="E259" s="12" t="str">
        <f>IF(C259="","",IF(C259="Yes","Decribe your external application vulnerability scanning strategy.","Describe any plans to implement external vulnerability scanning for your applications."))</f>
        <v>Decribe your external application vulnerability scanning strategy.</v>
      </c>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2">
      <c r="A260" s="17" t="s">
        <v>375</v>
      </c>
      <c r="B260" s="30" t="s">
        <v>2629</v>
      </c>
      <c r="C260" s="217" t="s">
        <v>17</v>
      </c>
      <c r="D260" s="221" t="s">
        <v>3227</v>
      </c>
      <c r="E260" s="12" t="str">
        <f>IF(C260="","",IF(C260="Yes","State the date of your most recent application external assessment.","Describe any plans to have application external assessment(s) performed on your systems."))</f>
        <v>State the date of your most recent application external assessment.</v>
      </c>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65" customHeight="1" x14ac:dyDescent="0.2">
      <c r="A261" s="17" t="s">
        <v>376</v>
      </c>
      <c r="B261" s="30" t="s">
        <v>49</v>
      </c>
      <c r="C261" s="217" t="s">
        <v>17</v>
      </c>
      <c r="D261" s="221" t="s">
        <v>3228</v>
      </c>
      <c r="E261" s="12" t="str">
        <f>IF(C261="","",IF(C261="Yes","Summarize your vulnerability scanning strategy.","Describe plans to implement application vulnerability scanning prior to release."))</f>
        <v>Summarize your vulnerability scanning strategy.</v>
      </c>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9.25" customHeight="1" x14ac:dyDescent="0.2">
      <c r="A262" s="17" t="s">
        <v>377</v>
      </c>
      <c r="B262" s="30" t="s">
        <v>50</v>
      </c>
      <c r="C262" s="217" t="s">
        <v>17</v>
      </c>
      <c r="D262" s="221" t="s">
        <v>3229</v>
      </c>
      <c r="E262" s="12" t="str">
        <f>IF(C262="","",IF(C262="Yes","Decribe your external system vulnerability scanning strategy.","Describe any plans to implement external vulnerability scanning for your systems."))</f>
        <v>Decribe your external system vulnerability scanning strategy.</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2">
      <c r="A263" s="17" t="s">
        <v>378</v>
      </c>
      <c r="B263" s="30" t="s">
        <v>2630</v>
      </c>
      <c r="C263" s="217" t="s">
        <v>17</v>
      </c>
      <c r="D263" s="221" t="s">
        <v>3227</v>
      </c>
      <c r="E263" s="12" t="str">
        <f>IF(C263="","",IF(C263="Yes","State the date of your most recent system external assessment.","Describe any plans to have system external assessment(s) performed on your systems."))</f>
        <v>State the date of your most recent system external assessment.</v>
      </c>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2">
      <c r="A264" s="17" t="s">
        <v>379</v>
      </c>
      <c r="B264" s="30" t="s">
        <v>448</v>
      </c>
      <c r="C264" s="246" t="s">
        <v>3086</v>
      </c>
      <c r="D264" s="247"/>
      <c r="E264" s="12" t="s">
        <v>2598</v>
      </c>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2">
      <c r="A265" s="17" t="s">
        <v>380</v>
      </c>
      <c r="B265" s="30" t="s">
        <v>2600</v>
      </c>
      <c r="C265" s="217" t="s">
        <v>17</v>
      </c>
      <c r="D265" s="221" t="s">
        <v>3230</v>
      </c>
      <c r="E265" s="12" t="str">
        <f>IF(C265="","",IF(C265="Yes","Provide a reference to security scan documentation.","Describe why security scan results will not be provided to the Institution."))</f>
        <v>Provide a reference to security scan documentation.</v>
      </c>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65" customHeight="1" x14ac:dyDescent="0.2">
      <c r="A266" s="17" t="s">
        <v>381</v>
      </c>
      <c r="B266" s="30" t="s">
        <v>449</v>
      </c>
      <c r="C266" s="246" t="s">
        <v>3087</v>
      </c>
      <c r="D266" s="247"/>
      <c r="E266" s="12" t="s">
        <v>2599</v>
      </c>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54" customHeight="1" x14ac:dyDescent="0.2">
      <c r="A267" s="17" t="s">
        <v>382</v>
      </c>
      <c r="B267" s="30" t="s">
        <v>529</v>
      </c>
      <c r="C267" s="217" t="s">
        <v>17</v>
      </c>
      <c r="D267" s="221" t="s">
        <v>3231</v>
      </c>
      <c r="E267" s="12" t="str">
        <f>IF(C267="","",IF(C267="Yes","Provide reference to the process or procedure to setup security testing times and scopes.","Provide a brief summary for your response."))</f>
        <v>Provide reference to the process or procedure to setup security testing times and scopes.</v>
      </c>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36" customHeight="1" x14ac:dyDescent="0.2">
      <c r="A268" s="248" t="str">
        <f>IF(OR($C$24="No",$C$30="Yes"),"HIPAA - Optional based on QUALIFIER response.","HIPAA")</f>
        <v>HIPAA - Optional based on QUALIFIER response.</v>
      </c>
      <c r="B268" s="248"/>
      <c r="C268" s="25" t="s">
        <v>13</v>
      </c>
      <c r="D268" s="25" t="s">
        <v>14</v>
      </c>
      <c r="E268" s="9" t="s">
        <v>15</v>
      </c>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65" customHeight="1" x14ac:dyDescent="0.2">
      <c r="A269" s="17" t="s">
        <v>383</v>
      </c>
      <c r="B269" s="30" t="s">
        <v>133</v>
      </c>
      <c r="C269" s="14"/>
      <c r="D269" s="15"/>
      <c r="E269" s="12" t="s">
        <v>2601</v>
      </c>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2">
      <c r="A270" s="17" t="s">
        <v>384</v>
      </c>
      <c r="B270" s="30" t="s">
        <v>134</v>
      </c>
      <c r="C270" s="14"/>
      <c r="D270" s="15"/>
      <c r="E270" s="12" t="s">
        <v>2601</v>
      </c>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2">
      <c r="A271" s="17" t="s">
        <v>385</v>
      </c>
      <c r="B271" s="30" t="s">
        <v>135</v>
      </c>
      <c r="C271" s="14"/>
      <c r="D271" s="15"/>
      <c r="E271" s="12" t="s">
        <v>2601</v>
      </c>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2">
      <c r="A272" s="17" t="s">
        <v>386</v>
      </c>
      <c r="B272" s="30" t="s">
        <v>136</v>
      </c>
      <c r="C272" s="14"/>
      <c r="D272" s="15"/>
      <c r="E272" s="12" t="s">
        <v>2601</v>
      </c>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2">
      <c r="A273" s="17" t="s">
        <v>387</v>
      </c>
      <c r="B273" s="30" t="s">
        <v>137</v>
      </c>
      <c r="C273" s="14"/>
      <c r="D273" s="15"/>
      <c r="E273" s="12" t="s">
        <v>2601</v>
      </c>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2">
      <c r="A274" s="17" t="s">
        <v>388</v>
      </c>
      <c r="B274" s="30" t="s">
        <v>138</v>
      </c>
      <c r="C274" s="14"/>
      <c r="D274" s="15"/>
      <c r="E274" s="12" t="s">
        <v>2601</v>
      </c>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2">
      <c r="A275" s="17" t="s">
        <v>389</v>
      </c>
      <c r="B275" s="30" t="s">
        <v>139</v>
      </c>
      <c r="C275" s="14"/>
      <c r="D275" s="15"/>
      <c r="E275" s="12" t="s">
        <v>2601</v>
      </c>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2">
      <c r="A276" s="17" t="s">
        <v>390</v>
      </c>
      <c r="B276" s="30" t="s">
        <v>140</v>
      </c>
      <c r="C276" s="14"/>
      <c r="D276" s="15"/>
      <c r="E276" s="12" t="s">
        <v>2601</v>
      </c>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2">
      <c r="A277" s="17" t="s">
        <v>391</v>
      </c>
      <c r="B277" s="30" t="s">
        <v>141</v>
      </c>
      <c r="C277" s="14"/>
      <c r="D277" s="15"/>
      <c r="E277" s="12" t="s">
        <v>2601</v>
      </c>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2">
      <c r="A278" s="17" t="s">
        <v>392</v>
      </c>
      <c r="B278" s="30" t="s">
        <v>56</v>
      </c>
      <c r="C278" s="14"/>
      <c r="D278" s="15"/>
      <c r="E278" s="12" t="s">
        <v>2601</v>
      </c>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48" customHeight="1" x14ac:dyDescent="0.2">
      <c r="A279" s="17" t="s">
        <v>393</v>
      </c>
      <c r="B279" s="30" t="s">
        <v>57</v>
      </c>
      <c r="C279" s="14"/>
      <c r="D279" s="15"/>
      <c r="E279" s="12" t="s">
        <v>2601</v>
      </c>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2">
      <c r="A280" s="17" t="s">
        <v>394</v>
      </c>
      <c r="B280" s="30" t="s">
        <v>58</v>
      </c>
      <c r="C280" s="14"/>
      <c r="D280" s="15"/>
      <c r="E280" s="12" t="s">
        <v>2601</v>
      </c>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2">
      <c r="A281" s="17" t="s">
        <v>395</v>
      </c>
      <c r="B281" s="30" t="s">
        <v>59</v>
      </c>
      <c r="C281" s="14"/>
      <c r="D281" s="15"/>
      <c r="E281" s="12" t="s">
        <v>2601</v>
      </c>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2">
      <c r="A282" s="17" t="s">
        <v>396</v>
      </c>
      <c r="B282" s="30" t="s">
        <v>60</v>
      </c>
      <c r="C282" s="14"/>
      <c r="D282" s="15"/>
      <c r="E282" s="12" t="s">
        <v>2601</v>
      </c>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48" customHeight="1" x14ac:dyDescent="0.2">
      <c r="A283" s="17" t="s">
        <v>397</v>
      </c>
      <c r="B283" s="30" t="s">
        <v>530</v>
      </c>
      <c r="C283" s="14"/>
      <c r="D283" s="15"/>
      <c r="E283" s="12" t="s">
        <v>2601</v>
      </c>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48" customHeight="1" x14ac:dyDescent="0.2">
      <c r="A284" s="17" t="s">
        <v>398</v>
      </c>
      <c r="B284" s="30" t="s">
        <v>61</v>
      </c>
      <c r="C284" s="14"/>
      <c r="D284" s="15"/>
      <c r="E284" s="12" t="s">
        <v>2601</v>
      </c>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48" customHeight="1" x14ac:dyDescent="0.2">
      <c r="A285" s="17" t="s">
        <v>399</v>
      </c>
      <c r="B285" s="30" t="s">
        <v>510</v>
      </c>
      <c r="C285" s="14"/>
      <c r="D285" s="15"/>
      <c r="E285" s="12" t="s">
        <v>2601</v>
      </c>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row>
    <row r="286" spans="1:256" ht="48" customHeight="1" x14ac:dyDescent="0.2">
      <c r="A286" s="17" t="s">
        <v>400</v>
      </c>
      <c r="B286" s="30" t="s">
        <v>62</v>
      </c>
      <c r="C286" s="14"/>
      <c r="D286" s="15"/>
      <c r="E286" s="12" t="s">
        <v>2601</v>
      </c>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row>
    <row r="287" spans="1:256" ht="47" customHeight="1" x14ac:dyDescent="0.2">
      <c r="A287" s="17" t="s">
        <v>401</v>
      </c>
      <c r="B287" s="30" t="s">
        <v>63</v>
      </c>
      <c r="C287" s="14"/>
      <c r="D287" s="15"/>
      <c r="E287" s="12" t="s">
        <v>2601</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row>
    <row r="288" spans="1:256" ht="47" customHeight="1" x14ac:dyDescent="0.2">
      <c r="A288" s="17" t="s">
        <v>402</v>
      </c>
      <c r="B288" s="30" t="s">
        <v>69</v>
      </c>
      <c r="C288" s="14"/>
      <c r="D288" s="15"/>
      <c r="E288" s="12" t="s">
        <v>2601</v>
      </c>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row>
    <row r="289" spans="1:256" ht="48" customHeight="1" x14ac:dyDescent="0.2">
      <c r="A289" s="17" t="s">
        <v>403</v>
      </c>
      <c r="B289" s="30" t="s">
        <v>64</v>
      </c>
      <c r="C289" s="14"/>
      <c r="D289" s="15"/>
      <c r="E289" s="12" t="s">
        <v>2601</v>
      </c>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row>
    <row r="290" spans="1:256" ht="65" customHeight="1" x14ac:dyDescent="0.2">
      <c r="A290" s="17" t="s">
        <v>404</v>
      </c>
      <c r="B290" s="30" t="s">
        <v>65</v>
      </c>
      <c r="C290" s="14"/>
      <c r="D290" s="15"/>
      <c r="E290" s="12" t="s">
        <v>2601</v>
      </c>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row>
    <row r="291" spans="1:256" ht="48" customHeight="1" x14ac:dyDescent="0.2">
      <c r="A291" s="17" t="s">
        <v>405</v>
      </c>
      <c r="B291" s="30" t="s">
        <v>66</v>
      </c>
      <c r="C291" s="247"/>
      <c r="D291" s="247"/>
      <c r="E291" s="12" t="s">
        <v>2601</v>
      </c>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row>
    <row r="292" spans="1:256" ht="48" customHeight="1" x14ac:dyDescent="0.2">
      <c r="A292" s="17" t="s">
        <v>406</v>
      </c>
      <c r="B292" s="30" t="s">
        <v>67</v>
      </c>
      <c r="C292" s="14"/>
      <c r="D292" s="15"/>
      <c r="E292" s="12" t="s">
        <v>2601</v>
      </c>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row>
    <row r="293" spans="1:256" ht="48" customHeight="1" x14ac:dyDescent="0.2">
      <c r="A293" s="17" t="s">
        <v>407</v>
      </c>
      <c r="B293" s="30" t="s">
        <v>68</v>
      </c>
      <c r="C293" s="14"/>
      <c r="D293" s="15"/>
      <c r="E293" s="12" t="s">
        <v>2601</v>
      </c>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row>
    <row r="294" spans="1:256" ht="48" customHeight="1" x14ac:dyDescent="0.2">
      <c r="A294" s="17" t="s">
        <v>408</v>
      </c>
      <c r="B294" s="30" t="s">
        <v>142</v>
      </c>
      <c r="C294" s="14"/>
      <c r="D294" s="15"/>
      <c r="E294" s="12" t="s">
        <v>2601</v>
      </c>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row>
    <row r="295" spans="1:256" ht="48" customHeight="1" x14ac:dyDescent="0.2">
      <c r="A295" s="17" t="s">
        <v>409</v>
      </c>
      <c r="B295" s="30" t="s">
        <v>143</v>
      </c>
      <c r="C295" s="14"/>
      <c r="D295" s="15"/>
      <c r="E295" s="12" t="s">
        <v>2601</v>
      </c>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row>
    <row r="296" spans="1:256" ht="48" customHeight="1" x14ac:dyDescent="0.2">
      <c r="A296" s="17" t="s">
        <v>410</v>
      </c>
      <c r="B296" s="30" t="s">
        <v>144</v>
      </c>
      <c r="C296" s="14"/>
      <c r="D296" s="15"/>
      <c r="E296" s="12" t="s">
        <v>2601</v>
      </c>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row>
    <row r="297" spans="1:256" ht="48" customHeight="1" x14ac:dyDescent="0.2">
      <c r="A297" s="17" t="s">
        <v>411</v>
      </c>
      <c r="B297" s="30" t="s">
        <v>70</v>
      </c>
      <c r="C297" s="14"/>
      <c r="D297" s="15"/>
      <c r="E297" s="12" t="s">
        <v>2601</v>
      </c>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row>
    <row r="298" spans="1:256" ht="48" customHeight="1" x14ac:dyDescent="0.2">
      <c r="A298" s="17" t="s">
        <v>412</v>
      </c>
      <c r="B298" s="30" t="s">
        <v>145</v>
      </c>
      <c r="C298" s="14"/>
      <c r="D298" s="15"/>
      <c r="E298" s="12" t="s">
        <v>2601</v>
      </c>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row>
    <row r="299" spans="1:256" ht="47" customHeight="1" x14ac:dyDescent="0.2">
      <c r="A299" s="17" t="s">
        <v>413</v>
      </c>
      <c r="B299" s="30" t="s">
        <v>476</v>
      </c>
      <c r="C299" s="14"/>
      <c r="D299" s="15"/>
      <c r="E299" s="12" t="s">
        <v>2601</v>
      </c>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row>
    <row r="300" spans="1:256" ht="36" customHeight="1" x14ac:dyDescent="0.2">
      <c r="A300" s="248" t="str">
        <f>IF(OR($C$29="No",$C$30="Yes"),"PCI DSS - Optional based on QUALIFIER response.","PCI DSS")</f>
        <v>PCI DSS - Optional based on QUALIFIER response.</v>
      </c>
      <c r="B300" s="248"/>
      <c r="C300" s="25" t="s">
        <v>13</v>
      </c>
      <c r="D300" s="25" t="s">
        <v>14</v>
      </c>
      <c r="E300" s="9" t="s">
        <v>15</v>
      </c>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row>
    <row r="301" spans="1:256" ht="48" customHeight="1" x14ac:dyDescent="0.2">
      <c r="A301" s="17" t="s">
        <v>414</v>
      </c>
      <c r="B301" s="30" t="s">
        <v>2613</v>
      </c>
      <c r="C301" s="14"/>
      <c r="D301" s="15"/>
      <c r="E301" s="12" t="s">
        <v>2602</v>
      </c>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row>
    <row r="302" spans="1:256" ht="48" customHeight="1" x14ac:dyDescent="0.2">
      <c r="A302" s="17" t="s">
        <v>415</v>
      </c>
      <c r="B302" s="30" t="s">
        <v>71</v>
      </c>
      <c r="C302" s="14"/>
      <c r="D302" s="15"/>
      <c r="E302" s="12" t="s">
        <v>2602</v>
      </c>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row>
    <row r="303" spans="1:256" ht="48" customHeight="1" x14ac:dyDescent="0.2">
      <c r="A303" s="17" t="s">
        <v>416</v>
      </c>
      <c r="B303" s="30" t="s">
        <v>72</v>
      </c>
      <c r="C303" s="14"/>
      <c r="D303" s="15"/>
      <c r="E303" s="12" t="s">
        <v>2602</v>
      </c>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row>
    <row r="304" spans="1:256" ht="48" customHeight="1" x14ac:dyDescent="0.2">
      <c r="A304" s="17" t="s">
        <v>417</v>
      </c>
      <c r="B304" s="30" t="s">
        <v>73</v>
      </c>
      <c r="C304" s="14"/>
      <c r="D304" s="15"/>
      <c r="E304" s="12" t="s">
        <v>2602</v>
      </c>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row>
    <row r="305" spans="1:256" ht="48" customHeight="1" x14ac:dyDescent="0.2">
      <c r="A305" s="17" t="s">
        <v>418</v>
      </c>
      <c r="B305" s="30" t="s">
        <v>74</v>
      </c>
      <c r="C305" s="14"/>
      <c r="D305" s="15"/>
      <c r="E305" s="12" t="s">
        <v>2602</v>
      </c>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row>
    <row r="306" spans="1:256" ht="48" customHeight="1" x14ac:dyDescent="0.2">
      <c r="A306" s="17" t="s">
        <v>419</v>
      </c>
      <c r="B306" s="30" t="s">
        <v>75</v>
      </c>
      <c r="C306" s="14"/>
      <c r="D306" s="15"/>
      <c r="E306" s="12" t="s">
        <v>2602</v>
      </c>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row>
    <row r="307" spans="1:256" ht="64.25" customHeight="1" x14ac:dyDescent="0.2">
      <c r="A307" s="17" t="s">
        <v>420</v>
      </c>
      <c r="B307" s="30" t="s">
        <v>76</v>
      </c>
      <c r="C307" s="247"/>
      <c r="D307" s="247"/>
      <c r="E307" s="12" t="s">
        <v>2602</v>
      </c>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row>
    <row r="308" spans="1:256" ht="64.25" customHeight="1" x14ac:dyDescent="0.2">
      <c r="A308" s="17" t="s">
        <v>421</v>
      </c>
      <c r="B308" s="30" t="s">
        <v>77</v>
      </c>
      <c r="C308" s="247"/>
      <c r="D308" s="247"/>
      <c r="E308" s="12" t="s">
        <v>2602</v>
      </c>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row>
    <row r="309" spans="1:256" ht="48" customHeight="1" x14ac:dyDescent="0.2">
      <c r="A309" s="17" t="s">
        <v>422</v>
      </c>
      <c r="B309" s="30" t="s">
        <v>78</v>
      </c>
      <c r="C309" s="14"/>
      <c r="D309" s="15"/>
      <c r="E309" s="12" t="s">
        <v>2602</v>
      </c>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row>
    <row r="310" spans="1:256" ht="48" customHeight="1" x14ac:dyDescent="0.2">
      <c r="A310" s="17" t="s">
        <v>423</v>
      </c>
      <c r="B310" s="30" t="s">
        <v>79</v>
      </c>
      <c r="C310" s="14"/>
      <c r="D310" s="15"/>
      <c r="E310" s="12" t="s">
        <v>2602</v>
      </c>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row>
    <row r="311" spans="1:256" ht="54" customHeight="1" x14ac:dyDescent="0.2">
      <c r="A311" s="17" t="s">
        <v>424</v>
      </c>
      <c r="B311" s="30" t="s">
        <v>2614</v>
      </c>
      <c r="C311" s="14"/>
      <c r="D311" s="15"/>
      <c r="E311" s="12" t="str">
        <f>IF(C311="","",IF(C311="Yes","State the providors name and provide a current copy of their AoC or RoC.","Refer to PCI DSS Security Standards for supplemental guidance in this section"))</f>
        <v/>
      </c>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row>
    <row r="312" spans="1:256" ht="64.25" customHeight="1" x14ac:dyDescent="0.2">
      <c r="A312" s="17" t="s">
        <v>425</v>
      </c>
      <c r="B312" s="30" t="s">
        <v>80</v>
      </c>
      <c r="C312" s="247"/>
      <c r="D312" s="247"/>
      <c r="E312" s="12" t="s">
        <v>2602</v>
      </c>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row>
  </sheetData>
  <mergeCells count="85">
    <mergeCell ref="C203:D203"/>
    <mergeCell ref="C248:D248"/>
    <mergeCell ref="C206:D206"/>
    <mergeCell ref="C207:D207"/>
    <mergeCell ref="C216:D216"/>
    <mergeCell ref="C307:D307"/>
    <mergeCell ref="C312:D312"/>
    <mergeCell ref="C291:D291"/>
    <mergeCell ref="C264:D264"/>
    <mergeCell ref="C266:D266"/>
    <mergeCell ref="C308:D308"/>
    <mergeCell ref="C116:D116"/>
    <mergeCell ref="C142:D142"/>
    <mergeCell ref="C140:D140"/>
    <mergeCell ref="C179:D179"/>
    <mergeCell ref="C176:D176"/>
    <mergeCell ref="C168:D168"/>
    <mergeCell ref="C195:D195"/>
    <mergeCell ref="C133:D133"/>
    <mergeCell ref="C175:D175"/>
    <mergeCell ref="C187:D187"/>
    <mergeCell ref="A38:B38"/>
    <mergeCell ref="A46:B46"/>
    <mergeCell ref="A51:B51"/>
    <mergeCell ref="A61:B61"/>
    <mergeCell ref="C50:D50"/>
    <mergeCell ref="C48:D48"/>
    <mergeCell ref="C49:D49"/>
    <mergeCell ref="C70:D70"/>
    <mergeCell ref="C68:D68"/>
    <mergeCell ref="C47:D47"/>
    <mergeCell ref="C71:D71"/>
    <mergeCell ref="C73:D73"/>
    <mergeCell ref="C78:D78"/>
    <mergeCell ref="A21:E21"/>
    <mergeCell ref="A22:B22"/>
    <mergeCell ref="A23:E23"/>
    <mergeCell ref="A31:B31"/>
    <mergeCell ref="C18:E18"/>
    <mergeCell ref="C12:E12"/>
    <mergeCell ref="C14:E14"/>
    <mergeCell ref="C13:E13"/>
    <mergeCell ref="C76:D76"/>
    <mergeCell ref="A1:D1"/>
    <mergeCell ref="A2:E2"/>
    <mergeCell ref="A4:B4"/>
    <mergeCell ref="A5:E5"/>
    <mergeCell ref="A20:B20"/>
    <mergeCell ref="C3:E3"/>
    <mergeCell ref="C15:E15"/>
    <mergeCell ref="C16:E16"/>
    <mergeCell ref="C19:E19"/>
    <mergeCell ref="C7:E7"/>
    <mergeCell ref="C9:E9"/>
    <mergeCell ref="C10:E10"/>
    <mergeCell ref="C11:E11"/>
    <mergeCell ref="C8:E8"/>
    <mergeCell ref="A6:E6"/>
    <mergeCell ref="A17:E17"/>
    <mergeCell ref="A253:B253"/>
    <mergeCell ref="A258:B258"/>
    <mergeCell ref="A268:B268"/>
    <mergeCell ref="A300:B300"/>
    <mergeCell ref="C39:D39"/>
    <mergeCell ref="C40:D40"/>
    <mergeCell ref="A217:B217"/>
    <mergeCell ref="A223:B223"/>
    <mergeCell ref="A244:B244"/>
    <mergeCell ref="C45:D45"/>
    <mergeCell ref="C77:D77"/>
    <mergeCell ref="A79:B79"/>
    <mergeCell ref="A97:B97"/>
    <mergeCell ref="A110:B110"/>
    <mergeCell ref="A126:B126"/>
    <mergeCell ref="A155:B155"/>
    <mergeCell ref="A247:B247"/>
    <mergeCell ref="A158:B158"/>
    <mergeCell ref="A178:B178"/>
    <mergeCell ref="A192:B192"/>
    <mergeCell ref="A205:B205"/>
    <mergeCell ref="C95:D95"/>
    <mergeCell ref="C96:D96"/>
    <mergeCell ref="C98:D98"/>
    <mergeCell ref="C115:D115"/>
    <mergeCell ref="C112:D112"/>
  </mergeCells>
  <conditionalFormatting sqref="A46 C46:E46">
    <cfRule type="expression" dxfId="189" priority="189">
      <formula>$C$26="No"</formula>
    </cfRule>
  </conditionalFormatting>
  <conditionalFormatting sqref="A51 C51:E51">
    <cfRule type="expression" dxfId="188" priority="169">
      <formula>$C$30="No"</formula>
    </cfRule>
  </conditionalFormatting>
  <conditionalFormatting sqref="A97 C97:E97">
    <cfRule type="expression" dxfId="187" priority="162">
      <formula>$C$27="No"</formula>
    </cfRule>
  </conditionalFormatting>
  <conditionalFormatting sqref="A178 C178:E178">
    <cfRule type="expression" dxfId="186" priority="188">
      <formula>$C$28="No"</formula>
    </cfRule>
  </conditionalFormatting>
  <conditionalFormatting sqref="A205 C205:E205">
    <cfRule type="expression" dxfId="185" priority="191">
      <formula>$C$25="No"</formula>
    </cfRule>
  </conditionalFormatting>
  <conditionalFormatting sqref="A238">
    <cfRule type="expression" dxfId="184" priority="131">
      <formula>#REF!="No"</formula>
    </cfRule>
  </conditionalFormatting>
  <conditionalFormatting sqref="A268 C268:E268">
    <cfRule type="expression" dxfId="183" priority="190">
      <formula>$C$24="No"</formula>
    </cfRule>
  </conditionalFormatting>
  <conditionalFormatting sqref="A300 C300:E300">
    <cfRule type="expression" dxfId="182" priority="175">
      <formula>$C$29="No"</formula>
    </cfRule>
  </conditionalFormatting>
  <conditionalFormatting sqref="A276:B277 D276:D277">
    <cfRule type="expression" dxfId="181" priority="121">
      <formula>$C$275="No"</formula>
    </cfRule>
  </conditionalFormatting>
  <conditionalFormatting sqref="A277:B277 D277">
    <cfRule type="expression" dxfId="180" priority="122">
      <formula>$C$276="No"</formula>
    </cfRule>
  </conditionalFormatting>
  <conditionalFormatting sqref="A60:E60">
    <cfRule type="expression" dxfId="179" priority="170">
      <formula>$C$59="No"</formula>
    </cfRule>
  </conditionalFormatting>
  <conditionalFormatting sqref="A61:E61 A79:E79 A97:E97 A110:E110 A126:E126 A158:E158 A178:E178 A192:E192 A205:E205 A223:E223 A244:E244 A247:E247 A253:E253 A268:E268 A300:E300">
    <cfRule type="expression" dxfId="178" priority="154">
      <formula>$C$30="Yes"</formula>
    </cfRule>
  </conditionalFormatting>
  <conditionalFormatting sqref="A90:E90">
    <cfRule type="expression" dxfId="177" priority="2">
      <formula>$C$89="No"</formula>
    </cfRule>
  </conditionalFormatting>
  <conditionalFormatting sqref="A92:E93">
    <cfRule type="expression" dxfId="176" priority="1">
      <formula>$C$91="No"</formula>
    </cfRule>
  </conditionalFormatting>
  <conditionalFormatting sqref="A112:E112">
    <cfRule type="expression" dxfId="175" priority="146">
      <formula>$C$111="No"</formula>
    </cfRule>
  </conditionalFormatting>
  <conditionalFormatting sqref="A138:E138">
    <cfRule type="expression" dxfId="174" priority="145">
      <formula>$C$137="No"</formula>
    </cfRule>
  </conditionalFormatting>
  <conditionalFormatting sqref="A155:E155">
    <cfRule type="expression" dxfId="173" priority="153">
      <formula>$C$30="Yes"</formula>
    </cfRule>
  </conditionalFormatting>
  <conditionalFormatting sqref="A163:E164">
    <cfRule type="expression" dxfId="172" priority="142">
      <formula>$C$162="No"</formula>
    </cfRule>
  </conditionalFormatting>
  <conditionalFormatting sqref="A164:E164">
    <cfRule type="expression" dxfId="171" priority="141">
      <formula>$C$163="No"</formula>
    </cfRule>
  </conditionalFormatting>
  <conditionalFormatting sqref="A168:E168">
    <cfRule type="expression" dxfId="170" priority="185">
      <formula>$C$167="No"</formula>
    </cfRule>
  </conditionalFormatting>
  <conditionalFormatting sqref="A184:E184">
    <cfRule type="expression" dxfId="169" priority="56">
      <formula>$C$183="No"</formula>
    </cfRule>
  </conditionalFormatting>
  <conditionalFormatting sqref="A203:E203">
    <cfRule type="expression" dxfId="168" priority="137">
      <formula>$C$202="No"</formula>
    </cfRule>
  </conditionalFormatting>
  <conditionalFormatting sqref="A213:E213">
    <cfRule type="expression" dxfId="167" priority="135">
      <formula>$C$212="No"</formula>
    </cfRule>
  </conditionalFormatting>
  <conditionalFormatting sqref="A216:E216">
    <cfRule type="expression" dxfId="166" priority="136">
      <formula>$C$215="No"</formula>
    </cfRule>
  </conditionalFormatting>
  <conditionalFormatting sqref="A217:E217">
    <cfRule type="expression" dxfId="165" priority="152">
      <formula>$C$30="Yes"</formula>
    </cfRule>
  </conditionalFormatting>
  <conditionalFormatting sqref="A241:E241">
    <cfRule type="expression" dxfId="164" priority="132">
      <formula>$C$240="No"</formula>
    </cfRule>
  </conditionalFormatting>
  <conditionalFormatting sqref="A258:E258">
    <cfRule type="expression" dxfId="163" priority="151">
      <formula>$C$30="Yes"</formula>
    </cfRule>
  </conditionalFormatting>
  <conditionalFormatting sqref="A260:E260">
    <cfRule type="expression" dxfId="162" priority="123">
      <formula>$C$259="No"</formula>
    </cfRule>
  </conditionalFormatting>
  <conditionalFormatting sqref="A263:E263">
    <cfRule type="expression" dxfId="161" priority="124">
      <formula>$C$262="No"</formula>
    </cfRule>
  </conditionalFormatting>
  <conditionalFormatting sqref="A293:E293">
    <cfRule type="expression" dxfId="160" priority="160">
      <formula>$C$292="No"</formula>
    </cfRule>
  </conditionalFormatting>
  <conditionalFormatting sqref="A296:E296 A297:A299">
    <cfRule type="expression" dxfId="159" priority="118">
      <formula>$C$295="No"</formula>
    </cfRule>
  </conditionalFormatting>
  <conditionalFormatting sqref="B47:B50">
    <cfRule type="expression" dxfId="158" priority="155">
      <formula>$C$26="No"</formula>
    </cfRule>
  </conditionalFormatting>
  <conditionalFormatting sqref="B52:B60">
    <cfRule type="expression" dxfId="157" priority="8">
      <formula>$C$30="No"</formula>
    </cfRule>
  </conditionalFormatting>
  <conditionalFormatting sqref="B62:B78">
    <cfRule type="expression" dxfId="156" priority="18">
      <formula>$C$30="Yes"</formula>
    </cfRule>
  </conditionalFormatting>
  <conditionalFormatting sqref="B80:B96">
    <cfRule type="expression" dxfId="155" priority="112">
      <formula>$C$30="Yes"</formula>
    </cfRule>
  </conditionalFormatting>
  <conditionalFormatting sqref="B98:B109">
    <cfRule type="expression" dxfId="154" priority="11">
      <formula>$C$27="No"</formula>
    </cfRule>
    <cfRule type="expression" dxfId="153" priority="17">
      <formula>$C$30="Yes"</formula>
    </cfRule>
  </conditionalFormatting>
  <conditionalFormatting sqref="B111:B112 B136:B154 B237:B243">
    <cfRule type="expression" dxfId="152" priority="181">
      <formula>$C$30="Yes"</formula>
    </cfRule>
  </conditionalFormatting>
  <conditionalFormatting sqref="B113:B125">
    <cfRule type="expression" dxfId="151" priority="104">
      <formula>$C$30="Yes"</formula>
    </cfRule>
  </conditionalFormatting>
  <conditionalFormatting sqref="B127:B135">
    <cfRule type="expression" dxfId="150" priority="65">
      <formula>$C$30="Yes"</formula>
    </cfRule>
  </conditionalFormatting>
  <conditionalFormatting sqref="B156:B157">
    <cfRule type="expression" dxfId="149" priority="144">
      <formula>$C$30="Yes"</formula>
    </cfRule>
  </conditionalFormatting>
  <conditionalFormatting sqref="B159:B177">
    <cfRule type="expression" dxfId="148" priority="15">
      <formula>$C$30="Yes"</formula>
    </cfRule>
  </conditionalFormatting>
  <conditionalFormatting sqref="B179:B191">
    <cfRule type="expression" dxfId="147" priority="9">
      <formula>$C$28="No"</formula>
    </cfRule>
    <cfRule type="expression" dxfId="146" priority="14">
      <formula>$C$30="Yes"</formula>
    </cfRule>
  </conditionalFormatting>
  <conditionalFormatting sqref="B193:B204">
    <cfRule type="expression" dxfId="145" priority="52">
      <formula>$C$30="Yes"</formula>
    </cfRule>
  </conditionalFormatting>
  <conditionalFormatting sqref="B206:B215">
    <cfRule type="expression" dxfId="144" priority="46">
      <formula>$C$30="Yes"</formula>
    </cfRule>
  </conditionalFormatting>
  <conditionalFormatting sqref="B206:B216">
    <cfRule type="expression" dxfId="143" priority="21">
      <formula>$C$25="No"</formula>
    </cfRule>
  </conditionalFormatting>
  <conditionalFormatting sqref="B216">
    <cfRule type="expression" dxfId="142" priority="177">
      <formula>$C$30="Yes"</formula>
    </cfRule>
  </conditionalFormatting>
  <conditionalFormatting sqref="B218:B222">
    <cfRule type="expression" dxfId="141" priority="44">
      <formula>$C$30="Yes"</formula>
    </cfRule>
  </conditionalFormatting>
  <conditionalFormatting sqref="B224:B234">
    <cfRule type="expression" dxfId="140" priority="26">
      <formula>$C$30="Yes"</formula>
    </cfRule>
  </conditionalFormatting>
  <conditionalFormatting sqref="B235:B236">
    <cfRule type="expression" dxfId="139" priority="7">
      <formula>$C$48="Yes"</formula>
    </cfRule>
  </conditionalFormatting>
  <conditionalFormatting sqref="B245:B246">
    <cfRule type="expression" dxfId="138" priority="130">
      <formula>$C$30="Yes"</formula>
    </cfRule>
  </conditionalFormatting>
  <conditionalFormatting sqref="B248:B252">
    <cfRule type="expression" dxfId="137" priority="128">
      <formula>$C$30="Yes"</formula>
    </cfRule>
  </conditionalFormatting>
  <conditionalFormatting sqref="B254:B257">
    <cfRule type="expression" dxfId="136" priority="126">
      <formula>$C$30="Yes"</formula>
    </cfRule>
  </conditionalFormatting>
  <conditionalFormatting sqref="B259:B267">
    <cfRule type="expression" dxfId="135" priority="36">
      <formula>$C$30="Yes"</formula>
    </cfRule>
  </conditionalFormatting>
  <conditionalFormatting sqref="B269:B299">
    <cfRule type="expression" dxfId="134" priority="25">
      <formula>$C$24="No"</formula>
    </cfRule>
    <cfRule type="expression" dxfId="133" priority="174">
      <formula>$C$30="Yes"</formula>
    </cfRule>
  </conditionalFormatting>
  <conditionalFormatting sqref="B301:B312">
    <cfRule type="expression" dxfId="132" priority="120">
      <formula>$C$30="Yes"</formula>
    </cfRule>
    <cfRule type="expression" dxfId="131" priority="24">
      <formula>$C$29="No"</formula>
    </cfRule>
  </conditionalFormatting>
  <conditionalFormatting sqref="C58:D58">
    <cfRule type="expression" dxfId="130" priority="13">
      <formula>$C$57="No"</formula>
    </cfRule>
  </conditionalFormatting>
  <conditionalFormatting sqref="E189">
    <cfRule type="expression" dxfId="129" priority="55">
      <formula>$C$188="No"</formula>
    </cfRule>
  </conditionalFormatting>
  <conditionalFormatting sqref="E201">
    <cfRule type="expression" dxfId="128" priority="6">
      <formula>#REF!="Yes"</formula>
    </cfRule>
  </conditionalFormatting>
  <conditionalFormatting sqref="E218">
    <cfRule type="expression" dxfId="127" priority="5">
      <formula>#REF!="Yes"</formula>
    </cfRule>
  </conditionalFormatting>
  <conditionalFormatting sqref="E224">
    <cfRule type="expression" dxfId="126" priority="4">
      <formula>#REF!="Yes"</formula>
    </cfRule>
  </conditionalFormatting>
  <conditionalFormatting sqref="E257">
    <cfRule type="expression" dxfId="125" priority="3">
      <formula>#REF!="Yes"</formula>
    </cfRule>
  </conditionalFormatting>
  <dataValidations count="2">
    <dataValidation type="list" allowBlank="1" showInputMessage="1" showErrorMessage="1" sqref="C24:C30 C32:C37 C41:C44 C249:C252 C204 C99:C109 C62:C67 C74:C75 C72 C69 C301:C306 C111 C113:C114 C117:C125 C141 C127:C132 C134:C139 C193:C194 C309:C311 C169:C170 C52:C60 C177 C188:C191 C180:C186 C292:C299 C196:C202 C208:C215 C224:C243 C218:C222 C245:C246 C265 C267 C259:C263 C254:C257 C269:C290 C143:C154 C80:C94 C166:C167 C156:C157 C159:C164 C172:C174" xr:uid="{00000000-0002-0000-0200-000000000000}">
      <formula1>yes</formula1>
    </dataValidation>
    <dataValidation type="list" allowBlank="1" showInputMessage="1" showErrorMessage="1" sqref="C171" xr:uid="{00000000-0002-0000-0200-000001000000}">
      <formula1>uptime</formula1>
    </dataValidation>
  </dataValidations>
  <pageMargins left="0.75" right="0.75" top="1" bottom="1" header="0.5" footer="0.5"/>
  <pageSetup orientation="landscape" r:id="rId1"/>
  <headerFooter>
    <oddFooter>&amp;L&amp;"Helvetica,Regular"&amp;12&amp;K000000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Values!$A$15:$A$19</xm:f>
          </x14:formula1>
          <xm:sqref>C165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321"/>
  <sheetViews>
    <sheetView showGridLines="0" zoomScalePageLayoutView="80" workbookViewId="0">
      <selection sqref="A1:I1"/>
    </sheetView>
  </sheetViews>
  <sheetFormatPr baseColWidth="10" defaultColWidth="6.625" defaultRowHeight="15" customHeight="1" x14ac:dyDescent="0.15"/>
  <cols>
    <col min="1" max="1" width="8.25" customWidth="1"/>
    <col min="2" max="2" width="58.5" style="41" customWidth="1"/>
    <col min="3" max="3" width="24.625" style="42" customWidth="1"/>
    <col min="4" max="4" width="24.625" style="43" customWidth="1"/>
    <col min="5" max="5" width="24.625" style="38" customWidth="1"/>
    <col min="6" max="6" width="24.625" style="42" customWidth="1"/>
    <col min="7" max="7" width="24.625" style="24" customWidth="1"/>
    <col min="8" max="8" width="26.625" style="38" customWidth="1"/>
    <col min="9" max="9" width="12" style="5" customWidth="1"/>
    <col min="10" max="259" width="6.625" style="5" customWidth="1"/>
  </cols>
  <sheetData>
    <row r="1" spans="1:9" ht="36" customHeight="1" x14ac:dyDescent="0.15">
      <c r="A1" s="262" t="s">
        <v>2984</v>
      </c>
      <c r="B1" s="263"/>
      <c r="C1" s="263"/>
      <c r="D1" s="263"/>
      <c r="E1" s="263"/>
      <c r="F1" s="263"/>
      <c r="G1" s="263"/>
      <c r="H1" s="263"/>
      <c r="I1" s="264"/>
    </row>
    <row r="2" spans="1:9" ht="24" customHeight="1" x14ac:dyDescent="0.15">
      <c r="A2" s="245" t="s">
        <v>96</v>
      </c>
      <c r="B2" s="245"/>
      <c r="C2" s="245"/>
      <c r="D2" s="245"/>
      <c r="E2" s="245"/>
      <c r="F2" s="245"/>
      <c r="G2" s="245"/>
      <c r="H2" s="245"/>
      <c r="I2" s="132"/>
    </row>
    <row r="3" spans="1:9" ht="2" customHeight="1" x14ac:dyDescent="0.15">
      <c r="A3" s="1"/>
      <c r="B3" s="1"/>
      <c r="C3" s="1"/>
      <c r="D3" s="1"/>
      <c r="E3" s="1"/>
      <c r="F3" s="1"/>
      <c r="G3" s="1"/>
      <c r="H3" s="1"/>
      <c r="I3" s="132"/>
    </row>
    <row r="4" spans="1:9" ht="2" customHeight="1" x14ac:dyDescent="0.15">
      <c r="A4" s="1"/>
      <c r="B4" s="1"/>
      <c r="C4" s="1"/>
      <c r="D4" s="1"/>
      <c r="E4" s="1"/>
      <c r="F4" s="1"/>
      <c r="G4" s="1"/>
      <c r="H4" s="1"/>
      <c r="I4" s="132"/>
    </row>
    <row r="5" spans="1:9" ht="2" customHeight="1" x14ac:dyDescent="0.15">
      <c r="A5" s="1"/>
      <c r="B5" s="1"/>
      <c r="C5" s="1"/>
      <c r="D5" s="1"/>
      <c r="E5" s="1"/>
      <c r="F5" s="1"/>
      <c r="G5" s="1"/>
      <c r="H5" s="1"/>
      <c r="I5" s="132"/>
    </row>
    <row r="6" spans="1:9" ht="2" customHeight="1" x14ac:dyDescent="0.15">
      <c r="A6" s="1"/>
      <c r="B6" s="1"/>
      <c r="C6" s="1"/>
      <c r="D6" s="1"/>
      <c r="E6" s="1"/>
      <c r="F6" s="1"/>
      <c r="G6" s="1"/>
      <c r="H6" s="1"/>
      <c r="I6" s="132"/>
    </row>
    <row r="7" spans="1:9" ht="2" customHeight="1" x14ac:dyDescent="0.15">
      <c r="A7" s="1"/>
      <c r="B7" s="1"/>
      <c r="C7" s="1"/>
      <c r="D7" s="1"/>
      <c r="E7" s="1"/>
      <c r="F7" s="1"/>
      <c r="G7" s="1"/>
      <c r="H7" s="1"/>
      <c r="I7" s="132"/>
    </row>
    <row r="8" spans="1:9" ht="2" customHeight="1" x14ac:dyDescent="0.15">
      <c r="A8" s="1"/>
      <c r="B8" s="1"/>
      <c r="C8" s="1"/>
      <c r="D8" s="1"/>
      <c r="E8" s="1"/>
      <c r="F8" s="1"/>
      <c r="G8" s="1"/>
      <c r="H8" s="1"/>
      <c r="I8" s="132"/>
    </row>
    <row r="9" spans="1:9" ht="2" customHeight="1" x14ac:dyDescent="0.15">
      <c r="A9" s="1"/>
      <c r="B9" s="1"/>
      <c r="C9" s="1"/>
      <c r="D9" s="1"/>
      <c r="E9" s="1"/>
      <c r="F9" s="1"/>
      <c r="G9" s="1"/>
      <c r="H9" s="1"/>
      <c r="I9" s="132"/>
    </row>
    <row r="10" spans="1:9" ht="2" customHeight="1" x14ac:dyDescent="0.15">
      <c r="A10" s="1"/>
      <c r="B10" s="1"/>
      <c r="C10" s="1"/>
      <c r="D10" s="1"/>
      <c r="E10" s="1"/>
      <c r="F10" s="1"/>
      <c r="G10" s="1"/>
      <c r="H10" s="1"/>
      <c r="I10" s="132"/>
    </row>
    <row r="11" spans="1:9" ht="2" customHeight="1" x14ac:dyDescent="0.15">
      <c r="A11" s="1"/>
      <c r="B11" s="1"/>
      <c r="C11" s="1"/>
      <c r="D11" s="1"/>
      <c r="E11" s="1"/>
      <c r="F11" s="1"/>
      <c r="G11" s="1"/>
      <c r="H11" s="1"/>
      <c r="I11" s="132"/>
    </row>
    <row r="12" spans="1:9" ht="2" customHeight="1" x14ac:dyDescent="0.15">
      <c r="A12" s="1"/>
      <c r="B12" s="1"/>
      <c r="C12" s="1"/>
      <c r="D12" s="1"/>
      <c r="E12" s="1"/>
      <c r="F12" s="1"/>
      <c r="G12" s="1"/>
      <c r="H12" s="1"/>
      <c r="I12" s="132"/>
    </row>
    <row r="13" spans="1:9" ht="2" customHeight="1" x14ac:dyDescent="0.15">
      <c r="A13" s="1"/>
      <c r="B13" s="1"/>
      <c r="C13" s="1"/>
      <c r="D13" s="1"/>
      <c r="E13" s="1"/>
      <c r="F13" s="1"/>
      <c r="G13" s="1"/>
      <c r="H13" s="1"/>
      <c r="I13" s="132"/>
    </row>
    <row r="14" spans="1:9" ht="2" customHeight="1" x14ac:dyDescent="0.15">
      <c r="A14" s="1"/>
      <c r="B14" s="1"/>
      <c r="C14" s="1"/>
      <c r="D14" s="1"/>
      <c r="E14" s="1"/>
      <c r="F14" s="1"/>
      <c r="G14" s="1"/>
      <c r="H14" s="1"/>
      <c r="I14" s="132"/>
    </row>
    <row r="15" spans="1:9" ht="2" customHeight="1" x14ac:dyDescent="0.15">
      <c r="A15" s="1"/>
      <c r="B15" s="1"/>
      <c r="C15" s="1"/>
      <c r="D15" s="1"/>
      <c r="E15" s="1"/>
      <c r="F15" s="1"/>
      <c r="G15" s="1"/>
      <c r="H15" s="1"/>
      <c r="I15" s="132"/>
    </row>
    <row r="16" spans="1:9" ht="2" customHeight="1" x14ac:dyDescent="0.15">
      <c r="A16" s="1"/>
      <c r="B16" s="1"/>
      <c r="C16" s="1"/>
      <c r="D16" s="1"/>
      <c r="E16" s="1"/>
      <c r="F16" s="1"/>
      <c r="G16" s="1"/>
      <c r="H16" s="1"/>
      <c r="I16" s="132"/>
    </row>
    <row r="17" spans="1:259" ht="2" customHeight="1" x14ac:dyDescent="0.15">
      <c r="A17" s="1"/>
      <c r="B17" s="1"/>
      <c r="C17" s="1"/>
      <c r="D17" s="1"/>
      <c r="E17" s="1"/>
      <c r="F17" s="1"/>
      <c r="G17" s="1"/>
      <c r="H17" s="1"/>
      <c r="I17" s="132"/>
    </row>
    <row r="18" spans="1:259" ht="2" customHeight="1" x14ac:dyDescent="0.15">
      <c r="A18" s="1"/>
      <c r="B18" s="1"/>
      <c r="C18" s="1"/>
      <c r="D18" s="1"/>
      <c r="E18" s="1"/>
      <c r="F18" s="1"/>
      <c r="G18" s="1"/>
      <c r="H18" s="1"/>
      <c r="I18" s="132"/>
    </row>
    <row r="19" spans="1:259" ht="2" customHeight="1" x14ac:dyDescent="0.15">
      <c r="A19" s="1"/>
      <c r="B19" s="1"/>
      <c r="C19" s="1"/>
      <c r="D19" s="1"/>
      <c r="E19" s="1"/>
      <c r="F19" s="1"/>
      <c r="G19" s="1"/>
      <c r="H19" s="1"/>
      <c r="I19" s="132"/>
    </row>
    <row r="20" spans="1:259" ht="2" customHeight="1" x14ac:dyDescent="0.15">
      <c r="A20" s="1"/>
      <c r="B20" s="1"/>
      <c r="C20" s="1"/>
      <c r="D20" s="1"/>
      <c r="E20" s="1"/>
      <c r="F20" s="1"/>
      <c r="G20" s="1"/>
      <c r="H20" s="1"/>
      <c r="I20" s="132"/>
    </row>
    <row r="21" spans="1:259" ht="2" customHeight="1" x14ac:dyDescent="0.15">
      <c r="A21" s="1"/>
      <c r="B21" s="1"/>
      <c r="C21" s="1"/>
      <c r="D21" s="1"/>
      <c r="E21" s="1"/>
      <c r="F21" s="1"/>
      <c r="G21" s="1"/>
      <c r="H21" s="1"/>
      <c r="I21" s="132"/>
    </row>
    <row r="22" spans="1:259" s="33" customFormat="1" ht="36" customHeight="1" x14ac:dyDescent="0.15">
      <c r="A22" s="248" t="s">
        <v>12</v>
      </c>
      <c r="B22" s="248"/>
      <c r="C22" s="34" t="s">
        <v>561</v>
      </c>
      <c r="D22" s="34" t="s">
        <v>562</v>
      </c>
      <c r="E22" s="34" t="s">
        <v>888</v>
      </c>
      <c r="F22" s="34" t="s">
        <v>565</v>
      </c>
      <c r="G22" s="25" t="s">
        <v>564</v>
      </c>
      <c r="H22" s="34" t="s">
        <v>563</v>
      </c>
      <c r="I22" s="133" t="s">
        <v>2045</v>
      </c>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c r="FU22" s="32"/>
      <c r="FV22" s="32"/>
      <c r="FW22" s="32"/>
      <c r="FX22" s="32"/>
      <c r="FY22" s="32"/>
      <c r="FZ22" s="32"/>
      <c r="GA22" s="32"/>
      <c r="GB22" s="32"/>
      <c r="GC22" s="32"/>
      <c r="GD22" s="32"/>
      <c r="GE22" s="32"/>
      <c r="GF22" s="32"/>
      <c r="GG22" s="32"/>
      <c r="GH22" s="32"/>
      <c r="GI22" s="32"/>
      <c r="GJ22" s="32"/>
      <c r="GK22" s="32"/>
      <c r="GL22" s="32"/>
      <c r="GM22" s="32"/>
      <c r="GN22" s="32"/>
      <c r="GO22" s="32"/>
      <c r="GP22" s="32"/>
      <c r="GQ22" s="32"/>
      <c r="GR22" s="32"/>
      <c r="GS22" s="32"/>
      <c r="GT22" s="32"/>
      <c r="GU22" s="32"/>
      <c r="GV22" s="32"/>
      <c r="GW22" s="32"/>
      <c r="GX22" s="32"/>
      <c r="GY22" s="32"/>
      <c r="GZ22" s="32"/>
      <c r="HA22" s="32"/>
      <c r="HB22" s="32"/>
      <c r="HC22" s="32"/>
      <c r="HD22" s="32"/>
      <c r="HE22" s="32"/>
      <c r="HF22" s="32"/>
      <c r="HG22" s="32"/>
      <c r="HH22" s="32"/>
      <c r="HI22" s="32"/>
      <c r="HJ22" s="32"/>
      <c r="HK22" s="32"/>
      <c r="HL22" s="32"/>
      <c r="HM22" s="32"/>
      <c r="HN22" s="32"/>
      <c r="HO22" s="32"/>
      <c r="HP22" s="32"/>
      <c r="HQ22" s="32"/>
      <c r="HR22" s="32"/>
      <c r="HS22" s="32"/>
      <c r="HT22" s="32"/>
      <c r="HU22" s="32"/>
      <c r="HV22" s="32"/>
      <c r="HW22" s="32"/>
      <c r="HX22" s="32"/>
      <c r="HY22" s="32"/>
      <c r="HZ22" s="32"/>
      <c r="IA22" s="32"/>
      <c r="IB22" s="32"/>
      <c r="IC22" s="32"/>
      <c r="ID22" s="32"/>
      <c r="IE22" s="32"/>
      <c r="IF22" s="32"/>
      <c r="IG22" s="32"/>
      <c r="IH22" s="32"/>
      <c r="II22" s="32"/>
      <c r="IJ22" s="32"/>
      <c r="IK22" s="32"/>
      <c r="IL22" s="32"/>
      <c r="IM22" s="32"/>
      <c r="IN22" s="32"/>
      <c r="IO22" s="32"/>
      <c r="IP22" s="32"/>
      <c r="IQ22" s="32"/>
      <c r="IR22" s="32"/>
      <c r="IS22" s="32"/>
      <c r="IT22" s="32"/>
      <c r="IU22" s="32"/>
      <c r="IV22" s="32"/>
      <c r="IW22" s="32"/>
      <c r="IX22" s="32"/>
      <c r="IY22" s="32"/>
    </row>
    <row r="23" spans="1:259" s="148" customFormat="1" ht="17" customHeight="1" x14ac:dyDescent="0.15">
      <c r="A23" s="143"/>
      <c r="B23" s="143"/>
      <c r="C23" s="144"/>
      <c r="D23" s="144"/>
      <c r="E23" s="144"/>
      <c r="F23" s="144"/>
      <c r="G23" s="145"/>
      <c r="H23" s="144"/>
      <c r="I23" s="146"/>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7"/>
      <c r="CC23" s="147"/>
      <c r="CD23" s="147"/>
      <c r="CE23" s="147"/>
      <c r="CF23" s="147"/>
      <c r="CG23" s="147"/>
      <c r="CH23" s="147"/>
      <c r="CI23" s="147"/>
      <c r="CJ23" s="147"/>
      <c r="CK23" s="147"/>
      <c r="CL23" s="147"/>
      <c r="CM23" s="147"/>
      <c r="CN23" s="147"/>
      <c r="CO23" s="147"/>
      <c r="CP23" s="147"/>
      <c r="CQ23" s="147"/>
      <c r="CR23" s="147"/>
      <c r="CS23" s="147"/>
      <c r="CT23" s="147"/>
      <c r="CU23" s="147"/>
      <c r="CV23" s="147"/>
      <c r="CW23" s="147"/>
      <c r="CX23" s="147"/>
      <c r="CY23" s="147"/>
      <c r="CZ23" s="147"/>
      <c r="DA23" s="147"/>
      <c r="DB23" s="147"/>
      <c r="DC23" s="147"/>
      <c r="DD23" s="147"/>
      <c r="DE23" s="147"/>
      <c r="DF23" s="147"/>
      <c r="DG23" s="147"/>
      <c r="DH23" s="147"/>
      <c r="DI23" s="147"/>
      <c r="DJ23" s="147"/>
      <c r="DK23" s="147"/>
      <c r="DL23" s="147"/>
      <c r="DM23" s="147"/>
      <c r="DN23" s="147"/>
      <c r="DO23" s="147"/>
      <c r="DP23" s="147"/>
      <c r="DQ23" s="147"/>
      <c r="DR23" s="147"/>
      <c r="DS23" s="147"/>
      <c r="DT23" s="147"/>
      <c r="DU23" s="147"/>
      <c r="DV23" s="147"/>
      <c r="DW23" s="147"/>
      <c r="DX23" s="147"/>
      <c r="DY23" s="147"/>
      <c r="DZ23" s="147"/>
      <c r="EA23" s="147"/>
      <c r="EB23" s="147"/>
      <c r="EC23" s="147"/>
      <c r="ED23" s="147"/>
      <c r="EE23" s="147"/>
      <c r="EF23" s="147"/>
      <c r="EG23" s="147"/>
      <c r="EH23" s="147"/>
      <c r="EI23" s="147"/>
      <c r="EJ23" s="147"/>
      <c r="EK23" s="147"/>
      <c r="EL23" s="147"/>
      <c r="EM23" s="147"/>
      <c r="EN23" s="147"/>
      <c r="EO23" s="147"/>
      <c r="EP23" s="147"/>
      <c r="EQ23" s="147"/>
      <c r="ER23" s="147"/>
      <c r="ES23" s="147"/>
      <c r="ET23" s="147"/>
      <c r="EU23" s="147"/>
      <c r="EV23" s="147"/>
      <c r="EW23" s="147"/>
      <c r="EX23" s="147"/>
      <c r="EY23" s="147"/>
      <c r="EZ23" s="147"/>
      <c r="FA23" s="147"/>
      <c r="FB23" s="147"/>
      <c r="FC23" s="147"/>
      <c r="FD23" s="147"/>
      <c r="FE23" s="147"/>
      <c r="FF23" s="147"/>
      <c r="FG23" s="147"/>
      <c r="FH23" s="147"/>
      <c r="FI23" s="147"/>
      <c r="FJ23" s="147"/>
      <c r="FK23" s="147"/>
      <c r="FL23" s="147"/>
      <c r="FM23" s="147"/>
      <c r="FN23" s="147"/>
      <c r="FO23" s="147"/>
      <c r="FP23" s="147"/>
      <c r="FQ23" s="147"/>
      <c r="FR23" s="147"/>
      <c r="FS23" s="147"/>
      <c r="FT23" s="147"/>
      <c r="FU23" s="147"/>
      <c r="FV23" s="147"/>
      <c r="FW23" s="147"/>
      <c r="FX23" s="147"/>
      <c r="FY23" s="147"/>
      <c r="FZ23" s="147"/>
      <c r="GA23" s="147"/>
      <c r="GB23" s="147"/>
      <c r="GC23" s="147"/>
      <c r="GD23" s="147"/>
      <c r="GE23" s="147"/>
      <c r="GF23" s="147"/>
      <c r="GG23" s="147"/>
      <c r="GH23" s="147"/>
      <c r="GI23" s="147"/>
      <c r="GJ23" s="147"/>
      <c r="GK23" s="147"/>
      <c r="GL23" s="147"/>
      <c r="GM23" s="147"/>
      <c r="GN23" s="147"/>
      <c r="GO23" s="147"/>
      <c r="GP23" s="147"/>
      <c r="GQ23" s="147"/>
      <c r="GR23" s="147"/>
      <c r="GS23" s="147"/>
      <c r="GT23" s="147"/>
      <c r="GU23" s="147"/>
      <c r="GV23" s="147"/>
      <c r="GW23" s="147"/>
      <c r="GX23" s="147"/>
      <c r="GY23" s="147"/>
      <c r="GZ23" s="147"/>
      <c r="HA23" s="147"/>
      <c r="HB23" s="147"/>
      <c r="HC23" s="147"/>
      <c r="HD23" s="147"/>
      <c r="HE23" s="147"/>
      <c r="HF23" s="147"/>
      <c r="HG23" s="147"/>
      <c r="HH23" s="147"/>
      <c r="HI23" s="147"/>
      <c r="HJ23" s="147"/>
      <c r="HK23" s="147"/>
      <c r="HL23" s="147"/>
      <c r="HM23" s="147"/>
      <c r="HN23" s="147"/>
      <c r="HO23" s="147"/>
      <c r="HP23" s="147"/>
      <c r="HQ23" s="147"/>
      <c r="HR23" s="147"/>
      <c r="HS23" s="147"/>
      <c r="HT23" s="147"/>
      <c r="HU23" s="147"/>
      <c r="HV23" s="147"/>
      <c r="HW23" s="147"/>
      <c r="HX23" s="147"/>
      <c r="HY23" s="147"/>
      <c r="HZ23" s="147"/>
      <c r="IA23" s="147"/>
      <c r="IB23" s="147"/>
      <c r="IC23" s="147"/>
      <c r="ID23" s="147"/>
      <c r="IE23" s="147"/>
      <c r="IF23" s="147"/>
      <c r="IG23" s="147"/>
      <c r="IH23" s="147"/>
      <c r="II23" s="147"/>
      <c r="IJ23" s="147"/>
      <c r="IK23" s="147"/>
      <c r="IL23" s="147"/>
      <c r="IM23" s="147"/>
      <c r="IN23" s="147"/>
      <c r="IO23" s="147"/>
      <c r="IP23" s="147"/>
      <c r="IQ23" s="147"/>
      <c r="IR23" s="147"/>
      <c r="IS23" s="147"/>
      <c r="IT23" s="147"/>
      <c r="IU23" s="147"/>
      <c r="IV23" s="147"/>
      <c r="IW23" s="147"/>
      <c r="IX23" s="147"/>
      <c r="IY23" s="147"/>
    </row>
    <row r="24" spans="1:259" ht="48" customHeight="1" x14ac:dyDescent="0.15">
      <c r="A24" s="17" t="s">
        <v>164</v>
      </c>
      <c r="B24" s="30" t="str">
        <f>VLOOKUP(A24,'HECVAT - Full'!A$24:B$312,2,FALSE)</f>
        <v>Does your product process protected health information (PHI) or any data covered by the Health Insurance Portability and Accountability Act?</v>
      </c>
      <c r="C24" s="35" t="s">
        <v>568</v>
      </c>
      <c r="D24" s="35" t="s">
        <v>615</v>
      </c>
      <c r="E24" s="35" t="s">
        <v>616</v>
      </c>
      <c r="F24" s="35" t="s">
        <v>697</v>
      </c>
      <c r="G24" s="44" t="s">
        <v>697</v>
      </c>
      <c r="H24" s="35" t="s">
        <v>818</v>
      </c>
      <c r="I24" s="36"/>
    </row>
    <row r="25" spans="1:259" ht="48" customHeight="1" x14ac:dyDescent="0.15">
      <c r="A25" s="17" t="s">
        <v>165</v>
      </c>
      <c r="B25" s="30" t="str">
        <f>VLOOKUP(A25,'HECVAT - Full'!A$24:B$312,2,FALSE)</f>
        <v>Does the vended product host/support a mobile application? (e.g. app)</v>
      </c>
      <c r="C25" s="35" t="s">
        <v>569</v>
      </c>
      <c r="D25" s="36"/>
      <c r="E25" s="36"/>
      <c r="F25" s="36"/>
      <c r="G25" s="45"/>
      <c r="H25" s="35" t="s">
        <v>819</v>
      </c>
      <c r="I25" s="36"/>
    </row>
    <row r="26" spans="1:259" ht="48" customHeight="1" x14ac:dyDescent="0.15">
      <c r="A26" s="17" t="s">
        <v>166</v>
      </c>
      <c r="B26" s="30" t="str">
        <f>VLOOKUP(A26,'HECVAT - Full'!A$24:B$312,2,FALSE)</f>
        <v>Will institution data be shared with or hosted by any third parties? (e.g. any entity not wholly-owned by your company is considered a third-party)</v>
      </c>
      <c r="C26" s="35" t="s">
        <v>568</v>
      </c>
      <c r="D26" s="36"/>
      <c r="E26" s="36"/>
      <c r="F26" s="35" t="s">
        <v>698</v>
      </c>
      <c r="G26" s="44" t="s">
        <v>698</v>
      </c>
      <c r="H26" s="36"/>
      <c r="I26" s="35">
        <v>12.8</v>
      </c>
    </row>
    <row r="27" spans="1:259" ht="48" customHeight="1" x14ac:dyDescent="0.15">
      <c r="A27" s="17" t="s">
        <v>167</v>
      </c>
      <c r="B27" s="30" t="str">
        <f>VLOOKUP(A27,'HECVAT - Full'!A$24:B$312,2,FALSE)</f>
        <v>Do you have a Business Continuity Plan (BCP)?</v>
      </c>
      <c r="C27" s="35" t="s">
        <v>570</v>
      </c>
      <c r="D27" s="36"/>
      <c r="E27" s="35" t="s">
        <v>617</v>
      </c>
      <c r="F27" s="35" t="s">
        <v>699</v>
      </c>
      <c r="G27" s="44" t="s">
        <v>699</v>
      </c>
      <c r="H27" s="35" t="s">
        <v>820</v>
      </c>
      <c r="I27" s="35">
        <v>12.1</v>
      </c>
    </row>
    <row r="28" spans="1:259" ht="48" customHeight="1" x14ac:dyDescent="0.15">
      <c r="A28" s="17" t="s">
        <v>168</v>
      </c>
      <c r="B28" s="30" t="str">
        <f>VLOOKUP(A28,'HECVAT - Full'!A$24:B$312,2,FALSE)</f>
        <v>Do you have a Disaster Recovery Plan (DRP)?</v>
      </c>
      <c r="C28" s="35" t="s">
        <v>570</v>
      </c>
      <c r="D28" s="36"/>
      <c r="E28" s="35" t="s">
        <v>617</v>
      </c>
      <c r="F28" s="35" t="s">
        <v>699</v>
      </c>
      <c r="G28" s="44" t="s">
        <v>699</v>
      </c>
      <c r="H28" s="35" t="s">
        <v>821</v>
      </c>
      <c r="I28" s="35">
        <v>12.1</v>
      </c>
    </row>
    <row r="29" spans="1:259" ht="48" customHeight="1" x14ac:dyDescent="0.15">
      <c r="A29" s="17" t="s">
        <v>169</v>
      </c>
      <c r="B29" s="30" t="str">
        <f>VLOOKUP(A29,'HECVAT - Full'!A$24:B$312,2,FALSE)</f>
        <v>Will data regulated by PCI DSS reside in the vended product?</v>
      </c>
      <c r="C29" s="35" t="s">
        <v>568</v>
      </c>
      <c r="D29" s="36"/>
      <c r="E29" s="35" t="s">
        <v>616</v>
      </c>
      <c r="F29" s="35" t="s">
        <v>697</v>
      </c>
      <c r="G29" s="44" t="s">
        <v>697</v>
      </c>
      <c r="H29" s="35" t="s">
        <v>818</v>
      </c>
      <c r="I29" s="35" t="s">
        <v>2108</v>
      </c>
    </row>
    <row r="30" spans="1:259" ht="48" customHeight="1" x14ac:dyDescent="0.15">
      <c r="A30" s="17" t="s">
        <v>170</v>
      </c>
      <c r="B30" s="30" t="str">
        <f>VLOOKUP(A30,'HECVAT - Full'!A$24:B$312,2,FALSE)</f>
        <v>Is your company a consulting firm providing only consultation to the Institution?</v>
      </c>
      <c r="C30" s="35" t="s">
        <v>571</v>
      </c>
      <c r="D30" s="36"/>
      <c r="E30" s="36"/>
      <c r="F30" s="36"/>
      <c r="G30" s="45"/>
      <c r="H30" s="36"/>
      <c r="I30" s="35" t="s">
        <v>2109</v>
      </c>
    </row>
    <row r="31" spans="1:259" s="33" customFormat="1" ht="36" customHeight="1" x14ac:dyDescent="0.15">
      <c r="A31" s="248" t="s">
        <v>18</v>
      </c>
      <c r="B31" s="248"/>
      <c r="C31" s="34" t="str">
        <f>$C$22</f>
        <v>CIS Critical Security Controls v6.1</v>
      </c>
      <c r="D31" s="34" t="str">
        <f>$D$22</f>
        <v>HIPAA</v>
      </c>
      <c r="E31" s="34" t="str">
        <f>$E$22</f>
        <v>ISO 27002:2013</v>
      </c>
      <c r="F31" s="34" t="str">
        <f>$F$22</f>
        <v>NIST Cybersecurity Framework</v>
      </c>
      <c r="G31" s="25" t="str">
        <f>$G$22</f>
        <v>NIST SP 800-171r1</v>
      </c>
      <c r="H31" s="34" t="str">
        <f>$H$22</f>
        <v>NIST SP 800-53r4</v>
      </c>
      <c r="I31" s="133" t="s">
        <v>2045</v>
      </c>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c r="IE31" s="32"/>
      <c r="IF31" s="32"/>
      <c r="IG31" s="32"/>
      <c r="IH31" s="32"/>
      <c r="II31" s="32"/>
      <c r="IJ31" s="32"/>
      <c r="IK31" s="32"/>
      <c r="IL31" s="32"/>
      <c r="IM31" s="32"/>
      <c r="IN31" s="32"/>
      <c r="IO31" s="32"/>
      <c r="IP31" s="32"/>
      <c r="IQ31" s="32"/>
      <c r="IR31" s="32"/>
      <c r="IS31" s="32"/>
      <c r="IT31" s="32"/>
      <c r="IU31" s="32"/>
      <c r="IV31" s="32"/>
      <c r="IW31" s="32"/>
      <c r="IX31" s="32"/>
      <c r="IY31" s="32"/>
    </row>
    <row r="32" spans="1:259" ht="64.25" customHeight="1" x14ac:dyDescent="0.15">
      <c r="A32" s="17" t="s">
        <v>171</v>
      </c>
      <c r="B32" s="30" t="str">
        <f>VLOOKUP(A32,'HECVAT - Full'!A$24:B$312,2,FALSE)</f>
        <v>Have you undergone a SSAE 18 audit?</v>
      </c>
      <c r="C32" s="36"/>
      <c r="D32" s="36"/>
      <c r="E32" s="35" t="s">
        <v>618</v>
      </c>
      <c r="F32" s="36"/>
      <c r="G32" s="45"/>
      <c r="H32" s="35" t="s">
        <v>822</v>
      </c>
      <c r="I32" s="36"/>
    </row>
    <row r="33" spans="1:259" ht="48" customHeight="1" x14ac:dyDescent="0.15">
      <c r="A33" s="17" t="s">
        <v>172</v>
      </c>
      <c r="B33" s="30" t="str">
        <f>VLOOKUP(A33,'HECVAT - Full'!A$24:B$312,2,FALSE)</f>
        <v>Have you completed the Cloud Security Alliance (CSA) self assessment or CAIQ?</v>
      </c>
      <c r="C33" s="36"/>
      <c r="D33" s="36"/>
      <c r="E33" s="35" t="s">
        <v>618</v>
      </c>
      <c r="F33" s="36"/>
      <c r="G33" s="45"/>
      <c r="H33" s="35" t="s">
        <v>823</v>
      </c>
      <c r="I33" s="36"/>
    </row>
    <row r="34" spans="1:259" ht="48" customHeight="1" x14ac:dyDescent="0.15">
      <c r="A34" s="17" t="s">
        <v>173</v>
      </c>
      <c r="B34" s="30" t="str">
        <f>VLOOKUP(A34,'HECVAT - Full'!A$24:B$312,2,FALSE)</f>
        <v>Have you received the Cloud Security Alliance STAR certification?</v>
      </c>
      <c r="C34" s="36"/>
      <c r="D34" s="36"/>
      <c r="E34" s="35" t="s">
        <v>618</v>
      </c>
      <c r="F34" s="36"/>
      <c r="G34" s="45"/>
      <c r="H34" s="35" t="s">
        <v>823</v>
      </c>
      <c r="I34" s="36"/>
    </row>
    <row r="35" spans="1:259" ht="64.25" customHeight="1" x14ac:dyDescent="0.15">
      <c r="A35" s="17" t="s">
        <v>174</v>
      </c>
      <c r="B35" s="30" t="str">
        <f>VLOOKUP(A35,'HECVAT - Full'!A$24:B$312,2,FALSE)</f>
        <v>Do you conform with a specific industry standard security framework? (e.g. NIST Cybersecurity Framework, ISO 27001, etc.)</v>
      </c>
      <c r="C35" s="36"/>
      <c r="D35" s="36"/>
      <c r="E35" s="35" t="s">
        <v>616</v>
      </c>
      <c r="F35" s="36"/>
      <c r="G35" s="45"/>
      <c r="H35" s="35" t="s">
        <v>822</v>
      </c>
      <c r="I35" s="35" t="s">
        <v>2110</v>
      </c>
    </row>
    <row r="36" spans="1:259" ht="48" customHeight="1" x14ac:dyDescent="0.15">
      <c r="A36" s="17" t="s">
        <v>175</v>
      </c>
      <c r="B36" s="30" t="str">
        <f>VLOOKUP(A36,'HECVAT - Full'!A$24:B$312,2,FALSE)</f>
        <v>Are you compliant with FISMA standards?</v>
      </c>
      <c r="C36" s="36"/>
      <c r="D36" s="36"/>
      <c r="E36" s="35" t="s">
        <v>616</v>
      </c>
      <c r="F36" s="36"/>
      <c r="G36" s="45"/>
      <c r="H36" s="35" t="s">
        <v>822</v>
      </c>
      <c r="I36" s="36"/>
    </row>
    <row r="37" spans="1:259" ht="48" customHeight="1" x14ac:dyDescent="0.15">
      <c r="A37" s="17" t="s">
        <v>176</v>
      </c>
      <c r="B37" s="30" t="str">
        <f>VLOOKUP(A37,'HECVAT - Full'!A$24:B$312,2,FALSE)</f>
        <v>Does your organization have a data privacy policy?</v>
      </c>
      <c r="C37" s="36"/>
      <c r="D37" s="35" t="s">
        <v>599</v>
      </c>
      <c r="E37" s="35" t="s">
        <v>619</v>
      </c>
      <c r="F37" s="35" t="s">
        <v>697</v>
      </c>
      <c r="G37" s="44" t="s">
        <v>697</v>
      </c>
      <c r="H37" s="35" t="s">
        <v>822</v>
      </c>
      <c r="I37" s="36"/>
    </row>
    <row r="38" spans="1:259" s="33" customFormat="1" ht="36" customHeight="1" x14ac:dyDescent="0.15">
      <c r="A38" s="248" t="s">
        <v>152</v>
      </c>
      <c r="B38" s="248"/>
      <c r="C38" s="34" t="str">
        <f>$C$22</f>
        <v>CIS Critical Security Controls v6.1</v>
      </c>
      <c r="D38" s="34" t="str">
        <f>$D$22</f>
        <v>HIPAA</v>
      </c>
      <c r="E38" s="34" t="str">
        <f>$E$22</f>
        <v>ISO 27002:2013</v>
      </c>
      <c r="F38" s="34" t="str">
        <f>$F$22</f>
        <v>NIST Cybersecurity Framework</v>
      </c>
      <c r="G38" s="25" t="str">
        <f>$G$22</f>
        <v>NIST SP 800-171r1</v>
      </c>
      <c r="H38" s="34" t="str">
        <f>$H$22</f>
        <v>NIST SP 800-53r4</v>
      </c>
      <c r="I38" s="133" t="s">
        <v>2045</v>
      </c>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c r="FP38" s="32"/>
      <c r="FQ38" s="32"/>
      <c r="FR38" s="32"/>
      <c r="FS38" s="32"/>
      <c r="FT38" s="32"/>
      <c r="FU38" s="32"/>
      <c r="FV38" s="32"/>
      <c r="FW38" s="32"/>
      <c r="FX38" s="32"/>
      <c r="FY38" s="32"/>
      <c r="FZ38" s="32"/>
      <c r="GA38" s="32"/>
      <c r="GB38" s="32"/>
      <c r="GC38" s="32"/>
      <c r="GD38" s="32"/>
      <c r="GE38" s="32"/>
      <c r="GF38" s="32"/>
      <c r="GG38" s="32"/>
      <c r="GH38" s="32"/>
      <c r="GI38" s="32"/>
      <c r="GJ38" s="32"/>
      <c r="GK38" s="32"/>
      <c r="GL38" s="32"/>
      <c r="GM38" s="32"/>
      <c r="GN38" s="32"/>
      <c r="GO38" s="32"/>
      <c r="GP38" s="32"/>
      <c r="GQ38" s="32"/>
      <c r="GR38" s="32"/>
      <c r="GS38" s="32"/>
      <c r="GT38" s="32"/>
      <c r="GU38" s="32"/>
      <c r="GV38" s="32"/>
      <c r="GW38" s="32"/>
      <c r="GX38" s="32"/>
      <c r="GY38" s="32"/>
      <c r="GZ38" s="32"/>
      <c r="HA38" s="32"/>
      <c r="HB38" s="32"/>
      <c r="HC38" s="32"/>
      <c r="HD38" s="32"/>
      <c r="HE38" s="32"/>
      <c r="HF38" s="32"/>
      <c r="HG38" s="32"/>
      <c r="HH38" s="32"/>
      <c r="HI38" s="32"/>
      <c r="HJ38" s="32"/>
      <c r="HK38" s="32"/>
      <c r="HL38" s="32"/>
      <c r="HM38" s="32"/>
      <c r="HN38" s="32"/>
      <c r="HO38" s="32"/>
      <c r="HP38" s="32"/>
      <c r="HQ38" s="32"/>
      <c r="HR38" s="32"/>
      <c r="HS38" s="32"/>
      <c r="HT38" s="32"/>
      <c r="HU38" s="32"/>
      <c r="HV38" s="32"/>
      <c r="HW38" s="32"/>
      <c r="HX38" s="32"/>
      <c r="HY38" s="32"/>
      <c r="HZ38" s="32"/>
      <c r="IA38" s="32"/>
      <c r="IB38" s="32"/>
      <c r="IC38" s="32"/>
      <c r="ID38" s="32"/>
      <c r="IE38" s="32"/>
      <c r="IF38" s="32"/>
      <c r="IG38" s="32"/>
      <c r="IH38" s="32"/>
      <c r="II38" s="32"/>
      <c r="IJ38" s="32"/>
      <c r="IK38" s="32"/>
      <c r="IL38" s="32"/>
      <c r="IM38" s="32"/>
      <c r="IN38" s="32"/>
      <c r="IO38" s="32"/>
      <c r="IP38" s="32"/>
      <c r="IQ38" s="32"/>
      <c r="IR38" s="32"/>
      <c r="IS38" s="32"/>
      <c r="IT38" s="32"/>
      <c r="IU38" s="32"/>
      <c r="IV38" s="32"/>
      <c r="IW38" s="32"/>
      <c r="IX38" s="32"/>
      <c r="IY38" s="32"/>
    </row>
    <row r="39" spans="1:259" ht="54" customHeight="1" x14ac:dyDescent="0.15">
      <c r="A39" s="17" t="s">
        <v>177</v>
      </c>
      <c r="B39" s="30" t="str">
        <f>VLOOKUP(A39,'HECVAT - Full'!A$24:B$312,2,FALSE)</f>
        <v>Describe your organization’s business background and ownership structure, including all parent and subsidiary relationships.</v>
      </c>
      <c r="C39" s="36"/>
      <c r="D39" s="36"/>
      <c r="E39" s="36"/>
      <c r="F39" s="36"/>
      <c r="G39" s="45"/>
      <c r="H39" s="36"/>
      <c r="I39" s="35">
        <v>12.8</v>
      </c>
    </row>
    <row r="40" spans="1:259" ht="54" customHeight="1" x14ac:dyDescent="0.15">
      <c r="A40" s="17" t="s">
        <v>178</v>
      </c>
      <c r="B40" s="30" t="str">
        <f>VLOOKUP(A40,'HECVAT - Full'!A$24:B$312,2,FALSE)</f>
        <v>Describe how long your organization has conducted business in this product area.</v>
      </c>
      <c r="C40" s="36"/>
      <c r="D40" s="36"/>
      <c r="E40" s="36"/>
      <c r="F40" s="36"/>
      <c r="G40" s="45"/>
      <c r="H40" s="36"/>
      <c r="I40" s="35">
        <v>12.8</v>
      </c>
    </row>
    <row r="41" spans="1:259" ht="54" customHeight="1" x14ac:dyDescent="0.15">
      <c r="A41" s="17" t="s">
        <v>179</v>
      </c>
      <c r="B41" s="30" t="str">
        <f>VLOOKUP(A41,'HECVAT - Full'!A$24:B$312,2,FALSE)</f>
        <v>Do you have existing higher education customers?</v>
      </c>
      <c r="C41" s="36"/>
      <c r="D41" s="36"/>
      <c r="E41" s="35" t="s">
        <v>618</v>
      </c>
      <c r="F41" s="36"/>
      <c r="G41" s="45"/>
      <c r="H41" s="36"/>
      <c r="I41" s="35">
        <v>12.8</v>
      </c>
    </row>
    <row r="42" spans="1:259" ht="64.25" customHeight="1" x14ac:dyDescent="0.15">
      <c r="A42" s="17" t="s">
        <v>180</v>
      </c>
      <c r="B42" s="30" t="str">
        <f>VLOOKUP(A42,'HECVAT - Full'!A$24:B$312,2,FALSE)</f>
        <v>Have you had a significant breach in the last 5 years?</v>
      </c>
      <c r="C42" s="36"/>
      <c r="D42" s="36"/>
      <c r="E42" s="36"/>
      <c r="F42" s="36"/>
      <c r="G42" s="36"/>
      <c r="H42" s="36"/>
      <c r="I42" s="36"/>
    </row>
    <row r="43" spans="1:259" ht="54" customHeight="1" x14ac:dyDescent="0.15">
      <c r="A43" s="17" t="s">
        <v>181</v>
      </c>
      <c r="B43" s="30" t="str">
        <f>VLOOKUP(A43,'HECVAT - Full'!A$24:B$312,2,FALSE)</f>
        <v>Do you have a dedicated Information Security staff or office?</v>
      </c>
      <c r="C43" s="36"/>
      <c r="D43" s="36"/>
      <c r="E43" s="35" t="s">
        <v>618</v>
      </c>
      <c r="F43" s="36"/>
      <c r="G43" s="45"/>
      <c r="H43" s="36"/>
      <c r="I43" s="35" t="s">
        <v>2111</v>
      </c>
    </row>
    <row r="44" spans="1:259" ht="64.25" customHeight="1" x14ac:dyDescent="0.15">
      <c r="A44" s="17" t="s">
        <v>182</v>
      </c>
      <c r="B44" s="30" t="str">
        <f>VLOOKUP(A44,'HECVAT - Full'!A$24:B$312,2,FALSE)</f>
        <v>Do you have a dedicated Software and System Development team(s)? (e.g. Customer Support, Implementation, Product Management, etc.)</v>
      </c>
      <c r="C44" s="36"/>
      <c r="D44" s="36"/>
      <c r="E44" s="35" t="s">
        <v>621</v>
      </c>
      <c r="F44" s="36"/>
      <c r="G44" s="45"/>
      <c r="H44" s="35" t="s">
        <v>824</v>
      </c>
      <c r="I44" s="35">
        <v>12.8</v>
      </c>
    </row>
    <row r="45" spans="1:259" ht="83" customHeight="1" x14ac:dyDescent="0.15">
      <c r="A45" s="17" t="s">
        <v>430</v>
      </c>
      <c r="B45" s="30" t="str">
        <f>VLOOKUP(A45,'HECVAT - Full'!A$24:B$312,2,FALSE)</f>
        <v>Use this area to share information about your environment that will assist those who are assessing your company data security program.</v>
      </c>
      <c r="C45" s="36"/>
      <c r="D45" s="36"/>
      <c r="E45" s="35" t="s">
        <v>618</v>
      </c>
      <c r="F45" s="36"/>
      <c r="G45" s="45"/>
      <c r="H45" s="36"/>
      <c r="I45" s="35">
        <v>12.8</v>
      </c>
    </row>
    <row r="46" spans="1:259" ht="36" customHeight="1" x14ac:dyDescent="0.15">
      <c r="A46" s="248" t="str">
        <f>IF($C$26="No","Third Parties - Optional based on QUALIFIER response.","Third Parties")</f>
        <v>Third Parties</v>
      </c>
      <c r="B46" s="248"/>
      <c r="C46" s="34" t="str">
        <f>$C$22</f>
        <v>CIS Critical Security Controls v6.1</v>
      </c>
      <c r="D46" s="34" t="str">
        <f>$D$22</f>
        <v>HIPAA</v>
      </c>
      <c r="E46" s="34" t="str">
        <f>$E$22</f>
        <v>ISO 27002:2013</v>
      </c>
      <c r="F46" s="34" t="str">
        <f>$F$22</f>
        <v>NIST Cybersecurity Framework</v>
      </c>
      <c r="G46" s="25" t="str">
        <f>$G$22</f>
        <v>NIST SP 800-171r1</v>
      </c>
      <c r="H46" s="34" t="str">
        <f>$H$22</f>
        <v>NIST SP 800-53r4</v>
      </c>
      <c r="I46" s="133" t="s">
        <v>2045</v>
      </c>
    </row>
    <row r="47" spans="1:259" ht="96" customHeight="1" x14ac:dyDescent="0.15">
      <c r="A47" s="17" t="s">
        <v>183</v>
      </c>
      <c r="B47" s="30" t="s">
        <v>130</v>
      </c>
      <c r="C47" s="35" t="s">
        <v>568</v>
      </c>
      <c r="D47" s="36"/>
      <c r="E47" s="35" t="s">
        <v>622</v>
      </c>
      <c r="F47" s="35" t="s">
        <v>768</v>
      </c>
      <c r="G47" s="44" t="s">
        <v>700</v>
      </c>
      <c r="H47" s="35" t="s">
        <v>825</v>
      </c>
      <c r="I47" s="35">
        <v>12.8</v>
      </c>
    </row>
    <row r="48" spans="1:259" ht="80" customHeight="1" x14ac:dyDescent="0.15">
      <c r="A48" s="17" t="s">
        <v>184</v>
      </c>
      <c r="B48" s="30" t="s">
        <v>516</v>
      </c>
      <c r="C48" s="35" t="s">
        <v>568</v>
      </c>
      <c r="D48" s="36"/>
      <c r="E48" s="35" t="s">
        <v>622</v>
      </c>
      <c r="F48" s="35" t="s">
        <v>768</v>
      </c>
      <c r="G48" s="44" t="s">
        <v>700</v>
      </c>
      <c r="H48" s="36"/>
      <c r="I48" s="35">
        <v>12.8</v>
      </c>
    </row>
    <row r="49" spans="1:259" ht="80" customHeight="1" x14ac:dyDescent="0.15">
      <c r="A49" s="17" t="s">
        <v>185</v>
      </c>
      <c r="B49" s="30" t="s">
        <v>21</v>
      </c>
      <c r="C49" s="35" t="s">
        <v>568</v>
      </c>
      <c r="D49" s="36"/>
      <c r="E49" s="35" t="s">
        <v>622</v>
      </c>
      <c r="F49" s="35" t="s">
        <v>697</v>
      </c>
      <c r="G49" s="45"/>
      <c r="H49" s="35" t="s">
        <v>826</v>
      </c>
      <c r="I49" s="35">
        <v>12.8</v>
      </c>
    </row>
    <row r="50" spans="1:259" ht="80" customHeight="1" x14ac:dyDescent="0.15">
      <c r="A50" s="17" t="s">
        <v>429</v>
      </c>
      <c r="B50" s="30" t="s">
        <v>441</v>
      </c>
      <c r="C50" s="36"/>
      <c r="D50" s="36"/>
      <c r="E50" s="35" t="s">
        <v>622</v>
      </c>
      <c r="F50" s="35" t="s">
        <v>698</v>
      </c>
      <c r="G50" s="45"/>
      <c r="H50" s="35" t="s">
        <v>827</v>
      </c>
      <c r="I50" s="35">
        <v>12.8</v>
      </c>
    </row>
    <row r="51" spans="1:259" ht="36" customHeight="1" x14ac:dyDescent="0.15">
      <c r="A51" s="248" t="str">
        <f>IF($C$30="","Consulting",IF($C$30="Yes","Consulting - All questions after this section are OPTIONAL.","Consulting - Optional based on QUALIFIER response."))</f>
        <v>Consulting - Optional based on QUALIFIER response.</v>
      </c>
      <c r="B51" s="248"/>
      <c r="C51" s="34" t="str">
        <f>$C$22</f>
        <v>CIS Critical Security Controls v6.1</v>
      </c>
      <c r="D51" s="34" t="str">
        <f>$D$22</f>
        <v>HIPAA</v>
      </c>
      <c r="E51" s="34" t="str">
        <f>$E$22</f>
        <v>ISO 27002:2013</v>
      </c>
      <c r="F51" s="34" t="str">
        <f>$F$22</f>
        <v>NIST Cybersecurity Framework</v>
      </c>
      <c r="G51" s="25" t="str">
        <f>$G$22</f>
        <v>NIST SP 800-171r1</v>
      </c>
      <c r="H51" s="34" t="str">
        <f>$H$22</f>
        <v>NIST SP 800-53r4</v>
      </c>
      <c r="I51" s="133" t="s">
        <v>2045</v>
      </c>
    </row>
    <row r="52" spans="1:259" ht="36" customHeight="1" x14ac:dyDescent="0.15">
      <c r="A52" s="17" t="s">
        <v>186</v>
      </c>
      <c r="B52" s="30" t="str">
        <f>VLOOKUP(A52,'HECVAT - Full'!A$24:B$312,2,FALSE)</f>
        <v>Will the consulting take place on-premises?</v>
      </c>
      <c r="C52" s="36"/>
      <c r="D52" s="36"/>
      <c r="E52" s="35" t="s">
        <v>618</v>
      </c>
      <c r="F52" s="35" t="s">
        <v>698</v>
      </c>
      <c r="G52" s="45"/>
      <c r="H52" s="36"/>
      <c r="I52" s="36"/>
    </row>
    <row r="53" spans="1:259" ht="63" customHeight="1" x14ac:dyDescent="0.15">
      <c r="A53" s="17" t="s">
        <v>187</v>
      </c>
      <c r="B53" s="30" t="str">
        <f>VLOOKUP(A53,'HECVAT - Full'!A$24:B$312,2,FALSE)</f>
        <v>Will the consultant require access to Institution's network resources?</v>
      </c>
      <c r="C53" s="35" t="s">
        <v>571</v>
      </c>
      <c r="D53" s="36"/>
      <c r="E53" s="35" t="s">
        <v>623</v>
      </c>
      <c r="F53" s="35" t="s">
        <v>698</v>
      </c>
      <c r="G53" s="44" t="s">
        <v>701</v>
      </c>
      <c r="H53" s="35" t="s">
        <v>828</v>
      </c>
      <c r="I53" s="36"/>
    </row>
    <row r="54" spans="1:259" ht="63" customHeight="1" x14ac:dyDescent="0.15">
      <c r="A54" s="17" t="s">
        <v>188</v>
      </c>
      <c r="B54" s="30" t="str">
        <f>VLOOKUP(A54,'HECVAT - Full'!A$24:B$312,2,FALSE)</f>
        <v>Will the consultant require access to hardware in the Institution's data centers?</v>
      </c>
      <c r="C54" s="35" t="s">
        <v>571</v>
      </c>
      <c r="D54" s="36"/>
      <c r="E54" s="35" t="s">
        <v>624</v>
      </c>
      <c r="F54" s="35" t="s">
        <v>698</v>
      </c>
      <c r="G54" s="44" t="s">
        <v>702</v>
      </c>
      <c r="H54" s="36"/>
      <c r="I54" s="36"/>
    </row>
    <row r="55" spans="1:259" ht="48" customHeight="1" x14ac:dyDescent="0.15">
      <c r="A55" s="17" t="s">
        <v>189</v>
      </c>
      <c r="B55" s="30" t="str">
        <f>VLOOKUP(A55,'HECVAT - Full'!A$24:B$312,2,FALSE)</f>
        <v>Will the consultant require an account within the Institution's domain (@*.edu)?</v>
      </c>
      <c r="C55" s="35" t="s">
        <v>571</v>
      </c>
      <c r="D55" s="36"/>
      <c r="E55" s="36"/>
      <c r="F55" s="35" t="s">
        <v>698</v>
      </c>
      <c r="G55" s="45"/>
      <c r="H55" s="36"/>
      <c r="I55" s="36"/>
    </row>
    <row r="56" spans="1:259" ht="48" customHeight="1" x14ac:dyDescent="0.15">
      <c r="A56" s="17" t="s">
        <v>190</v>
      </c>
      <c r="B56" s="30" t="str">
        <f>VLOOKUP(A56,'HECVAT - Full'!A$24:B$312,2,FALSE)</f>
        <v>Has the consultant received training on [sensitive, HIPAA, PCI, etc.] data handling?</v>
      </c>
      <c r="C56" s="35" t="s">
        <v>568</v>
      </c>
      <c r="D56" s="36"/>
      <c r="E56" s="35" t="s">
        <v>616</v>
      </c>
      <c r="F56" s="35" t="s">
        <v>698</v>
      </c>
      <c r="G56" s="45"/>
      <c r="H56" s="36"/>
      <c r="I56" s="36"/>
    </row>
    <row r="57" spans="1:259" ht="48" customHeight="1" x14ac:dyDescent="0.15">
      <c r="A57" s="17" t="s">
        <v>191</v>
      </c>
      <c r="B57" s="30" t="str">
        <f>VLOOKUP(A57,'HECVAT - Full'!A$24:B$312,2,FALSE)</f>
        <v>Will any data be transferred to the consultant's possession?</v>
      </c>
      <c r="C57" s="35" t="s">
        <v>568</v>
      </c>
      <c r="D57" s="36"/>
      <c r="E57" s="35" t="s">
        <v>637</v>
      </c>
      <c r="F57" s="35" t="s">
        <v>698</v>
      </c>
      <c r="G57" s="44" t="s">
        <v>700</v>
      </c>
      <c r="H57" s="35" t="s">
        <v>829</v>
      </c>
      <c r="I57" s="36"/>
    </row>
    <row r="58" spans="1:259" s="3" customFormat="1" ht="48" customHeight="1" x14ac:dyDescent="0.2">
      <c r="A58" s="17" t="s">
        <v>192</v>
      </c>
      <c r="B58" s="30" t="str">
        <f>VLOOKUP(A58,'HECVAT - Full'!A$24:B$312,2,FALSE)</f>
        <v>Is it encrypted (at rest) while in the consultant's possession?</v>
      </c>
      <c r="C58" s="35" t="s">
        <v>568</v>
      </c>
      <c r="D58" s="36"/>
      <c r="E58" s="35" t="s">
        <v>638</v>
      </c>
      <c r="F58" s="35" t="s">
        <v>698</v>
      </c>
      <c r="G58" s="44" t="s">
        <v>703</v>
      </c>
      <c r="H58" s="35" t="s">
        <v>829</v>
      </c>
      <c r="I58" s="3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row>
    <row r="59" spans="1:259" ht="36" customHeight="1" x14ac:dyDescent="0.15">
      <c r="A59" s="17" t="s">
        <v>193</v>
      </c>
      <c r="B59" s="30" t="str">
        <f>VLOOKUP(A59,'HECVAT - Full'!A$24:B$312,2,FALSE)</f>
        <v>Will the consultant need remote access to the Institution's network or systems?</v>
      </c>
      <c r="C59" s="35" t="s">
        <v>571</v>
      </c>
      <c r="D59" s="36"/>
      <c r="E59" s="35" t="s">
        <v>637</v>
      </c>
      <c r="F59" s="35" t="s">
        <v>698</v>
      </c>
      <c r="G59" s="45"/>
      <c r="H59" s="36"/>
      <c r="I59" s="36"/>
    </row>
    <row r="60" spans="1:259" s="3" customFormat="1" ht="36" customHeight="1" x14ac:dyDescent="0.2">
      <c r="A60" s="17" t="s">
        <v>194</v>
      </c>
      <c r="B60" s="30" t="str">
        <f>VLOOKUP(A60,'HECVAT - Full'!A$24:B$312,2,FALSE)</f>
        <v>Can we restrict that access based on source IP address?</v>
      </c>
      <c r="C60" s="36"/>
      <c r="D60" s="36"/>
      <c r="E60" s="35" t="s">
        <v>637</v>
      </c>
      <c r="F60" s="35" t="s">
        <v>698</v>
      </c>
      <c r="G60" s="45"/>
      <c r="H60" s="36"/>
      <c r="I60" s="3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row>
    <row r="61" spans="1:259" ht="36" customHeight="1" x14ac:dyDescent="0.15">
      <c r="A61" s="248" t="str">
        <f>IF($C$30="","Application/Service Security",IF($C$30="Yes","App/Service Security - Optional based on QUALIFIER response.","Application/Service Security"))</f>
        <v>Application/Service Security</v>
      </c>
      <c r="B61" s="248"/>
      <c r="C61" s="34" t="str">
        <f>$C$22</f>
        <v>CIS Critical Security Controls v6.1</v>
      </c>
      <c r="D61" s="34" t="str">
        <f>$D$22</f>
        <v>HIPAA</v>
      </c>
      <c r="E61" s="34" t="str">
        <f>$E$22</f>
        <v>ISO 27002:2013</v>
      </c>
      <c r="F61" s="34" t="str">
        <f>$F$22</f>
        <v>NIST Cybersecurity Framework</v>
      </c>
      <c r="G61" s="25" t="str">
        <f>$G$22</f>
        <v>NIST SP 800-171r1</v>
      </c>
      <c r="H61" s="34" t="str">
        <f>$H$22</f>
        <v>NIST SP 800-53r4</v>
      </c>
      <c r="I61" s="133" t="s">
        <v>2045</v>
      </c>
    </row>
    <row r="62" spans="1:259" ht="49.25" customHeight="1" x14ac:dyDescent="0.15">
      <c r="A62" s="17" t="s">
        <v>195</v>
      </c>
      <c r="B62" s="30" t="str">
        <f>VLOOKUP(A62,'HECVAT - Full'!A$24:B$312,2,FALSE)</f>
        <v>Do you support role-based access control (RBAC) for end-users?</v>
      </c>
      <c r="C62" s="35" t="s">
        <v>569</v>
      </c>
      <c r="D62" s="36"/>
      <c r="E62" s="36"/>
      <c r="F62" s="35" t="s">
        <v>769</v>
      </c>
      <c r="G62" s="45"/>
      <c r="H62" s="36"/>
      <c r="I62" s="36"/>
    </row>
    <row r="63" spans="1:259" ht="48" customHeight="1" x14ac:dyDescent="0.15">
      <c r="A63" s="17" t="s">
        <v>196</v>
      </c>
      <c r="B63" s="30" t="str">
        <f>VLOOKUP(A63,'HECVAT - Full'!A$24:B$312,2,FALSE)</f>
        <v>Do you support role-based access control (RBAC) for system administrators?</v>
      </c>
      <c r="C63" s="35" t="s">
        <v>578</v>
      </c>
      <c r="D63" s="36"/>
      <c r="E63" s="35" t="s">
        <v>625</v>
      </c>
      <c r="F63" s="35" t="s">
        <v>769</v>
      </c>
      <c r="G63" s="45"/>
      <c r="H63" s="36"/>
      <c r="I63" s="36"/>
    </row>
    <row r="64" spans="1:259" ht="48" customHeight="1" x14ac:dyDescent="0.15">
      <c r="A64" s="17" t="s">
        <v>539</v>
      </c>
      <c r="B64" s="30" t="str">
        <f>VLOOKUP(A64,'HECVAT - Full'!A$24:B$312,2,FALSE)</f>
        <v>Can employees access customer data remotely?</v>
      </c>
      <c r="C64" s="134" t="s">
        <v>571</v>
      </c>
      <c r="D64" s="135"/>
      <c r="E64" s="134">
        <v>6.2</v>
      </c>
      <c r="F64" s="134" t="s">
        <v>772</v>
      </c>
      <c r="G64" s="134" t="s">
        <v>702</v>
      </c>
      <c r="H64" s="134" t="s">
        <v>832</v>
      </c>
      <c r="I64" s="134" t="s">
        <v>2112</v>
      </c>
    </row>
    <row r="65" spans="1:259" ht="64.25" customHeight="1" x14ac:dyDescent="0.15">
      <c r="A65" s="17" t="s">
        <v>197</v>
      </c>
      <c r="B65" s="30" t="str">
        <f>VLOOKUP(A65,'HECVAT - Full'!A$24:B$312,2,FALSE)</f>
        <v>Can you provide overall system and/or application architecture diagrams including a full description of the data communications architecture for all components of the system?</v>
      </c>
      <c r="C65" s="35" t="s">
        <v>572</v>
      </c>
      <c r="D65" s="36"/>
      <c r="E65" s="35" t="s">
        <v>627</v>
      </c>
      <c r="F65" s="35" t="s">
        <v>771</v>
      </c>
      <c r="G65" s="44" t="s">
        <v>705</v>
      </c>
      <c r="H65" s="35" t="s">
        <v>831</v>
      </c>
      <c r="I65" s="134" t="s">
        <v>2112</v>
      </c>
    </row>
    <row r="66" spans="1:259" ht="63" customHeight="1" x14ac:dyDescent="0.15">
      <c r="A66" s="155" t="s">
        <v>198</v>
      </c>
      <c r="B66" s="30" t="str">
        <f>VLOOKUP(A66,'HECVAT - Full'!A$24:B$312,2,FALSE)</f>
        <v xml:space="preserve">Does the system provide data input validation and error messages? </v>
      </c>
      <c r="C66" s="35" t="s">
        <v>569</v>
      </c>
      <c r="D66" s="36"/>
      <c r="E66" s="36"/>
      <c r="F66" s="35" t="s">
        <v>769</v>
      </c>
      <c r="G66" s="36"/>
      <c r="H66" s="36"/>
      <c r="I66" s="36"/>
    </row>
    <row r="67" spans="1:259" ht="53" customHeight="1" x14ac:dyDescent="0.15">
      <c r="A67" s="17" t="s">
        <v>199</v>
      </c>
      <c r="B67" s="30" t="str">
        <f>VLOOKUP(A67,'HECVAT - Full'!A$24:B$312,2,FALSE)</f>
        <v xml:space="preserve">Do you employ a single-tenant environment? </v>
      </c>
      <c r="C67" s="134" t="s">
        <v>573</v>
      </c>
      <c r="D67" s="135"/>
      <c r="E67" s="134">
        <v>6.2</v>
      </c>
      <c r="F67" s="134" t="s">
        <v>773</v>
      </c>
      <c r="G67" s="134" t="s">
        <v>706</v>
      </c>
      <c r="H67" s="134" t="s">
        <v>833</v>
      </c>
      <c r="I67" s="135"/>
    </row>
    <row r="68" spans="1:259" ht="80" customHeight="1" x14ac:dyDescent="0.15">
      <c r="A68" s="17" t="s">
        <v>200</v>
      </c>
      <c r="B68" s="30" t="str">
        <f>VLOOKUP(A68,'HECVAT - Full'!A$24:B$312,2,FALSE)</f>
        <v>What operating system(s) is/are leveraged by the system(s)/application(s) that will have access to institution's data?</v>
      </c>
      <c r="C68" s="134" t="s">
        <v>574</v>
      </c>
      <c r="D68" s="135"/>
      <c r="E68" s="134" t="s">
        <v>628</v>
      </c>
      <c r="F68" s="134" t="s">
        <v>773</v>
      </c>
      <c r="G68" s="135"/>
      <c r="H68" s="134" t="s">
        <v>832</v>
      </c>
      <c r="I68" s="135"/>
    </row>
    <row r="69" spans="1:259" s="3" customFormat="1" ht="80" customHeight="1" x14ac:dyDescent="0.2">
      <c r="A69" s="17" t="s">
        <v>201</v>
      </c>
      <c r="B69" s="30" t="str">
        <f>VLOOKUP(A69,'HECVAT - Full'!A$24:B$312,2,FALSE)</f>
        <v>Have you or any third party you contract with that may have access or allow access to the institution's data experienced a breach?</v>
      </c>
      <c r="C69" s="135"/>
      <c r="D69" s="135"/>
      <c r="E69" s="134">
        <v>16</v>
      </c>
      <c r="F69" s="135"/>
      <c r="G69" s="135"/>
      <c r="H69" s="135"/>
      <c r="I69" s="134" t="s">
        <v>2113</v>
      </c>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row>
    <row r="70" spans="1:259" ht="72" customHeight="1" x14ac:dyDescent="0.15">
      <c r="A70" s="17" t="s">
        <v>202</v>
      </c>
      <c r="B70" s="30" t="str">
        <f>VLOOKUP(A70,'HECVAT - Full'!A$24:B$312,2,FALSE)</f>
        <v xml:space="preserve">Describe or provide a reference to additional software/products necessary to implement a functional system on either the backend or user-interface side of the system. </v>
      </c>
      <c r="C70" s="134" t="s">
        <v>574</v>
      </c>
      <c r="D70" s="135"/>
      <c r="E70" s="134" t="s">
        <v>628</v>
      </c>
      <c r="F70" s="134" t="s">
        <v>774</v>
      </c>
      <c r="G70" s="135"/>
      <c r="H70" s="135"/>
      <c r="I70" s="135"/>
    </row>
    <row r="71" spans="1:259" ht="64.25" customHeight="1" x14ac:dyDescent="0.15">
      <c r="A71" s="17" t="s">
        <v>203</v>
      </c>
      <c r="B71" s="30" t="str">
        <f>VLOOKUP(A71,'HECVAT - Full'!A$24:B$312,2,FALSE)</f>
        <v xml:space="preserve">Describe or provide a reference to the overall system and/or application architecture(s), including appropriate diagrams. Include a full description of the data communications architecture for all components of the system. </v>
      </c>
      <c r="C71" s="134" t="s">
        <v>574</v>
      </c>
      <c r="D71" s="135"/>
      <c r="E71" s="134" t="s">
        <v>629</v>
      </c>
      <c r="F71" s="134" t="s">
        <v>775</v>
      </c>
      <c r="G71" s="135"/>
      <c r="H71" s="134" t="s">
        <v>834</v>
      </c>
      <c r="I71" s="134">
        <v>2.4</v>
      </c>
    </row>
    <row r="72" spans="1:259" ht="64.25" customHeight="1" x14ac:dyDescent="0.15">
      <c r="A72" s="17" t="s">
        <v>204</v>
      </c>
      <c r="B72" s="30" t="str">
        <f>VLOOKUP(A72,'HECVAT - Full'!A$24:B$312,2,FALSE)</f>
        <v>Are databases used in the system segregated from front-end systems? (e.g. web and application servers)</v>
      </c>
      <c r="C72" s="134" t="s">
        <v>568</v>
      </c>
      <c r="D72" s="135"/>
      <c r="E72" s="134" t="s">
        <v>630</v>
      </c>
      <c r="F72" s="135"/>
      <c r="G72" s="135"/>
      <c r="H72" s="135"/>
      <c r="I72" s="135"/>
    </row>
    <row r="73" spans="1:259" ht="48" customHeight="1" x14ac:dyDescent="0.15">
      <c r="A73" s="17" t="s">
        <v>205</v>
      </c>
      <c r="B73" s="30" t="str">
        <f>VLOOKUP(A73,'HECVAT - Full'!A$24:B$312,2,FALSE)</f>
        <v xml:space="preserve">Describe or provide a reference to all web-enabled features and functionality of the system (i.e. accessed via a web-based interface). </v>
      </c>
      <c r="C73" s="134" t="s">
        <v>575</v>
      </c>
      <c r="D73" s="135"/>
      <c r="E73" s="134" t="s">
        <v>629</v>
      </c>
      <c r="F73" s="135"/>
      <c r="G73" s="135"/>
      <c r="H73" s="135"/>
      <c r="I73" s="135"/>
    </row>
    <row r="74" spans="1:259" ht="65" customHeight="1" x14ac:dyDescent="0.15">
      <c r="A74" s="17" t="s">
        <v>206</v>
      </c>
      <c r="B74" s="30" t="str">
        <f>VLOOKUP(A74,'HECVAT - Full'!A$24:B$312,2,FALSE)</f>
        <v>Are there any OS and/or web-browser combinations that are not currently supported?</v>
      </c>
      <c r="C74" s="134" t="s">
        <v>575</v>
      </c>
      <c r="D74" s="135"/>
      <c r="E74" s="134" t="s">
        <v>628</v>
      </c>
      <c r="F74" s="135"/>
      <c r="G74" s="135"/>
      <c r="H74" s="135"/>
      <c r="I74" s="135"/>
    </row>
    <row r="75" spans="1:259" ht="65" customHeight="1" x14ac:dyDescent="0.15">
      <c r="A75" s="17" t="s">
        <v>207</v>
      </c>
      <c r="B75" s="30" t="str">
        <f>VLOOKUP(A75,'HECVAT - Full'!A$24:B$312,2,FALSE)</f>
        <v xml:space="preserve">Can your system take advantage of mobile and/or GPS enabled mobile devices?  </v>
      </c>
      <c r="C75" s="134" t="s">
        <v>574</v>
      </c>
      <c r="D75" s="135"/>
      <c r="E75" s="135"/>
      <c r="F75" s="135"/>
      <c r="G75" s="135"/>
      <c r="H75" s="135"/>
      <c r="I75" s="135"/>
    </row>
    <row r="76" spans="1:259" ht="63" customHeight="1" x14ac:dyDescent="0.15">
      <c r="A76" s="17" t="s">
        <v>540</v>
      </c>
      <c r="B76" s="30" t="str">
        <f>VLOOKUP(A76,'HECVAT - Full'!A$24:B$312,2,FALSE)</f>
        <v>Describe or provide a reference to the facilities available in the system to provide separation of duties between security administration and system administration functions.</v>
      </c>
      <c r="C76" s="134" t="s">
        <v>571</v>
      </c>
      <c r="D76" s="135"/>
      <c r="E76" s="134" t="s">
        <v>632</v>
      </c>
      <c r="F76" s="134" t="s">
        <v>771</v>
      </c>
      <c r="G76" s="134" t="s">
        <v>707</v>
      </c>
      <c r="H76" s="134" t="s">
        <v>835</v>
      </c>
      <c r="I76" s="134" t="s">
        <v>2114</v>
      </c>
    </row>
    <row r="77" spans="1:259" ht="65" customHeight="1" x14ac:dyDescent="0.15">
      <c r="A77" s="17" t="s">
        <v>208</v>
      </c>
      <c r="B77" s="30" t="str">
        <f>VLOOKUP(A77,'HECVAT - Full'!A$24:B$312,2,FALSE)</f>
        <v>Describe or provide a reference that details how administrator access is handled (e.g. provisioning, principle of least privilege, deprovisioning, etc.)</v>
      </c>
      <c r="C77" s="134" t="s">
        <v>576</v>
      </c>
      <c r="D77" s="135"/>
      <c r="E77" s="134">
        <v>9.1999999999999993</v>
      </c>
      <c r="F77" s="134" t="s">
        <v>771</v>
      </c>
      <c r="G77" s="134" t="s">
        <v>708</v>
      </c>
      <c r="H77" s="134" t="s">
        <v>836</v>
      </c>
      <c r="I77" s="134" t="s">
        <v>2115</v>
      </c>
    </row>
    <row r="78" spans="1:259" ht="65" customHeight="1" x14ac:dyDescent="0.15">
      <c r="A78" s="17" t="s">
        <v>209</v>
      </c>
      <c r="B78" s="30" t="str">
        <f>VLOOKUP(A78,'HECVAT - Full'!A$24:B$312,2,FALSE)</f>
        <v>Describe or provide references explaining how tertiary services are redundant (i.e. DNS, ISP, etc.).</v>
      </c>
      <c r="C78" s="134" t="s">
        <v>571</v>
      </c>
      <c r="D78" s="135"/>
      <c r="E78" s="134" t="s">
        <v>627</v>
      </c>
      <c r="F78" s="134" t="s">
        <v>770</v>
      </c>
      <c r="G78" s="134" t="s">
        <v>702</v>
      </c>
      <c r="H78" s="135"/>
      <c r="I78" s="135"/>
    </row>
    <row r="79" spans="1:259" ht="36" customHeight="1" x14ac:dyDescent="0.15">
      <c r="A79" s="248" t="str">
        <f>IF($C$30="","Authentication, Authorization, and Accounting",IF($C$30="Yes","AAA - Optional based on QUALIFIER response.","Authentication, Authorization, and Accounting"))</f>
        <v>Authentication, Authorization, and Accounting</v>
      </c>
      <c r="B79" s="248"/>
      <c r="C79" s="34" t="str">
        <f>$C$22</f>
        <v>CIS Critical Security Controls v6.1</v>
      </c>
      <c r="D79" s="34" t="str">
        <f>$D$22</f>
        <v>HIPAA</v>
      </c>
      <c r="E79" s="34" t="str">
        <f>$E$22</f>
        <v>ISO 27002:2013</v>
      </c>
      <c r="F79" s="34" t="str">
        <f>$F$22</f>
        <v>NIST Cybersecurity Framework</v>
      </c>
      <c r="G79" s="25" t="str">
        <f>$G$22</f>
        <v>NIST SP 800-171r1</v>
      </c>
      <c r="H79" s="34" t="str">
        <f>$H$22</f>
        <v>NIST SP 800-53r4</v>
      </c>
      <c r="I79" s="133" t="s">
        <v>2045</v>
      </c>
    </row>
    <row r="80" spans="1:259" ht="36" customHeight="1" x14ac:dyDescent="0.15">
      <c r="A80" s="17" t="s">
        <v>211</v>
      </c>
      <c r="B80" s="30" t="str">
        <f>VLOOKUP(A80,'HECVAT - Full'!A$24:B$312,2,FALSE)</f>
        <v>Can you enforce password/passphrase aging requirements?</v>
      </c>
      <c r="C80" s="35" t="s">
        <v>577</v>
      </c>
      <c r="D80" s="39"/>
      <c r="E80" s="35" t="s">
        <v>635</v>
      </c>
      <c r="F80" s="35" t="s">
        <v>777</v>
      </c>
      <c r="G80" s="44" t="s">
        <v>709</v>
      </c>
      <c r="H80" s="35" t="s">
        <v>837</v>
      </c>
      <c r="I80" s="35" t="s">
        <v>2117</v>
      </c>
    </row>
    <row r="81" spans="1:9" ht="48" customHeight="1" x14ac:dyDescent="0.15">
      <c r="A81" s="17" t="s">
        <v>212</v>
      </c>
      <c r="B81" s="30" t="str">
        <f>VLOOKUP(A81,'HECVAT - Full'!A$24:B$312,2,FALSE)</f>
        <v>Can you enforce password/passphrase complexity requirements [provided by the institution]?</v>
      </c>
      <c r="C81" s="35" t="s">
        <v>577</v>
      </c>
      <c r="D81" s="39"/>
      <c r="E81" s="35" t="s">
        <v>635</v>
      </c>
      <c r="F81" s="35" t="s">
        <v>777</v>
      </c>
      <c r="G81" s="44" t="s">
        <v>710</v>
      </c>
      <c r="H81" s="35" t="s">
        <v>838</v>
      </c>
      <c r="I81" s="35" t="s">
        <v>2117</v>
      </c>
    </row>
    <row r="82" spans="1:9" ht="48" customHeight="1" x14ac:dyDescent="0.15">
      <c r="A82" s="17" t="s">
        <v>213</v>
      </c>
      <c r="B82" s="30" t="str">
        <f>VLOOKUP(A82,'HECVAT - Full'!A$24:B$312,2,FALSE)</f>
        <v>Does the system have password complexity or length limitations and/or restrictions?</v>
      </c>
      <c r="C82" s="35" t="s">
        <v>577</v>
      </c>
      <c r="D82" s="39"/>
      <c r="E82" s="35" t="s">
        <v>635</v>
      </c>
      <c r="F82" s="35" t="s">
        <v>777</v>
      </c>
      <c r="G82" s="45"/>
      <c r="H82" s="36"/>
      <c r="I82" s="35" t="s">
        <v>2117</v>
      </c>
    </row>
    <row r="83" spans="1:9" ht="65" customHeight="1" x14ac:dyDescent="0.15">
      <c r="A83" s="17" t="s">
        <v>214</v>
      </c>
      <c r="B83" s="30" t="str">
        <f>VLOOKUP(A83,'HECVAT - Full'!A$24:B$312,2,FALSE)</f>
        <v>Do you have documented password/passphrase reset procedures that are currently implemented in the system and/or customer support?</v>
      </c>
      <c r="C83" s="35" t="s">
        <v>577</v>
      </c>
      <c r="D83" s="39"/>
      <c r="E83" s="35" t="s">
        <v>635</v>
      </c>
      <c r="F83" s="35" t="s">
        <v>777</v>
      </c>
      <c r="G83" s="44" t="s">
        <v>711</v>
      </c>
      <c r="H83" s="35" t="s">
        <v>837</v>
      </c>
      <c r="I83" s="35" t="s">
        <v>2118</v>
      </c>
    </row>
    <row r="84" spans="1:9" ht="65" customHeight="1" x14ac:dyDescent="0.15">
      <c r="A84" s="17" t="s">
        <v>215</v>
      </c>
      <c r="B84" s="30" t="str">
        <f>VLOOKUP(A84,'HECVAT - Full'!A$24:B$312,2,FALSE)</f>
        <v>Does your web-based interface support authentication, including standards-based single-sign-on? (e.g. InCommon)</v>
      </c>
      <c r="C84" s="35" t="s">
        <v>577</v>
      </c>
      <c r="D84" s="39"/>
      <c r="E84" s="35" t="s">
        <v>636</v>
      </c>
      <c r="F84" s="35" t="s">
        <v>777</v>
      </c>
      <c r="G84" s="44" t="s">
        <v>712</v>
      </c>
      <c r="H84" s="35" t="s">
        <v>839</v>
      </c>
      <c r="I84" s="35" t="s">
        <v>2117</v>
      </c>
    </row>
    <row r="85" spans="1:9" ht="48" customHeight="1" x14ac:dyDescent="0.15">
      <c r="A85" s="17" t="s">
        <v>216</v>
      </c>
      <c r="B85" s="30" t="str">
        <f>VLOOKUP(A85,'HECVAT - Full'!A$24:B$312,2,FALSE)</f>
        <v>Are there any passwords/passphrases hard coded into your systems or products?</v>
      </c>
      <c r="C85" s="35" t="s">
        <v>577</v>
      </c>
      <c r="D85" s="39"/>
      <c r="E85" s="35" t="s">
        <v>637</v>
      </c>
      <c r="F85" s="36"/>
      <c r="G85" s="45"/>
      <c r="H85" s="36"/>
      <c r="I85" s="35" t="s">
        <v>2118</v>
      </c>
    </row>
    <row r="86" spans="1:9" ht="36" customHeight="1" x14ac:dyDescent="0.15">
      <c r="A86" s="17" t="s">
        <v>217</v>
      </c>
      <c r="B86" s="30" t="str">
        <f>VLOOKUP(A86,'HECVAT - Full'!A$24:B$312,2,FALSE)</f>
        <v>Are user account passwords/passphrases visible in administration modules?</v>
      </c>
      <c r="C86" s="35" t="s">
        <v>577</v>
      </c>
      <c r="D86" s="39"/>
      <c r="E86" s="35" t="s">
        <v>637</v>
      </c>
      <c r="F86" s="35" t="s">
        <v>777</v>
      </c>
      <c r="G86" s="45"/>
      <c r="H86" s="36"/>
      <c r="I86" s="35" t="s">
        <v>2117</v>
      </c>
    </row>
    <row r="87" spans="1:9" ht="36" customHeight="1" x14ac:dyDescent="0.15">
      <c r="A87" s="17" t="s">
        <v>218</v>
      </c>
      <c r="B87" s="30" t="str">
        <f>VLOOKUP(A87,'HECVAT - Full'!A$24:B$312,2,FALSE)</f>
        <v>Are user account passwords/passphrases stored encrypted?</v>
      </c>
      <c r="C87" s="35" t="s">
        <v>577</v>
      </c>
      <c r="D87" s="39"/>
      <c r="E87" s="35" t="s">
        <v>637</v>
      </c>
      <c r="F87" s="35" t="s">
        <v>777</v>
      </c>
      <c r="G87" s="44" t="s">
        <v>713</v>
      </c>
      <c r="H87" s="35" t="s">
        <v>838</v>
      </c>
      <c r="I87" s="35" t="s">
        <v>2117</v>
      </c>
    </row>
    <row r="88" spans="1:9" ht="47" customHeight="1" x14ac:dyDescent="0.15">
      <c r="A88" s="17" t="s">
        <v>219</v>
      </c>
      <c r="B88" s="30" t="str">
        <f>VLOOKUP(A88,'HECVAT - Full'!A$24:B$312,2,FALSE)</f>
        <v>Does your application and/or user-frontend/portal support multi-factor authentication? (e.g. Duo, Google Authenticator, OTP, etc.)</v>
      </c>
      <c r="C88" s="35" t="s">
        <v>577</v>
      </c>
      <c r="D88" s="39"/>
      <c r="E88" s="35" t="s">
        <v>637</v>
      </c>
      <c r="F88" s="35" t="s">
        <v>770</v>
      </c>
      <c r="G88" s="44" t="s">
        <v>714</v>
      </c>
      <c r="H88" s="35" t="s">
        <v>840</v>
      </c>
      <c r="I88" s="35" t="s">
        <v>2117</v>
      </c>
    </row>
    <row r="89" spans="1:9" ht="53" customHeight="1" x14ac:dyDescent="0.15">
      <c r="A89" s="17" t="s">
        <v>220</v>
      </c>
      <c r="B89" s="30" t="str">
        <f>VLOOKUP(A89,'HECVAT - Full'!A$24:B$312,2,FALSE)</f>
        <v>Does your application support integration with other authentication and authorization systems?  List which ones (such as Active Directory, Kerberos and what version) in Additional Info?</v>
      </c>
      <c r="C89" s="35" t="s">
        <v>577</v>
      </c>
      <c r="D89" s="39"/>
      <c r="E89" s="35" t="s">
        <v>633</v>
      </c>
      <c r="F89" s="35" t="s">
        <v>778</v>
      </c>
      <c r="G89" s="45"/>
      <c r="H89" s="36"/>
      <c r="I89" s="36"/>
    </row>
    <row r="90" spans="1:9" ht="47" customHeight="1" x14ac:dyDescent="0.15">
      <c r="A90" s="17" t="s">
        <v>221</v>
      </c>
      <c r="B90" s="30" t="str">
        <f>VLOOKUP(A90,'HECVAT - Full'!A$24:B$312,2,FALSE)</f>
        <v>Will any external authentication or authorization system be utilized by an application with access to the institution's data?</v>
      </c>
      <c r="C90" s="35" t="s">
        <v>577</v>
      </c>
      <c r="D90" s="39"/>
      <c r="E90" s="35" t="s">
        <v>637</v>
      </c>
      <c r="F90" s="35" t="s">
        <v>778</v>
      </c>
      <c r="G90" s="45"/>
      <c r="H90" s="36"/>
      <c r="I90" s="35" t="s">
        <v>2117</v>
      </c>
    </row>
    <row r="91" spans="1:9" ht="54" customHeight="1" x14ac:dyDescent="0.15">
      <c r="A91" s="17" t="s">
        <v>222</v>
      </c>
      <c r="B91" s="30" t="str">
        <f>VLOOKUP(A91,'HECVAT - Full'!A$24:B$312,2,FALSE)</f>
        <v>Does the system (servers/infrastructure) support external authentication services (e.g. Active Directory, LDAP) in place of local authentication?</v>
      </c>
      <c r="C91" s="35" t="s">
        <v>577</v>
      </c>
      <c r="D91" s="39"/>
      <c r="E91" s="35" t="s">
        <v>633</v>
      </c>
      <c r="F91" s="35" t="s">
        <v>778</v>
      </c>
      <c r="G91" s="45"/>
      <c r="H91" s="36"/>
      <c r="I91" s="36"/>
    </row>
    <row r="92" spans="1:9" ht="54" customHeight="1" x14ac:dyDescent="0.15">
      <c r="A92" s="17" t="s">
        <v>223</v>
      </c>
      <c r="B92" s="30" t="str">
        <f>VLOOKUP(A92,'HECVAT - Full'!A$24:B$312,2,FALSE)</f>
        <v>Does the system operate in a mixed authentication mode (i.e. external and local authentication)?</v>
      </c>
      <c r="C92" s="35" t="s">
        <v>577</v>
      </c>
      <c r="D92" s="39"/>
      <c r="E92" s="36"/>
      <c r="F92" s="35" t="s">
        <v>778</v>
      </c>
      <c r="G92" s="45"/>
      <c r="H92" s="36"/>
      <c r="I92" s="36"/>
    </row>
    <row r="93" spans="1:9" ht="47" customHeight="1" x14ac:dyDescent="0.15">
      <c r="A93" s="17" t="s">
        <v>224</v>
      </c>
      <c r="B93" s="30" t="str">
        <f>VLOOKUP(A93,'HECVAT - Full'!A$24:B$312,2,FALSE)</f>
        <v>Will any external authentication or authorization system be utilized by a system with access to institution data?</v>
      </c>
      <c r="C93" s="35" t="s">
        <v>577</v>
      </c>
      <c r="D93" s="39"/>
      <c r="E93" s="36"/>
      <c r="F93" s="35" t="s">
        <v>778</v>
      </c>
      <c r="G93" s="44" t="s">
        <v>715</v>
      </c>
      <c r="H93" s="36"/>
      <c r="I93" s="35" t="s">
        <v>2117</v>
      </c>
    </row>
    <row r="94" spans="1:9" ht="48" customHeight="1" x14ac:dyDescent="0.15">
      <c r="A94" s="17" t="s">
        <v>225</v>
      </c>
      <c r="B94" s="30" t="str">
        <f>VLOOKUP(A94,'HECVAT - Full'!A$24:B$312,2,FALSE)</f>
        <v>Are audit logs available that include AT LEAST all of the following; login, logout, actions performed, and source IP address?</v>
      </c>
      <c r="C94" s="35" t="s">
        <v>579</v>
      </c>
      <c r="D94" s="39"/>
      <c r="E94" s="35" t="s">
        <v>634</v>
      </c>
      <c r="F94" s="35" t="s">
        <v>779</v>
      </c>
      <c r="G94" s="44" t="s">
        <v>716</v>
      </c>
      <c r="H94" s="35" t="s">
        <v>841</v>
      </c>
      <c r="I94" s="35" t="s">
        <v>2119</v>
      </c>
    </row>
    <row r="95" spans="1:9" ht="84" customHeight="1" x14ac:dyDescent="0.15">
      <c r="A95" s="17" t="s">
        <v>226</v>
      </c>
      <c r="B95" s="30" t="str">
        <f>VLOOKUP(A95,'HECVAT - Full'!A$24:B$312,2,FALSE)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95" s="35" t="s">
        <v>579</v>
      </c>
      <c r="D95" s="39"/>
      <c r="E95" s="35" t="s">
        <v>634</v>
      </c>
      <c r="F95" s="35" t="s">
        <v>779</v>
      </c>
      <c r="G95" s="44" t="s">
        <v>717</v>
      </c>
      <c r="H95" s="35" t="s">
        <v>842</v>
      </c>
      <c r="I95" s="35" t="s">
        <v>2120</v>
      </c>
    </row>
    <row r="96" spans="1:9" ht="64.25" customHeight="1" x14ac:dyDescent="0.15">
      <c r="A96" s="17" t="s">
        <v>227</v>
      </c>
      <c r="B96" s="30" t="str">
        <f>VLOOKUP(A96,'HECVAT - Full'!A$24:B$312,2,FALSE)</f>
        <v>Describe or provide a reference to the retention period for those logs, how logs are protected, and whether they are accessible to the customer (and if so, how).</v>
      </c>
      <c r="C96" s="35" t="s">
        <v>579</v>
      </c>
      <c r="D96" s="39"/>
      <c r="E96" s="35" t="s">
        <v>634</v>
      </c>
      <c r="F96" s="35" t="s">
        <v>779</v>
      </c>
      <c r="G96" s="44" t="s">
        <v>718</v>
      </c>
      <c r="H96" s="35" t="s">
        <v>843</v>
      </c>
      <c r="I96" s="35">
        <v>10.7</v>
      </c>
    </row>
    <row r="97" spans="1:259" s="33" customFormat="1" ht="36" customHeight="1" x14ac:dyDescent="0.15">
      <c r="A97" s="248" t="str">
        <f>IF(OR($C$27="No",$C$30="Yes"),"BCP - Optional based on QUALIFIER response.","Business Continuity Plan")</f>
        <v>Business Continuity Plan</v>
      </c>
      <c r="B97" s="248"/>
      <c r="C97" s="34" t="str">
        <f>$C$22</f>
        <v>CIS Critical Security Controls v6.1</v>
      </c>
      <c r="D97" s="34" t="str">
        <f>$D$22</f>
        <v>HIPAA</v>
      </c>
      <c r="E97" s="34" t="str">
        <f>$E$22</f>
        <v>ISO 27002:2013</v>
      </c>
      <c r="F97" s="34" t="str">
        <f>$F$22</f>
        <v>NIST Cybersecurity Framework</v>
      </c>
      <c r="G97" s="25" t="str">
        <f>$G$22</f>
        <v>NIST SP 800-171r1</v>
      </c>
      <c r="H97" s="34" t="str">
        <f>$H$22</f>
        <v>NIST SP 800-53r4</v>
      </c>
      <c r="I97" s="133" t="s">
        <v>2045</v>
      </c>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2"/>
      <c r="FF97" s="32"/>
      <c r="FG97" s="32"/>
      <c r="FH97" s="32"/>
      <c r="FI97" s="32"/>
      <c r="FJ97" s="32"/>
      <c r="FK97" s="32"/>
      <c r="FL97" s="32"/>
      <c r="FM97" s="32"/>
      <c r="FN97" s="32"/>
      <c r="FO97" s="32"/>
      <c r="FP97" s="32"/>
      <c r="FQ97" s="32"/>
      <c r="FR97" s="32"/>
      <c r="FS97" s="32"/>
      <c r="FT97" s="32"/>
      <c r="FU97" s="32"/>
      <c r="FV97" s="32"/>
      <c r="FW97" s="32"/>
      <c r="FX97" s="32"/>
      <c r="FY97" s="32"/>
      <c r="FZ97" s="32"/>
      <c r="GA97" s="32"/>
      <c r="GB97" s="32"/>
      <c r="GC97" s="32"/>
      <c r="GD97" s="32"/>
      <c r="GE97" s="32"/>
      <c r="GF97" s="32"/>
      <c r="GG97" s="32"/>
      <c r="GH97" s="32"/>
      <c r="GI97" s="32"/>
      <c r="GJ97" s="32"/>
      <c r="GK97" s="32"/>
      <c r="GL97" s="32"/>
      <c r="GM97" s="32"/>
      <c r="GN97" s="32"/>
      <c r="GO97" s="32"/>
      <c r="GP97" s="32"/>
      <c r="GQ97" s="32"/>
      <c r="GR97" s="32"/>
      <c r="GS97" s="32"/>
      <c r="GT97" s="32"/>
      <c r="GU97" s="32"/>
      <c r="GV97" s="32"/>
      <c r="GW97" s="32"/>
      <c r="GX97" s="32"/>
      <c r="GY97" s="32"/>
      <c r="GZ97" s="32"/>
      <c r="HA97" s="32"/>
      <c r="HB97" s="32"/>
      <c r="HC97" s="32"/>
      <c r="HD97" s="32"/>
      <c r="HE97" s="32"/>
      <c r="HF97" s="32"/>
      <c r="HG97" s="32"/>
      <c r="HH97" s="32"/>
      <c r="HI97" s="32"/>
      <c r="HJ97" s="32"/>
      <c r="HK97" s="32"/>
      <c r="HL97" s="32"/>
      <c r="HM97" s="32"/>
      <c r="HN97" s="32"/>
      <c r="HO97" s="32"/>
      <c r="HP97" s="32"/>
      <c r="HQ97" s="32"/>
      <c r="HR97" s="32"/>
      <c r="HS97" s="32"/>
      <c r="HT97" s="32"/>
      <c r="HU97" s="32"/>
      <c r="HV97" s="32"/>
      <c r="HW97" s="32"/>
      <c r="HX97" s="32"/>
      <c r="HY97" s="32"/>
      <c r="HZ97" s="32"/>
      <c r="IA97" s="32"/>
      <c r="IB97" s="32"/>
      <c r="IC97" s="32"/>
      <c r="ID97" s="32"/>
      <c r="IE97" s="32"/>
      <c r="IF97" s="32"/>
      <c r="IG97" s="32"/>
      <c r="IH97" s="32"/>
      <c r="II97" s="32"/>
      <c r="IJ97" s="32"/>
      <c r="IK97" s="32"/>
      <c r="IL97" s="32"/>
      <c r="IM97" s="32"/>
      <c r="IN97" s="32"/>
      <c r="IO97" s="32"/>
      <c r="IP97" s="32"/>
      <c r="IQ97" s="32"/>
      <c r="IR97" s="32"/>
      <c r="IS97" s="32"/>
      <c r="IT97" s="32"/>
      <c r="IU97" s="32"/>
      <c r="IV97" s="32"/>
      <c r="IW97" s="32"/>
      <c r="IX97" s="32"/>
      <c r="IY97" s="32"/>
    </row>
    <row r="98" spans="1:259" ht="48" customHeight="1" x14ac:dyDescent="0.15">
      <c r="A98" s="17" t="s">
        <v>210</v>
      </c>
      <c r="B98" s="30" t="str">
        <f>VLOOKUP(A98,'HECVAT - Full'!A$24:B$312,2,FALSE)</f>
        <v>Describe or provide a reference to your Business Continuity Plan (BCP).</v>
      </c>
      <c r="C98" s="35" t="s">
        <v>570</v>
      </c>
      <c r="D98" s="39"/>
      <c r="E98" s="35" t="s">
        <v>640</v>
      </c>
      <c r="F98" s="35" t="s">
        <v>699</v>
      </c>
      <c r="G98" s="44" t="s">
        <v>719</v>
      </c>
      <c r="H98" s="35" t="s">
        <v>844</v>
      </c>
      <c r="I98" s="45"/>
    </row>
    <row r="99" spans="1:259" ht="47" customHeight="1" x14ac:dyDescent="0.15">
      <c r="A99" s="17" t="s">
        <v>228</v>
      </c>
      <c r="B99" s="30" t="str">
        <f>VLOOKUP(A99,'HECVAT - Full'!A$24:B$312,2,FALSE)</f>
        <v>May the Institution review your BCP and supporting documentation?</v>
      </c>
      <c r="C99" s="35" t="s">
        <v>570</v>
      </c>
      <c r="D99" s="39"/>
      <c r="E99" s="36"/>
      <c r="F99" s="35" t="s">
        <v>699</v>
      </c>
      <c r="G99" s="44" t="s">
        <v>719</v>
      </c>
      <c r="H99" s="35" t="s">
        <v>845</v>
      </c>
      <c r="I99" s="45"/>
    </row>
    <row r="100" spans="1:259" ht="47" customHeight="1" x14ac:dyDescent="0.15">
      <c r="A100" s="17" t="s">
        <v>229</v>
      </c>
      <c r="B100" s="30" t="str">
        <f>VLOOKUP(A100,'HECVAT - Full'!A$24:B$312,2,FALSE)</f>
        <v>Is an owner assigned who is responsible for the maintenance and review of the Business Continuity Plan?</v>
      </c>
      <c r="C100" s="35" t="s">
        <v>570</v>
      </c>
      <c r="D100" s="39"/>
      <c r="E100" s="35" t="s">
        <v>640</v>
      </c>
      <c r="F100" s="35" t="s">
        <v>699</v>
      </c>
      <c r="G100" s="44" t="s">
        <v>719</v>
      </c>
      <c r="H100" s="35" t="s">
        <v>844</v>
      </c>
      <c r="I100" s="45"/>
    </row>
    <row r="101" spans="1:259" ht="47" customHeight="1" x14ac:dyDescent="0.15">
      <c r="A101" s="17" t="s">
        <v>230</v>
      </c>
      <c r="B101" s="30" t="str">
        <f>VLOOKUP(A101,'HECVAT - Full'!A$24:B$312,2,FALSE)</f>
        <v>Is there a defined problem/issue escalation plan in your BCP for impacted clients?</v>
      </c>
      <c r="C101" s="35" t="s">
        <v>570</v>
      </c>
      <c r="D101" s="39"/>
      <c r="E101" s="35" t="s">
        <v>643</v>
      </c>
      <c r="F101" s="35" t="s">
        <v>699</v>
      </c>
      <c r="G101" s="44" t="s">
        <v>719</v>
      </c>
      <c r="H101" s="35" t="s">
        <v>844</v>
      </c>
      <c r="I101" s="45"/>
    </row>
    <row r="102" spans="1:259" ht="47" customHeight="1" x14ac:dyDescent="0.15">
      <c r="A102" s="17" t="s">
        <v>231</v>
      </c>
      <c r="B102" s="30" t="str">
        <f>VLOOKUP(A102,'HECVAT - Full'!A$24:B$312,2,FALSE)</f>
        <v>Is there a documented communication plan in your BCP for impacted clients?</v>
      </c>
      <c r="C102" s="35" t="s">
        <v>570</v>
      </c>
      <c r="D102" s="39"/>
      <c r="E102" s="35" t="s">
        <v>617</v>
      </c>
      <c r="F102" s="35" t="s">
        <v>699</v>
      </c>
      <c r="G102" s="44" t="s">
        <v>719</v>
      </c>
      <c r="H102" s="35" t="s">
        <v>844</v>
      </c>
      <c r="I102" s="45"/>
    </row>
    <row r="103" spans="1:259" ht="48" customHeight="1" x14ac:dyDescent="0.15">
      <c r="A103" s="17" t="s">
        <v>232</v>
      </c>
      <c r="B103" s="30" t="str">
        <f>VLOOKUP(A103,'HECVAT - Full'!A$24:B$312,2,FALSE)</f>
        <v xml:space="preserve">Are all components of the BCP reviewed at least annually and updated as needed to reflect change? </v>
      </c>
      <c r="C103" s="35" t="s">
        <v>570</v>
      </c>
      <c r="D103" s="39"/>
      <c r="E103" s="35" t="s">
        <v>617</v>
      </c>
      <c r="F103" s="35" t="s">
        <v>699</v>
      </c>
      <c r="G103" s="44" t="s">
        <v>719</v>
      </c>
      <c r="H103" s="35" t="s">
        <v>844</v>
      </c>
      <c r="I103" s="45"/>
    </row>
    <row r="104" spans="1:259" ht="48" customHeight="1" x14ac:dyDescent="0.15">
      <c r="A104" s="17" t="s">
        <v>233</v>
      </c>
      <c r="B104" s="30" t="str">
        <f>VLOOKUP(A104,'HECVAT - Full'!A$24:B$312,2,FALSE)</f>
        <v xml:space="preserve">Has your BCP been tested in the last year? </v>
      </c>
      <c r="C104" s="35" t="s">
        <v>570</v>
      </c>
      <c r="D104" s="39"/>
      <c r="E104" s="35" t="s">
        <v>641</v>
      </c>
      <c r="F104" s="35" t="s">
        <v>699</v>
      </c>
      <c r="G104" s="44" t="s">
        <v>719</v>
      </c>
      <c r="H104" s="35" t="s">
        <v>844</v>
      </c>
      <c r="I104" s="45"/>
    </row>
    <row r="105" spans="1:259" ht="47" customHeight="1" x14ac:dyDescent="0.15">
      <c r="A105" s="17" t="s">
        <v>234</v>
      </c>
      <c r="B105" s="30" t="str">
        <f>VLOOKUP(A105,'HECVAT - Full'!A$24:B$312,2,FALSE)</f>
        <v>Does your organization conduct training and awareness activities to validate its employees understanding of their roles and responsibilities during a crisis?</v>
      </c>
      <c r="C105" s="35" t="s">
        <v>570</v>
      </c>
      <c r="D105" s="39"/>
      <c r="E105" s="35" t="s">
        <v>645</v>
      </c>
      <c r="F105" s="35" t="s">
        <v>699</v>
      </c>
      <c r="G105" s="44" t="s">
        <v>720</v>
      </c>
      <c r="H105" s="35" t="s">
        <v>846</v>
      </c>
      <c r="I105" s="35" t="s">
        <v>2114</v>
      </c>
    </row>
    <row r="106" spans="1:259" ht="47" customHeight="1" x14ac:dyDescent="0.15">
      <c r="A106" s="17" t="s">
        <v>235</v>
      </c>
      <c r="B106" s="30" t="str">
        <f>VLOOKUP(A106,'HECVAT - Full'!A$24:B$312,2,FALSE)</f>
        <v>Are specific crisis management roles and responsibilities defined and documented?</v>
      </c>
      <c r="C106" s="35" t="s">
        <v>570</v>
      </c>
      <c r="D106" s="39"/>
      <c r="E106" s="35" t="s">
        <v>644</v>
      </c>
      <c r="F106" s="35" t="s">
        <v>699</v>
      </c>
      <c r="G106" s="45"/>
      <c r="H106" s="35" t="s">
        <v>845</v>
      </c>
      <c r="I106" s="35" t="s">
        <v>2114</v>
      </c>
    </row>
    <row r="107" spans="1:259" ht="47" customHeight="1" x14ac:dyDescent="0.15">
      <c r="A107" s="17" t="s">
        <v>236</v>
      </c>
      <c r="B107" s="30" t="str">
        <f>VLOOKUP(A107,'HECVAT - Full'!A$24:B$312,2,FALSE)</f>
        <v>Does your organization have an alternative business site or a contracted Business Recovery provider?</v>
      </c>
      <c r="C107" s="35" t="s">
        <v>570</v>
      </c>
      <c r="D107" s="39"/>
      <c r="E107" s="35" t="s">
        <v>642</v>
      </c>
      <c r="F107" s="35" t="s">
        <v>699</v>
      </c>
      <c r="G107" s="45"/>
      <c r="H107" s="35" t="s">
        <v>845</v>
      </c>
      <c r="I107" s="35">
        <v>12.1</v>
      </c>
    </row>
    <row r="108" spans="1:259" ht="47" customHeight="1" x14ac:dyDescent="0.15">
      <c r="A108" s="17" t="s">
        <v>237</v>
      </c>
      <c r="B108" s="30" t="str">
        <f>VLOOKUP(A108,'HECVAT - Full'!A$24:B$312,2,FALSE)</f>
        <v>Does your organization conduct an annual test of relocating to an alternate site for business recovery purposes?</v>
      </c>
      <c r="C108" s="35" t="s">
        <v>570</v>
      </c>
      <c r="D108" s="39"/>
      <c r="E108" s="35" t="s">
        <v>641</v>
      </c>
      <c r="F108" s="35" t="s">
        <v>699</v>
      </c>
      <c r="G108" s="45"/>
      <c r="H108" s="35" t="s">
        <v>845</v>
      </c>
      <c r="I108" s="35">
        <v>12.1</v>
      </c>
    </row>
    <row r="109" spans="1:259" ht="64.25" customHeight="1" x14ac:dyDescent="0.15">
      <c r="A109" s="17" t="s">
        <v>238</v>
      </c>
      <c r="B109" s="30" t="str">
        <f>VLOOKUP(A109,'HECVAT - Full'!A$24:B$312,2,FALSE)</f>
        <v>Is this product a core service of your organization, and as such, the top priority during business continuity planning?</v>
      </c>
      <c r="C109" s="35" t="s">
        <v>570</v>
      </c>
      <c r="D109" s="39"/>
      <c r="E109" s="36"/>
      <c r="F109" s="35" t="s">
        <v>699</v>
      </c>
      <c r="G109" s="45"/>
      <c r="H109" s="35" t="s">
        <v>845</v>
      </c>
      <c r="I109" s="35">
        <v>12.1</v>
      </c>
    </row>
    <row r="110" spans="1:259" ht="36" customHeight="1" x14ac:dyDescent="0.15">
      <c r="A110" s="248" t="str">
        <f>IF($C$30="","Change Management",IF($C$30="Yes","Change Management - Optional based on QUALIFIER response.","Change Management"))</f>
        <v>Change Management</v>
      </c>
      <c r="B110" s="248"/>
      <c r="C110" s="34" t="str">
        <f>$C$22</f>
        <v>CIS Critical Security Controls v6.1</v>
      </c>
      <c r="D110" s="34" t="str">
        <f>$D$22</f>
        <v>HIPAA</v>
      </c>
      <c r="E110" s="34" t="str">
        <f>$E$22</f>
        <v>ISO 27002:2013</v>
      </c>
      <c r="F110" s="34" t="str">
        <f>$F$22</f>
        <v>NIST Cybersecurity Framework</v>
      </c>
      <c r="G110" s="25" t="str">
        <f>$G$22</f>
        <v>NIST SP 800-171r1</v>
      </c>
      <c r="H110" s="34" t="str">
        <f>$H$22</f>
        <v>NIST SP 800-53r4</v>
      </c>
      <c r="I110" s="133" t="s">
        <v>2045</v>
      </c>
    </row>
    <row r="111" spans="1:259" ht="48" customHeight="1" x14ac:dyDescent="0.15">
      <c r="A111" s="17" t="s">
        <v>239</v>
      </c>
      <c r="B111" s="30" t="str">
        <f>VLOOKUP(A111,'HECVAT - Full'!A$24:B$312,2,FALSE)</f>
        <v xml:space="preserve">Do you have a documented and currently followed change management process (CMP)? </v>
      </c>
      <c r="C111" s="35" t="s">
        <v>570</v>
      </c>
      <c r="D111" s="39"/>
      <c r="E111" s="35" t="s">
        <v>646</v>
      </c>
      <c r="F111" s="35" t="s">
        <v>780</v>
      </c>
      <c r="G111" s="44" t="s">
        <v>721</v>
      </c>
      <c r="H111" s="35" t="s">
        <v>847</v>
      </c>
      <c r="I111" s="35" t="s">
        <v>2122</v>
      </c>
    </row>
    <row r="112" spans="1:259" ht="80" customHeight="1" x14ac:dyDescent="0.15">
      <c r="A112" s="17" t="s">
        <v>240</v>
      </c>
      <c r="B112" s="30" t="str">
        <f>VLOOKUP(A112,'HECVAT - Full'!A$24:B$312,2,FALSE)</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C112" s="35" t="s">
        <v>570</v>
      </c>
      <c r="D112" s="39"/>
      <c r="E112" s="35" t="s">
        <v>646</v>
      </c>
      <c r="F112" s="35" t="s">
        <v>781</v>
      </c>
      <c r="G112" s="44" t="s">
        <v>722</v>
      </c>
      <c r="H112" s="35" t="s">
        <v>847</v>
      </c>
      <c r="I112" s="35" t="s">
        <v>2122</v>
      </c>
    </row>
    <row r="113" spans="1:259" ht="64.25" customHeight="1" x14ac:dyDescent="0.15">
      <c r="A113" s="17" t="s">
        <v>241</v>
      </c>
      <c r="B113" s="30" t="str">
        <f>VLOOKUP(A113,'HECVAT - Full'!A$24:B$312,2,FALSE)</f>
        <v>Will the Institution be notified of major changes to your environment that could impact the Institution's security posture?</v>
      </c>
      <c r="C113" s="35" t="s">
        <v>570</v>
      </c>
      <c r="D113" s="39"/>
      <c r="E113" s="35" t="s">
        <v>646</v>
      </c>
      <c r="F113" s="36"/>
      <c r="G113" s="45"/>
      <c r="H113" s="35" t="s">
        <v>847</v>
      </c>
      <c r="I113" s="35" t="s">
        <v>2123</v>
      </c>
    </row>
    <row r="114" spans="1:259" ht="64.25" customHeight="1" x14ac:dyDescent="0.15">
      <c r="A114" s="17" t="s">
        <v>242</v>
      </c>
      <c r="B114" s="30" t="str">
        <f>VLOOKUP(A114,'HECVAT - Full'!A$24:B$312,2,FALSE)</f>
        <v>Do clients have the option to not participate in or postpone an upgrade to a new release?</v>
      </c>
      <c r="C114" s="35" t="s">
        <v>570</v>
      </c>
      <c r="D114" s="40"/>
      <c r="E114" s="36"/>
      <c r="F114" s="36"/>
      <c r="G114" s="45"/>
      <c r="H114" s="35" t="s">
        <v>847</v>
      </c>
      <c r="I114" s="35">
        <v>12.1</v>
      </c>
    </row>
    <row r="115" spans="1:259" ht="64.25" customHeight="1" x14ac:dyDescent="0.15">
      <c r="A115" s="17" t="s">
        <v>243</v>
      </c>
      <c r="B115" s="30" t="str">
        <f>VLOOKUP(A115,'HECVAT - Full'!A$24:B$312,2,FALSE)</f>
        <v>Describe or provide a reference to your solution support strategy in relation to maintaining software currency. (i.e. how many concurrent versions are you willing to run and support?)</v>
      </c>
      <c r="C115" s="35" t="s">
        <v>574</v>
      </c>
      <c r="D115" s="39"/>
      <c r="E115" s="36"/>
      <c r="F115" s="36"/>
      <c r="G115" s="45"/>
      <c r="H115" s="35" t="s">
        <v>847</v>
      </c>
      <c r="I115" s="35" t="s">
        <v>2124</v>
      </c>
    </row>
    <row r="116" spans="1:259" ht="64.25" customHeight="1" x14ac:dyDescent="0.15">
      <c r="A116" s="17" t="s">
        <v>244</v>
      </c>
      <c r="B116" s="30" t="str">
        <f>VLOOKUP(A116,'HECVAT - Full'!A$24:B$312,2,FALSE)</f>
        <v>Identify the most current version of the software. Detail the percentage of live customers that are utilizing the proposed version of the software as well as each version of the software currently in use.</v>
      </c>
      <c r="C116" s="35" t="s">
        <v>574</v>
      </c>
      <c r="D116" s="39"/>
      <c r="E116" s="36"/>
      <c r="F116" s="36"/>
      <c r="G116" s="45"/>
      <c r="H116" s="35" t="s">
        <v>847</v>
      </c>
      <c r="I116" s="45"/>
    </row>
    <row r="117" spans="1:259" ht="64.25" customHeight="1" x14ac:dyDescent="0.15">
      <c r="A117" s="17" t="s">
        <v>245</v>
      </c>
      <c r="B117" s="30" t="str">
        <f>VLOOKUP(A117,'HECVAT - Full'!A$24:B$312,2,FALSE)</f>
        <v>Does the system support client customizations from one release to another?</v>
      </c>
      <c r="C117" s="35" t="s">
        <v>570</v>
      </c>
      <c r="D117" s="39"/>
      <c r="E117" s="36"/>
      <c r="F117" s="36"/>
      <c r="G117" s="45"/>
      <c r="H117" s="35" t="s">
        <v>847</v>
      </c>
      <c r="I117" s="45"/>
    </row>
    <row r="118" spans="1:259" ht="64.25" customHeight="1" x14ac:dyDescent="0.15">
      <c r="A118" s="17" t="s">
        <v>246</v>
      </c>
      <c r="B118" s="30" t="str">
        <f>VLOOKUP(A118,'HECVAT - Full'!A$24:B$312,2,FALSE)</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C118" s="35" t="s">
        <v>574</v>
      </c>
      <c r="D118" s="39"/>
      <c r="E118" s="35" t="s">
        <v>629</v>
      </c>
      <c r="F118" s="35" t="s">
        <v>776</v>
      </c>
      <c r="G118" s="44" t="s">
        <v>723</v>
      </c>
      <c r="H118" s="35" t="s">
        <v>847</v>
      </c>
      <c r="I118" s="35">
        <v>12.1</v>
      </c>
    </row>
    <row r="119" spans="1:259" ht="64.25" customHeight="1" x14ac:dyDescent="0.15">
      <c r="A119" s="17" t="s">
        <v>247</v>
      </c>
      <c r="B119" s="30" t="str">
        <f>VLOOKUP(A119,'HECVAT - Full'!A$24:B$312,2,FALSE)</f>
        <v>Do you have a release schedule for product updates?</v>
      </c>
      <c r="C119" s="35" t="s">
        <v>570</v>
      </c>
      <c r="D119" s="39"/>
      <c r="E119" s="36"/>
      <c r="F119" s="36"/>
      <c r="G119" s="44" t="s">
        <v>724</v>
      </c>
      <c r="H119" s="35" t="s">
        <v>847</v>
      </c>
      <c r="I119" s="45"/>
    </row>
    <row r="120" spans="1:259" ht="64.25" customHeight="1" x14ac:dyDescent="0.15">
      <c r="A120" s="17" t="s">
        <v>248</v>
      </c>
      <c r="B120" s="30" t="str">
        <f>VLOOKUP(A120,'HECVAT - Full'!A$24:B$312,2,FALSE)</f>
        <v>Do you have a technology roadmap, for the next 2 years, for enhancements and bug fixes for the product/service being assessed?</v>
      </c>
      <c r="C120" s="35" t="s">
        <v>574</v>
      </c>
      <c r="D120" s="39"/>
      <c r="E120" s="36"/>
      <c r="F120" s="36"/>
      <c r="G120" s="45"/>
      <c r="H120" s="35" t="s">
        <v>847</v>
      </c>
      <c r="I120" s="45"/>
    </row>
    <row r="121" spans="1:259" ht="64.25" customHeight="1" x14ac:dyDescent="0.15">
      <c r="A121" s="17" t="s">
        <v>249</v>
      </c>
      <c r="B121" s="30" t="str">
        <f>VLOOKUP(A121,'HECVAT - Full'!A$24:B$312,2,FALSE)</f>
        <v>Is Institution involvement (i.e. technically or organizationally) required during product updates?</v>
      </c>
      <c r="C121" s="36"/>
      <c r="D121" s="39"/>
      <c r="E121" s="36"/>
      <c r="F121" s="36"/>
      <c r="G121" s="45"/>
      <c r="H121" s="35" t="s">
        <v>847</v>
      </c>
      <c r="I121" s="45"/>
    </row>
    <row r="122" spans="1:259" ht="64.25" customHeight="1" x14ac:dyDescent="0.15">
      <c r="A122" s="17" t="s">
        <v>250</v>
      </c>
      <c r="B122" s="30" t="str">
        <f>VLOOKUP(A122,'HECVAT - Full'!A$24:B$312,2,FALSE)</f>
        <v>Do you have policy and procedure, currently implemented, managing how critical patches are applied to all systems and applications?</v>
      </c>
      <c r="C122" s="35" t="s">
        <v>574</v>
      </c>
      <c r="D122" s="39"/>
      <c r="E122" s="35" t="s">
        <v>647</v>
      </c>
      <c r="F122" s="36"/>
      <c r="G122" s="45"/>
      <c r="H122" s="35" t="s">
        <v>847</v>
      </c>
      <c r="I122" s="35" t="s">
        <v>2125</v>
      </c>
    </row>
    <row r="123" spans="1:259" ht="64.25" customHeight="1" x14ac:dyDescent="0.15">
      <c r="A123" s="17" t="s">
        <v>251</v>
      </c>
      <c r="B123" s="30" t="str">
        <f>VLOOKUP(A123,'HECVAT - Full'!A$24:B$312,2,FALSE)</f>
        <v>Do you have policy and procedure, currently implemented, guiding how security risks are mitigated until patches can be applied?</v>
      </c>
      <c r="C123" s="35" t="s">
        <v>568</v>
      </c>
      <c r="D123" s="35" t="s">
        <v>600</v>
      </c>
      <c r="E123" s="35" t="s">
        <v>647</v>
      </c>
      <c r="F123" s="36"/>
      <c r="G123" s="45"/>
      <c r="H123" s="35" t="s">
        <v>847</v>
      </c>
      <c r="I123" s="35" t="s">
        <v>2126</v>
      </c>
    </row>
    <row r="124" spans="1:259" ht="48" customHeight="1" x14ac:dyDescent="0.15">
      <c r="A124" s="17" t="s">
        <v>252</v>
      </c>
      <c r="B124" s="30" t="str">
        <f>VLOOKUP(A124,'HECVAT - Full'!A$24:B$312,2,FALSE)</f>
        <v>Are upgrades or system changes installed during off-peak hours or in a manner that does not impact the customer?</v>
      </c>
      <c r="C124" s="35" t="s">
        <v>570</v>
      </c>
      <c r="D124" s="40"/>
      <c r="E124" s="36"/>
      <c r="F124" s="36"/>
      <c r="G124" s="45"/>
      <c r="H124" s="35" t="s">
        <v>847</v>
      </c>
      <c r="I124" s="35" t="s">
        <v>2127</v>
      </c>
    </row>
    <row r="125" spans="1:259" ht="48" customHeight="1" x14ac:dyDescent="0.15">
      <c r="A125" s="17" t="s">
        <v>253</v>
      </c>
      <c r="B125" s="30" t="str">
        <f>VLOOKUP(A125,'HECVAT - Full'!A$24:B$312,2,FALSE)</f>
        <v>Do procedures exist to provide that emergency changes are documented and authorized (including after the fact approval)?</v>
      </c>
      <c r="C125" s="35" t="s">
        <v>570</v>
      </c>
      <c r="D125" s="40"/>
      <c r="E125" s="35" t="s">
        <v>646</v>
      </c>
      <c r="F125" s="35" t="s">
        <v>780</v>
      </c>
      <c r="G125" s="45"/>
      <c r="H125" s="35" t="s">
        <v>847</v>
      </c>
      <c r="I125" s="35" t="s">
        <v>2128</v>
      </c>
    </row>
    <row r="126" spans="1:259" ht="36" customHeight="1" x14ac:dyDescent="0.2">
      <c r="A126" s="248" t="str">
        <f>IF($C$30="","Data",IF($C$30="Yes","Data - Optional based on QUALIFIER response.","Data"))</f>
        <v>Data</v>
      </c>
      <c r="B126" s="248"/>
      <c r="C126" s="34" t="str">
        <f>$C$22</f>
        <v>CIS Critical Security Controls v6.1</v>
      </c>
      <c r="D126" s="34" t="str">
        <f>$D$22</f>
        <v>HIPAA</v>
      </c>
      <c r="E126" s="34" t="str">
        <f>$E$22</f>
        <v>ISO 27002:2013</v>
      </c>
      <c r="F126" s="34" t="str">
        <f>$F$22</f>
        <v>NIST Cybersecurity Framework</v>
      </c>
      <c r="G126" s="25" t="str">
        <f>$G$22</f>
        <v>NIST SP 800-171r1</v>
      </c>
      <c r="H126" s="34" t="str">
        <f>$H$22</f>
        <v>NIST SP 800-53r4</v>
      </c>
      <c r="I126" s="133" t="s">
        <v>2045</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row>
    <row r="127" spans="1:259" ht="48" customHeight="1" x14ac:dyDescent="0.2">
      <c r="A127" s="17" t="s">
        <v>254</v>
      </c>
      <c r="B127" s="30" t="str">
        <f>VLOOKUP(A127,'HECVAT - Full'!A$24:B$312,2,FALSE)</f>
        <v>Do you physically and logically separate Institution's data from that of other customers?</v>
      </c>
      <c r="C127" s="35" t="s">
        <v>573</v>
      </c>
      <c r="D127" s="36"/>
      <c r="E127" s="36"/>
      <c r="F127" s="35" t="s">
        <v>783</v>
      </c>
      <c r="G127" s="44" t="s">
        <v>725</v>
      </c>
      <c r="H127" s="35" t="s">
        <v>848</v>
      </c>
      <c r="I127" s="35">
        <v>12.8</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row>
    <row r="128" spans="1:259" ht="48" customHeight="1" x14ac:dyDescent="0.2">
      <c r="A128" s="17" t="s">
        <v>255</v>
      </c>
      <c r="B128" s="30" t="str">
        <f>VLOOKUP(A128,'HECVAT - Full'!A$24:B$312,2,FALSE)</f>
        <v>Will Institution's data be stored on any devices (database servers, file servers, SAN, NAS, …) configured with non-RFC 1918/4193 (i.e. publicly routable) IP addresses?</v>
      </c>
      <c r="C128" s="35" t="s">
        <v>573</v>
      </c>
      <c r="D128" s="36"/>
      <c r="E128" s="36"/>
      <c r="F128" s="35" t="s">
        <v>783</v>
      </c>
      <c r="G128" s="44" t="s">
        <v>726</v>
      </c>
      <c r="H128" s="35" t="s">
        <v>849</v>
      </c>
      <c r="I128" s="35" t="s">
        <v>2129</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row>
    <row r="129" spans="1:259" ht="48" customHeight="1" x14ac:dyDescent="0.2">
      <c r="A129" s="17" t="s">
        <v>256</v>
      </c>
      <c r="B129" s="30" t="str">
        <f>VLOOKUP(A129,'HECVAT - Full'!A$24:B$312,2,FALSE)</f>
        <v>Is sensitive data encrypted in transport? (e.g. system-to-client)</v>
      </c>
      <c r="C129" s="35" t="s">
        <v>568</v>
      </c>
      <c r="D129" s="36"/>
      <c r="E129" s="35" t="s">
        <v>649</v>
      </c>
      <c r="F129" s="35" t="s">
        <v>784</v>
      </c>
      <c r="G129" s="45"/>
      <c r="H129" s="36"/>
      <c r="I129" s="35" t="s">
        <v>2130</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row>
    <row r="130" spans="1:259" ht="48" customHeight="1" x14ac:dyDescent="0.2">
      <c r="A130" s="17" t="s">
        <v>257</v>
      </c>
      <c r="B130" s="30" t="str">
        <f>VLOOKUP(A130,'HECVAT - Full'!A$24:B$312,2,FALSE)</f>
        <v>Is sensitive data encrypted in storage (e.g. disk encryption, at-rest)?</v>
      </c>
      <c r="C130" s="35" t="s">
        <v>568</v>
      </c>
      <c r="D130" s="36"/>
      <c r="E130" s="35" t="s">
        <v>650</v>
      </c>
      <c r="F130" s="35" t="s">
        <v>785</v>
      </c>
      <c r="G130" s="44" t="s">
        <v>727</v>
      </c>
      <c r="H130" s="35" t="s">
        <v>850</v>
      </c>
      <c r="I130" s="35">
        <v>12.8</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row>
    <row r="131" spans="1:259" ht="48" customHeight="1" x14ac:dyDescent="0.2">
      <c r="A131" s="17" t="s">
        <v>258</v>
      </c>
      <c r="B131" s="30" t="str">
        <f>VLOOKUP(A131,'HECVAT - Full'!A$24:B$312,2,FALSE)</f>
        <v>Do you employ or allow any cryptographic modules that do not conform to the Federal Information Processing Standards (FIPS PUB 140-2)?</v>
      </c>
      <c r="C131" s="35" t="s">
        <v>568</v>
      </c>
      <c r="D131" s="36"/>
      <c r="E131" s="35" t="s">
        <v>650</v>
      </c>
      <c r="F131" s="36"/>
      <c r="G131" s="44" t="s">
        <v>736</v>
      </c>
      <c r="H131" s="36"/>
      <c r="I131" s="35">
        <v>12.1</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row>
    <row r="132" spans="1:259" ht="65" customHeight="1" x14ac:dyDescent="0.2">
      <c r="A132" s="17" t="s">
        <v>259</v>
      </c>
      <c r="B132" s="30" t="str">
        <f>VLOOKUP(A132,'HECVAT - Full'!A$24:B$312,2,FALSE)</f>
        <v>Does your system employ encryption technologies when transmitting sensitive information over TCP/IP networks (e.g., SSH, SSL/TLS, VPN)? (e.g. system-to-system and system-to-client)</v>
      </c>
      <c r="C132" s="35" t="s">
        <v>568</v>
      </c>
      <c r="D132" s="36"/>
      <c r="E132" s="35" t="s">
        <v>656</v>
      </c>
      <c r="F132" s="35" t="s">
        <v>784</v>
      </c>
      <c r="G132" s="45"/>
      <c r="H132" s="35" t="s">
        <v>851</v>
      </c>
      <c r="I132" s="35" t="s">
        <v>2130</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row>
    <row r="133" spans="1:259" ht="60" customHeight="1" x14ac:dyDescent="0.2">
      <c r="A133" s="17" t="s">
        <v>260</v>
      </c>
      <c r="B133" s="30" t="str">
        <f>VLOOKUP(A133,'HECVAT - Full'!A$24:B$312,2,FALSE)</f>
        <v>List all locations (i.e. city + datacenter name) where the institution's data will be stored?</v>
      </c>
      <c r="C133" s="35" t="s">
        <v>580</v>
      </c>
      <c r="D133" s="36"/>
      <c r="E133" s="36"/>
      <c r="F133" s="36"/>
      <c r="G133" s="44" t="s">
        <v>728</v>
      </c>
      <c r="H133" s="35" t="s">
        <v>829</v>
      </c>
      <c r="I133" s="35" t="s">
        <v>2129</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row>
    <row r="134" spans="1:259" ht="36" customHeight="1" x14ac:dyDescent="0.2">
      <c r="A134" s="17" t="s">
        <v>261</v>
      </c>
      <c r="B134" s="30" t="str">
        <f>VLOOKUP(A134,'HECVAT - Full'!A$24:B$312,2,FALSE)</f>
        <v>At the completion of this contract, will data be returned to the institution?</v>
      </c>
      <c r="C134" s="35" t="s">
        <v>568</v>
      </c>
      <c r="D134" s="36"/>
      <c r="E134" s="35" t="s">
        <v>651</v>
      </c>
      <c r="F134" s="36"/>
      <c r="G134" s="44" t="s">
        <v>728</v>
      </c>
      <c r="H134" s="35" t="s">
        <v>829</v>
      </c>
      <c r="I134" s="35">
        <v>12.8</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row>
    <row r="135" spans="1:259" ht="48" customHeight="1" x14ac:dyDescent="0.2">
      <c r="A135" s="17" t="s">
        <v>262</v>
      </c>
      <c r="B135" s="30" t="str">
        <f>VLOOKUP(A135,'HECVAT - Full'!A$24:B$312,2,FALSE)</f>
        <v>Will the institution's data be available within the system for a period of time at the completion of this contract?</v>
      </c>
      <c r="C135" s="35" t="s">
        <v>568</v>
      </c>
      <c r="D135" s="36"/>
      <c r="E135" s="35" t="s">
        <v>651</v>
      </c>
      <c r="F135" s="36"/>
      <c r="G135" s="45"/>
      <c r="H135" s="36"/>
      <c r="I135" s="35">
        <v>12.8</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row>
    <row r="136" spans="1:259" ht="36" customHeight="1" x14ac:dyDescent="0.2">
      <c r="A136" s="17" t="s">
        <v>263</v>
      </c>
      <c r="B136" s="30" t="str">
        <f>VLOOKUP(A136,'HECVAT - Full'!A$24:B$312,2,FALSE)</f>
        <v>Can the institution extract a full backup of data?</v>
      </c>
      <c r="C136" s="36"/>
      <c r="D136" s="36"/>
      <c r="E136" s="35" t="s">
        <v>652</v>
      </c>
      <c r="F136" s="36"/>
      <c r="G136" s="45"/>
      <c r="H136" s="36"/>
      <c r="I136" s="35">
        <v>12.8</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7" t="s">
        <v>264</v>
      </c>
      <c r="B137" s="30" t="str">
        <f>VLOOKUP(A137,'HECVAT - Full'!A$24:B$312,2,FALSE)</f>
        <v>Are ownership rights to all data, inputs, outputs, and metadata retained by the institution?</v>
      </c>
      <c r="C137" s="35" t="s">
        <v>568</v>
      </c>
      <c r="D137" s="36"/>
      <c r="E137" s="35" t="s">
        <v>653</v>
      </c>
      <c r="F137" s="36"/>
      <c r="G137" s="44" t="s">
        <v>728</v>
      </c>
      <c r="H137" s="36"/>
      <c r="I137" s="35">
        <v>12.8</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36" customHeight="1" x14ac:dyDescent="0.2">
      <c r="A138" s="17" t="s">
        <v>265</v>
      </c>
      <c r="B138" s="30" t="str">
        <f>VLOOKUP(A138,'HECVAT - Full'!A$24:B$312,2,FALSE)</f>
        <v>Are these rights retained even through a provider acquisition or bankruptcy event?</v>
      </c>
      <c r="C138" s="35" t="s">
        <v>568</v>
      </c>
      <c r="D138" s="36"/>
      <c r="E138" s="35" t="s">
        <v>653</v>
      </c>
      <c r="F138" s="36"/>
      <c r="G138" s="44" t="s">
        <v>700</v>
      </c>
      <c r="H138" s="36"/>
      <c r="I138" s="35">
        <v>12.8</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54" customHeight="1" x14ac:dyDescent="0.2">
      <c r="A139" s="17" t="s">
        <v>266</v>
      </c>
      <c r="B139" s="30" t="str">
        <f>VLOOKUP(A139,'HECVAT - Full'!A$24:B$312,2,FALSE)</f>
        <v>In the event of imminent bankruptcy, closing of business, or retirement of service, will you provide 90 days for customers to get their data out of the system and migrate applications?</v>
      </c>
      <c r="C139" s="35" t="s">
        <v>581</v>
      </c>
      <c r="D139" s="36"/>
      <c r="E139" s="35" t="s">
        <v>653</v>
      </c>
      <c r="F139" s="36"/>
      <c r="G139" s="44" t="s">
        <v>728</v>
      </c>
      <c r="H139" s="36"/>
      <c r="I139" s="35">
        <v>12.8</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7" t="s">
        <v>267</v>
      </c>
      <c r="B140" s="30" t="str">
        <f>VLOOKUP(A140,'HECVAT - Full'!A$24:B$312,2,FALSE)</f>
        <v xml:space="preserve">Describe or provide a reference to the backup processes for the servers on which the service and/or data resides. </v>
      </c>
      <c r="C140" s="35" t="s">
        <v>570</v>
      </c>
      <c r="D140" s="36"/>
      <c r="E140" s="35" t="s">
        <v>652</v>
      </c>
      <c r="F140" s="35" t="s">
        <v>786</v>
      </c>
      <c r="G140" s="44" t="s">
        <v>729</v>
      </c>
      <c r="H140" s="35" t="s">
        <v>852</v>
      </c>
      <c r="I140" s="35" t="s">
        <v>2131</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7" t="s">
        <v>268</v>
      </c>
      <c r="B141" s="30" t="str">
        <f>VLOOKUP(A141,'HECVAT - Full'!A$24:B$312,2,FALSE)</f>
        <v>Are backup copies made according to pre-defined schedules and securely stored and protected?</v>
      </c>
      <c r="C141" s="35" t="s">
        <v>570</v>
      </c>
      <c r="D141" s="36"/>
      <c r="E141" s="35" t="s">
        <v>652</v>
      </c>
      <c r="F141" s="35" t="s">
        <v>786</v>
      </c>
      <c r="G141" s="44" t="s">
        <v>729</v>
      </c>
      <c r="H141" s="35" t="s">
        <v>852</v>
      </c>
      <c r="I141" s="35">
        <v>12.8</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36" customHeight="1" x14ac:dyDescent="0.2">
      <c r="A142" s="17" t="s">
        <v>269</v>
      </c>
      <c r="B142" s="30" t="str">
        <f>VLOOKUP(A142,'HECVAT - Full'!A$24:B$312,2,FALSE)</f>
        <v>How long are data backups stored?</v>
      </c>
      <c r="C142" s="35" t="s">
        <v>570</v>
      </c>
      <c r="D142" s="36"/>
      <c r="E142" s="35" t="s">
        <v>652</v>
      </c>
      <c r="F142" s="35" t="s">
        <v>786</v>
      </c>
      <c r="G142" s="44" t="s">
        <v>729</v>
      </c>
      <c r="H142" s="35" t="s">
        <v>852</v>
      </c>
      <c r="I142" s="36"/>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36" customHeight="1" x14ac:dyDescent="0.2">
      <c r="A143" s="17" t="s">
        <v>270</v>
      </c>
      <c r="B143" s="30" t="str">
        <f>VLOOKUP(A143,'HECVAT - Full'!A$24:B$312,2,FALSE)</f>
        <v>Are data backups encrypted?</v>
      </c>
      <c r="C143" s="35" t="s">
        <v>570</v>
      </c>
      <c r="D143" s="36"/>
      <c r="E143" s="35" t="s">
        <v>652</v>
      </c>
      <c r="F143" s="35" t="s">
        <v>787</v>
      </c>
      <c r="G143" s="44" t="s">
        <v>729</v>
      </c>
      <c r="H143" s="35" t="s">
        <v>852</v>
      </c>
      <c r="I143" s="36"/>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72" customHeight="1" x14ac:dyDescent="0.2">
      <c r="A144" s="17" t="s">
        <v>271</v>
      </c>
      <c r="B144" s="30" t="str">
        <f>VLOOKUP(A144,'HECVAT - Full'!A$24:B$312,2,FALSE)</f>
        <v>Do you have a cryptographic key management process (generation, exchange, storage, safeguards, use, vetting, and replacement), that is documented and currently implemented, for all system components? (e.g. database, system, web, etc.)</v>
      </c>
      <c r="C144" s="35" t="s">
        <v>570</v>
      </c>
      <c r="D144" s="36"/>
      <c r="E144" s="35" t="s">
        <v>654</v>
      </c>
      <c r="F144" s="36"/>
      <c r="G144" s="44" t="s">
        <v>730</v>
      </c>
      <c r="H144" s="35" t="s">
        <v>857</v>
      </c>
      <c r="I144" s="36"/>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7" t="s">
        <v>272</v>
      </c>
      <c r="B145" s="30" t="str">
        <f>VLOOKUP(A145,'HECVAT - Full'!A$24:B$312,2,FALSE)</f>
        <v>Do current backups include all operating system software, utilities, security software, application software, and data files necessary for recovery?</v>
      </c>
      <c r="C145" s="35" t="s">
        <v>570</v>
      </c>
      <c r="D145" s="36"/>
      <c r="E145" s="35" t="s">
        <v>652</v>
      </c>
      <c r="F145" s="35" t="s">
        <v>788</v>
      </c>
      <c r="G145" s="44" t="s">
        <v>729</v>
      </c>
      <c r="H145" s="35" t="s">
        <v>852</v>
      </c>
      <c r="I145" s="36"/>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7" t="s">
        <v>273</v>
      </c>
      <c r="B146" s="30" t="str">
        <f>VLOOKUP(A146,'HECVAT - Full'!A$24:B$312,2,FALSE)</f>
        <v>Are you performing off site backups? (i.e. digitally moved off site)</v>
      </c>
      <c r="C146" s="35" t="s">
        <v>570</v>
      </c>
      <c r="D146" s="36"/>
      <c r="E146" s="35" t="s">
        <v>652</v>
      </c>
      <c r="F146" s="35" t="s">
        <v>786</v>
      </c>
      <c r="G146" s="44" t="s">
        <v>731</v>
      </c>
      <c r="H146" s="35" t="s">
        <v>852</v>
      </c>
      <c r="I146" s="35" t="s">
        <v>2131</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7" t="s">
        <v>274</v>
      </c>
      <c r="B147" s="30" t="str">
        <f>VLOOKUP(A147,'HECVAT - Full'!A$24:B$312,2,FALSE)</f>
        <v>Are physical backups taken off site? (i.e. physically moved off site)</v>
      </c>
      <c r="C147" s="35" t="s">
        <v>570</v>
      </c>
      <c r="D147" s="36"/>
      <c r="E147" s="35" t="s">
        <v>652</v>
      </c>
      <c r="F147" s="35" t="s">
        <v>786</v>
      </c>
      <c r="G147" s="44" t="s">
        <v>732</v>
      </c>
      <c r="H147" s="35" t="s">
        <v>858</v>
      </c>
      <c r="I147" s="35" t="s">
        <v>2131</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7" t="s">
        <v>275</v>
      </c>
      <c r="B148" s="30" t="str">
        <f>VLOOKUP(A148,'HECVAT - Full'!A$24:B$312,2,FALSE)</f>
        <v>Do backups containing the institution's data ever leave the Institution's Data Zone either physically or via network routing?</v>
      </c>
      <c r="C148" s="35" t="s">
        <v>568</v>
      </c>
      <c r="D148" s="36"/>
      <c r="E148" s="35" t="s">
        <v>652</v>
      </c>
      <c r="F148" s="36"/>
      <c r="G148" s="44" t="s">
        <v>729</v>
      </c>
      <c r="H148" s="35" t="s">
        <v>858</v>
      </c>
      <c r="I148" s="35">
        <v>12.8</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73.25" customHeight="1" x14ac:dyDescent="0.2">
      <c r="A149" s="17" t="s">
        <v>276</v>
      </c>
      <c r="B149" s="30" t="str">
        <f>VLOOKUP(A149,'HECVAT - Full'!A$24:B$312,2,FALSE)</f>
        <v>Do you have a media handling process, that is documented and currently implemented, including end-of-life, repurposing, and data sanitization procedures?</v>
      </c>
      <c r="C149" s="35" t="s">
        <v>568</v>
      </c>
      <c r="D149" s="36"/>
      <c r="E149" s="35" t="s">
        <v>655</v>
      </c>
      <c r="F149" s="35" t="s">
        <v>789</v>
      </c>
      <c r="G149" s="44" t="s">
        <v>733</v>
      </c>
      <c r="H149" s="35" t="s">
        <v>853</v>
      </c>
      <c r="I149" s="35" t="s">
        <v>2131</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36" customHeight="1" x14ac:dyDescent="0.2">
      <c r="A150" s="17" t="s">
        <v>277</v>
      </c>
      <c r="B150" s="30" t="str">
        <f>VLOOKUP(A150,'HECVAT - Full'!A$24:B$312,2,FALSE)</f>
        <v>Does the process described in DATA-23 adhere to DoD 5220.22-M and/or NIST SP 800-88 standards?</v>
      </c>
      <c r="C150" s="35" t="s">
        <v>568</v>
      </c>
      <c r="D150" s="36"/>
      <c r="E150" s="35" t="s">
        <v>657</v>
      </c>
      <c r="F150" s="35" t="s">
        <v>789</v>
      </c>
      <c r="G150" s="44" t="s">
        <v>734</v>
      </c>
      <c r="H150" s="35" t="s">
        <v>854</v>
      </c>
      <c r="I150" s="36"/>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7" t="s">
        <v>278</v>
      </c>
      <c r="B151" s="30" t="str">
        <f>VLOOKUP(A151,'HECVAT - Full'!A$24:B$312,2,FALSE)</f>
        <v>Do procedures exist to ensure that retention and destruction of data meets established business and regulatory requirements?</v>
      </c>
      <c r="C151" s="35" t="s">
        <v>568</v>
      </c>
      <c r="D151" s="36"/>
      <c r="E151" s="35" t="s">
        <v>657</v>
      </c>
      <c r="F151" s="35" t="s">
        <v>790</v>
      </c>
      <c r="G151" s="44" t="s">
        <v>734</v>
      </c>
      <c r="H151" s="35" t="s">
        <v>855</v>
      </c>
      <c r="I151" s="36"/>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7" t="s">
        <v>279</v>
      </c>
      <c r="B152" s="30" t="str">
        <f>VLOOKUP(A152,'HECVAT - Full'!A$24:B$312,2,FALSE)</f>
        <v>Is media used for long-term retention of business data and archival purposes stored in a secure, environmentally protected area?</v>
      </c>
      <c r="C152" s="35" t="s">
        <v>568</v>
      </c>
      <c r="D152" s="36"/>
      <c r="E152" s="35" t="s">
        <v>657</v>
      </c>
      <c r="F152" s="35" t="s">
        <v>789</v>
      </c>
      <c r="G152" s="44" t="s">
        <v>735</v>
      </c>
      <c r="H152" s="35" t="s">
        <v>856</v>
      </c>
      <c r="I152" s="35" t="s">
        <v>2129</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7" t="s">
        <v>280</v>
      </c>
      <c r="B153" s="30" t="str">
        <f>VLOOKUP(A153,'HECVAT - Full'!A$24:B$312,2,FALSE)</f>
        <v>Will you handle data in a FERPA compliant manner?</v>
      </c>
      <c r="C153" s="35" t="s">
        <v>568</v>
      </c>
      <c r="D153" s="36"/>
      <c r="E153" s="35" t="s">
        <v>616</v>
      </c>
      <c r="F153" s="35" t="s">
        <v>697</v>
      </c>
      <c r="G153" s="45"/>
      <c r="H153" s="36"/>
      <c r="I153" s="36"/>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7" t="s">
        <v>281</v>
      </c>
      <c r="B154" s="30" t="str">
        <f>VLOOKUP(A154,'HECVAT - Full'!A$24:B$312,2,FALSE)</f>
        <v>Is any institution data visible in system administration modules/tools?</v>
      </c>
      <c r="C154" s="35" t="s">
        <v>582</v>
      </c>
      <c r="D154" s="36"/>
      <c r="E154" s="35" t="s">
        <v>631</v>
      </c>
      <c r="F154" s="35" t="s">
        <v>770</v>
      </c>
      <c r="G154" s="45"/>
      <c r="H154" s="36"/>
      <c r="I154" s="36"/>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36" customHeight="1" x14ac:dyDescent="0.2">
      <c r="A155" s="248" t="str">
        <f>IF($C$30="","Database",IF($C$30="Yes","Database - Optional based on QUALIFIER response.","Database"))</f>
        <v>Database</v>
      </c>
      <c r="B155" s="248"/>
      <c r="C155" s="34" t="str">
        <f>$C$22</f>
        <v>CIS Critical Security Controls v6.1</v>
      </c>
      <c r="D155" s="34" t="str">
        <f>$D$22</f>
        <v>HIPAA</v>
      </c>
      <c r="E155" s="34" t="str">
        <f>$E$22</f>
        <v>ISO 27002:2013</v>
      </c>
      <c r="F155" s="34" t="str">
        <f>$F$22</f>
        <v>NIST Cybersecurity Framework</v>
      </c>
      <c r="G155" s="25" t="str">
        <f>$G$22</f>
        <v>NIST SP 800-171r1</v>
      </c>
      <c r="H155" s="34" t="str">
        <f>$H$22</f>
        <v>NIST SP 800-53r4</v>
      </c>
      <c r="I155" s="133" t="s">
        <v>2045</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7" t="s">
        <v>282</v>
      </c>
      <c r="B156" s="30" t="str">
        <f>VLOOKUP(A156,'HECVAT - Full'!A$24:B$312,2,FALSE)</f>
        <v>Does the database support encryption of specified data elements in storage?</v>
      </c>
      <c r="C156" s="35" t="s">
        <v>568</v>
      </c>
      <c r="D156" s="39"/>
      <c r="E156" s="35" t="s">
        <v>649</v>
      </c>
      <c r="F156" s="35" t="s">
        <v>785</v>
      </c>
      <c r="G156" s="45"/>
      <c r="H156" s="39"/>
      <c r="I156" s="39"/>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7.25" customHeight="1" x14ac:dyDescent="0.2">
      <c r="A157" s="17" t="s">
        <v>283</v>
      </c>
      <c r="B157" s="30" t="str">
        <f>VLOOKUP(A157,'HECVAT - Full'!A$24:B$312,2,FALSE)</f>
        <v>Do you currently use encryption in your database(s)?</v>
      </c>
      <c r="C157" s="35" t="s">
        <v>568</v>
      </c>
      <c r="D157" s="39"/>
      <c r="E157" s="35" t="s">
        <v>649</v>
      </c>
      <c r="F157" s="35" t="s">
        <v>791</v>
      </c>
      <c r="G157" s="45"/>
      <c r="H157" s="39"/>
      <c r="I157" s="39"/>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36" customHeight="1" x14ac:dyDescent="0.2">
      <c r="A158" s="248" t="str">
        <f>IF($C$30="","Datacenter",IF($C$30="Yes","Datacenter - Optional based on QUALIFIER response.","Datacenter"))</f>
        <v>Datacenter</v>
      </c>
      <c r="B158" s="248"/>
      <c r="C158" s="34" t="str">
        <f>$C$22</f>
        <v>CIS Critical Security Controls v6.1</v>
      </c>
      <c r="D158" s="34" t="str">
        <f>$D$22</f>
        <v>HIPAA</v>
      </c>
      <c r="E158" s="34" t="str">
        <f>$E$22</f>
        <v>ISO 27002:2013</v>
      </c>
      <c r="F158" s="34" t="str">
        <f>$F$22</f>
        <v>NIST Cybersecurity Framework</v>
      </c>
      <c r="G158" s="25" t="str">
        <f>$G$22</f>
        <v>NIST SP 800-171r1</v>
      </c>
      <c r="H158" s="34" t="str">
        <f>$H$22</f>
        <v>NIST SP 800-53r4</v>
      </c>
      <c r="I158" s="133" t="s">
        <v>2045</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9.25" customHeight="1" x14ac:dyDescent="0.2">
      <c r="A159" s="17" t="s">
        <v>284</v>
      </c>
      <c r="B159" s="30" t="str">
        <f>VLOOKUP(A159,'HECVAT - Full'!A$24:B$312,2,FALSE)</f>
        <v>Does your company own the physical data center where the Institution's data will reside?</v>
      </c>
      <c r="C159" s="35" t="s">
        <v>571</v>
      </c>
      <c r="D159" s="39"/>
      <c r="E159" s="35" t="s">
        <v>658</v>
      </c>
      <c r="F159" s="35" t="s">
        <v>783</v>
      </c>
      <c r="G159" s="45"/>
      <c r="H159" s="39"/>
      <c r="I159" s="35" t="s">
        <v>2129</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48" customHeight="1" x14ac:dyDescent="0.2">
      <c r="A160" s="17" t="s">
        <v>285</v>
      </c>
      <c r="B160" s="30" t="str">
        <f>VLOOKUP(A160,'HECVAT - Full'!A$24:B$312,2,FALSE)</f>
        <v>Does the hosting provider have a SOC 2 Type 2 report available?</v>
      </c>
      <c r="C160" s="35" t="s">
        <v>568</v>
      </c>
      <c r="D160" s="39"/>
      <c r="E160" s="35" t="s">
        <v>658</v>
      </c>
      <c r="F160" s="36"/>
      <c r="G160" s="45"/>
      <c r="H160" s="39"/>
      <c r="I160" s="39"/>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7" t="s">
        <v>286</v>
      </c>
      <c r="B161" s="30" t="str">
        <f>VLOOKUP(A161,'HECVAT - Full'!A$24:B$312,2,FALSE)</f>
        <v>Are the data centers staffed 24 hours a day, seven days a week (i.e., 24x7x365)?</v>
      </c>
      <c r="C161" s="35" t="s">
        <v>583</v>
      </c>
      <c r="D161" s="39"/>
      <c r="E161" s="35" t="s">
        <v>642</v>
      </c>
      <c r="F161" s="36"/>
      <c r="G161" s="45"/>
      <c r="H161" s="39"/>
      <c r="I161" s="39"/>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7" customHeight="1" x14ac:dyDescent="0.2">
      <c r="A162" s="17" t="s">
        <v>287</v>
      </c>
      <c r="B162" s="30" t="str">
        <f>VLOOKUP(A162,'HECVAT - Full'!A$24:B$312,2,FALSE)</f>
        <v>Do any of your servers reside in a co-located data center?</v>
      </c>
      <c r="C162" s="35" t="s">
        <v>585</v>
      </c>
      <c r="D162" s="39"/>
      <c r="E162" s="36"/>
      <c r="F162" s="36"/>
      <c r="G162" s="45"/>
      <c r="H162" s="35" t="s">
        <v>828</v>
      </c>
      <c r="I162" s="35">
        <v>12.8</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7" customHeight="1" x14ac:dyDescent="0.2">
      <c r="A163" s="17" t="s">
        <v>288</v>
      </c>
      <c r="B163" s="30" t="str">
        <f>VLOOKUP(A163,'HECVAT - Full'!A$24:B$312,2,FALSE)</f>
        <v>Are your servers separated from other companies via a physical barrier, such as a cage or hardened walls?</v>
      </c>
      <c r="C163" s="35" t="s">
        <v>585</v>
      </c>
      <c r="D163" s="39"/>
      <c r="E163" s="35" t="s">
        <v>659</v>
      </c>
      <c r="F163" s="35" t="s">
        <v>792</v>
      </c>
      <c r="G163" s="45"/>
      <c r="H163" s="39"/>
      <c r="I163" s="35" t="s">
        <v>2131</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7" t="s">
        <v>289</v>
      </c>
      <c r="B164" s="30" t="str">
        <f>VLOOKUP(A164,'HECVAT - Full'!A$24:B$312,2,FALSE)</f>
        <v>Does a physical barrier fully enclose the physical space preventing unauthorized physical contact with any of your devices?</v>
      </c>
      <c r="C164" s="35" t="s">
        <v>571</v>
      </c>
      <c r="D164" s="39"/>
      <c r="E164" s="35" t="s">
        <v>662</v>
      </c>
      <c r="F164" s="35" t="s">
        <v>792</v>
      </c>
      <c r="G164" s="44" t="s">
        <v>735</v>
      </c>
      <c r="H164" s="39"/>
      <c r="I164" s="35" t="s">
        <v>2131</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7" t="s">
        <v>290</v>
      </c>
      <c r="B165" s="30" t="str">
        <f>VLOOKUP(A165,'HECVAT - Full'!A$24:B$312,2,FALSE)</f>
        <v>Select the option that best describes the network segment that servers are connected to.</v>
      </c>
      <c r="C165" s="35" t="s">
        <v>584</v>
      </c>
      <c r="D165" s="39"/>
      <c r="E165" s="36"/>
      <c r="F165" s="35" t="s">
        <v>793</v>
      </c>
      <c r="G165" s="44" t="s">
        <v>737</v>
      </c>
      <c r="H165" s="39"/>
      <c r="I165" s="39"/>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36" customHeight="1" x14ac:dyDescent="0.2">
      <c r="A166" s="17" t="s">
        <v>291</v>
      </c>
      <c r="B166" s="30" t="str">
        <f>VLOOKUP(A166,'HECVAT - Full'!A$24:B$312,2,FALSE)</f>
        <v>Does this data center operate outside of the Institution's Data Zone?</v>
      </c>
      <c r="C166" s="35" t="s">
        <v>573</v>
      </c>
      <c r="D166" s="39"/>
      <c r="E166" s="35" t="s">
        <v>616</v>
      </c>
      <c r="F166" s="36"/>
      <c r="G166" s="45"/>
      <c r="H166" s="39"/>
      <c r="I166" s="35">
        <v>12.8</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36" customHeight="1" x14ac:dyDescent="0.2">
      <c r="A167" s="17" t="s">
        <v>292</v>
      </c>
      <c r="B167" s="30" t="str">
        <f>VLOOKUP(A167,'HECVAT - Full'!A$24:B$312,2,FALSE)</f>
        <v>Will any institution data leave the Institution's Data Zone?</v>
      </c>
      <c r="C167" s="35" t="s">
        <v>573</v>
      </c>
      <c r="D167" s="39"/>
      <c r="E167" s="35" t="s">
        <v>616</v>
      </c>
      <c r="F167" s="36"/>
      <c r="G167" s="45"/>
      <c r="H167" s="39"/>
      <c r="I167" s="35">
        <v>12.9</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64.25" customHeight="1" x14ac:dyDescent="0.2">
      <c r="A168" s="17" t="s">
        <v>293</v>
      </c>
      <c r="B168" s="30" t="str">
        <f>VLOOKUP(A168,'HECVAT - Full'!A$24:B$312,2,FALSE)</f>
        <v xml:space="preserve">List all datacenters and the cities, states (provinces), and countries where the Institution's data will be stored (including within the Institution's Data Zone).   </v>
      </c>
      <c r="C168" s="35" t="s">
        <v>573</v>
      </c>
      <c r="D168" s="39"/>
      <c r="E168" s="35" t="s">
        <v>660</v>
      </c>
      <c r="F168" s="36"/>
      <c r="G168" s="46"/>
      <c r="H168" s="39"/>
      <c r="I168" s="35">
        <v>12.8</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53" customHeight="1" x14ac:dyDescent="0.2">
      <c r="A169" s="17" t="s">
        <v>294</v>
      </c>
      <c r="B169" s="30" t="str">
        <f>VLOOKUP(A169,'HECVAT - Full'!A$24:B$312,2,FALSE)</f>
        <v>Are your primary and secondary data centers geographically diverse?</v>
      </c>
      <c r="C169" s="35" t="s">
        <v>570</v>
      </c>
      <c r="D169" s="39"/>
      <c r="E169" s="35" t="s">
        <v>661</v>
      </c>
      <c r="F169" s="36"/>
      <c r="G169" s="45"/>
      <c r="H169" s="39"/>
      <c r="I169" s="35">
        <v>12.8</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7" t="s">
        <v>295</v>
      </c>
      <c r="B170" s="30" t="str">
        <f>VLOOKUP(A170,'HECVAT - Full'!A$24:B$312,2,FALSE)</f>
        <v>If outsourced or co-located, is there a contract in place to prevent data from leaving the Institution's Data Zone?</v>
      </c>
      <c r="C170" s="35" t="s">
        <v>573</v>
      </c>
      <c r="D170" s="39"/>
      <c r="E170" s="35" t="s">
        <v>616</v>
      </c>
      <c r="F170" s="36"/>
      <c r="G170" s="45"/>
      <c r="H170" s="39"/>
      <c r="I170" s="35">
        <v>12.8</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7" t="s">
        <v>296</v>
      </c>
      <c r="B171" s="30" t="str">
        <f>VLOOKUP(A171,'HECVAT - Full'!A$24:B$312,2,FALSE)</f>
        <v>What Tier Level is your data center (per levels defined by the Uptime Institute)?</v>
      </c>
      <c r="C171" s="36"/>
      <c r="D171" s="39"/>
      <c r="E171" s="35" t="s">
        <v>640</v>
      </c>
      <c r="F171" s="36"/>
      <c r="G171" s="45"/>
      <c r="H171" s="39"/>
      <c r="I171" s="39"/>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s="3" customFormat="1" ht="48" customHeight="1" x14ac:dyDescent="0.2">
      <c r="A172" s="17" t="s">
        <v>297</v>
      </c>
      <c r="B172" s="30" t="str">
        <f>VLOOKUP(A172,'HECVAT - Full'!A$24:B$312,2,FALSE)</f>
        <v>Is the service hosted in a high availability environment?</v>
      </c>
      <c r="C172" s="35" t="s">
        <v>570</v>
      </c>
      <c r="D172" s="39"/>
      <c r="E172" s="35" t="s">
        <v>640</v>
      </c>
      <c r="F172" s="35" t="s">
        <v>794</v>
      </c>
      <c r="G172" s="45"/>
      <c r="H172" s="39"/>
      <c r="I172" s="39"/>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c r="IF172" s="6"/>
      <c r="IG172" s="6"/>
      <c r="IH172" s="6"/>
      <c r="II172" s="6"/>
      <c r="IJ172" s="6"/>
      <c r="IK172" s="6"/>
      <c r="IL172" s="6"/>
      <c r="IM172" s="6"/>
      <c r="IN172" s="6"/>
      <c r="IO172" s="6"/>
      <c r="IP172" s="6"/>
      <c r="IQ172" s="6"/>
      <c r="IR172" s="6"/>
      <c r="IS172" s="6"/>
      <c r="IT172" s="6"/>
      <c r="IU172" s="6"/>
      <c r="IV172" s="6"/>
      <c r="IW172" s="6"/>
      <c r="IX172" s="6"/>
      <c r="IY172" s="6"/>
    </row>
    <row r="173" spans="1:259" ht="64.25" customHeight="1" x14ac:dyDescent="0.2">
      <c r="A173" s="17" t="s">
        <v>298</v>
      </c>
      <c r="B173" s="30" t="str">
        <f>VLOOKUP(A173,'HECVAT - Full'!A$24:B$312,2,FALSE)</f>
        <v xml:space="preserve">Is redundant power available for all datacenters where institution data will reside? </v>
      </c>
      <c r="C173" s="36"/>
      <c r="D173" s="39"/>
      <c r="E173" s="35" t="s">
        <v>642</v>
      </c>
      <c r="F173" s="35" t="s">
        <v>794</v>
      </c>
      <c r="G173" s="45"/>
      <c r="H173" s="39"/>
      <c r="I173" s="39"/>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7" t="s">
        <v>299</v>
      </c>
      <c r="B174" s="30" t="str">
        <f>VLOOKUP(A174,'HECVAT - Full'!A$24:B$312,2,FALSE)</f>
        <v>Are redundant power strategies tested?</v>
      </c>
      <c r="C174" s="36"/>
      <c r="D174" s="39"/>
      <c r="E174" s="35" t="s">
        <v>641</v>
      </c>
      <c r="F174" s="35" t="s">
        <v>794</v>
      </c>
      <c r="G174" s="46"/>
      <c r="H174" s="39"/>
      <c r="I174" s="39"/>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48" customHeight="1" x14ac:dyDescent="0.2">
      <c r="A175" s="17" t="s">
        <v>300</v>
      </c>
      <c r="B175" s="30" t="str">
        <f>VLOOKUP(A175,'HECVAT - Full'!A$24:B$312,2,FALSE)</f>
        <v>Describe or provide a reference to the availability of cooling and fire suppression systems in all datacenters where institution data will reside.</v>
      </c>
      <c r="C175" s="36"/>
      <c r="D175" s="39"/>
      <c r="E175" s="35" t="s">
        <v>642</v>
      </c>
      <c r="F175" s="36"/>
      <c r="G175" s="46"/>
      <c r="H175" s="35" t="s">
        <v>859</v>
      </c>
      <c r="I175" s="39"/>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ht="48" customHeight="1" x14ac:dyDescent="0.2">
      <c r="A176" s="17" t="s">
        <v>301</v>
      </c>
      <c r="B176" s="30" t="str">
        <f>VLOOKUP(A176,'HECVAT - Full'!A$24:B$312,2,FALSE)</f>
        <v xml:space="preserve">State how many Internet Service Providers (ISPs) provide connectivity to each datacenter where the institution's data will reside. </v>
      </c>
      <c r="C176" s="35" t="s">
        <v>570</v>
      </c>
      <c r="D176" s="39"/>
      <c r="E176" s="35" t="s">
        <v>642</v>
      </c>
      <c r="F176" s="35" t="s">
        <v>794</v>
      </c>
      <c r="G176" s="46"/>
      <c r="H176" s="35" t="s">
        <v>859</v>
      </c>
      <c r="I176" s="35">
        <v>12.8</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48" customHeight="1" x14ac:dyDescent="0.2">
      <c r="A177" s="17" t="s">
        <v>302</v>
      </c>
      <c r="B177" s="30" t="str">
        <f>VLOOKUP(A177,'HECVAT - Full'!A$24:B$312,2,FALSE)</f>
        <v>Does every datacenter where the Institution's data will reside have multiple telephone company or network provider entrances to the facility?</v>
      </c>
      <c r="C177" s="35" t="s">
        <v>568</v>
      </c>
      <c r="D177" s="39"/>
      <c r="E177" s="35" t="s">
        <v>642</v>
      </c>
      <c r="F177" s="35" t="s">
        <v>794</v>
      </c>
      <c r="G177" s="45"/>
      <c r="H177" s="35" t="s">
        <v>859</v>
      </c>
      <c r="I177" s="35">
        <v>12.8</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248" t="str">
        <f>IF(OR($C$28="No",$C$30="Yes"),"DRP - Optional based on QUALIFIER response.","Disaster Recovery Plan")</f>
        <v>Disaster Recovery Plan</v>
      </c>
      <c r="B178" s="248"/>
      <c r="C178" s="34" t="str">
        <f>$C$22</f>
        <v>CIS Critical Security Controls v6.1</v>
      </c>
      <c r="D178" s="34" t="str">
        <f>$D$22</f>
        <v>HIPAA</v>
      </c>
      <c r="E178" s="34" t="str">
        <f>$E$22</f>
        <v>ISO 27002:2013</v>
      </c>
      <c r="F178" s="34" t="str">
        <f>$F$22</f>
        <v>NIST Cybersecurity Framework</v>
      </c>
      <c r="G178" s="25" t="str">
        <f>$G$22</f>
        <v>NIST SP 800-171r1</v>
      </c>
      <c r="H178" s="34" t="str">
        <f>$H$22</f>
        <v>NIST SP 800-53r4</v>
      </c>
      <c r="I178" s="133" t="s">
        <v>2045</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7" t="s">
        <v>303</v>
      </c>
      <c r="B179" s="30" t="str">
        <f>VLOOKUP(A179,'HECVAT - Full'!A$24:B$312,2,FALSE)</f>
        <v>Describe or provide a reference to your Disaster Recovery Plan (DRP).</v>
      </c>
      <c r="C179" s="35" t="s">
        <v>570</v>
      </c>
      <c r="D179" s="39"/>
      <c r="E179" s="35" t="s">
        <v>640</v>
      </c>
      <c r="F179" s="35" t="s">
        <v>699</v>
      </c>
      <c r="G179" s="44" t="s">
        <v>719</v>
      </c>
      <c r="H179" s="37" t="s">
        <v>845</v>
      </c>
      <c r="I179" s="37">
        <v>12.8</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7" customHeight="1" x14ac:dyDescent="0.2">
      <c r="A180" s="17" t="s">
        <v>304</v>
      </c>
      <c r="B180" s="30" t="str">
        <f>VLOOKUP(A180,'HECVAT - Full'!A$24:B$312,2,FALSE)</f>
        <v>Is an owner assigned who is responsible for the maintenance and review of the DRP?</v>
      </c>
      <c r="C180" s="35" t="s">
        <v>570</v>
      </c>
      <c r="D180" s="39"/>
      <c r="E180" s="35" t="s">
        <v>664</v>
      </c>
      <c r="F180" s="35" t="s">
        <v>699</v>
      </c>
      <c r="G180" s="44" t="s">
        <v>719</v>
      </c>
      <c r="H180" s="37" t="s">
        <v>845</v>
      </c>
      <c r="I180" s="37">
        <v>12.8</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7" t="s">
        <v>305</v>
      </c>
      <c r="B181" s="30" t="str">
        <f>VLOOKUP(A181,'HECVAT - Full'!A$24:B$312,2,FALSE)</f>
        <v>Can the Institution review your DRP and supporting documentation?</v>
      </c>
      <c r="C181" s="35" t="s">
        <v>570</v>
      </c>
      <c r="D181" s="39"/>
      <c r="E181" s="36"/>
      <c r="F181" s="35" t="s">
        <v>699</v>
      </c>
      <c r="G181" s="44" t="s">
        <v>719</v>
      </c>
      <c r="H181" s="37" t="s">
        <v>845</v>
      </c>
      <c r="I181" s="37">
        <v>12.8</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7" t="s">
        <v>306</v>
      </c>
      <c r="B182" s="30" t="str">
        <f>VLOOKUP(A182,'HECVAT - Full'!A$24:B$312,2,FALSE)</f>
        <v>Are any disaster recovery locations outside the Institution's Data Zone?</v>
      </c>
      <c r="C182" s="35" t="s">
        <v>586</v>
      </c>
      <c r="D182" s="39"/>
      <c r="E182" s="35" t="s">
        <v>640</v>
      </c>
      <c r="F182" s="35" t="s">
        <v>699</v>
      </c>
      <c r="G182" s="45"/>
      <c r="H182" s="37" t="s">
        <v>845</v>
      </c>
      <c r="I182" s="37">
        <v>12.8</v>
      </c>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7" t="s">
        <v>307</v>
      </c>
      <c r="B183" s="30" t="str">
        <f>VLOOKUP(A183,'HECVAT - Full'!A$24:B$312,2,FALSE)</f>
        <v>Does your organization have a disaster recovery site or a contracted Disaster Recovery provider?</v>
      </c>
      <c r="C183" s="35" t="s">
        <v>570</v>
      </c>
      <c r="D183" s="39"/>
      <c r="E183" s="35" t="s">
        <v>642</v>
      </c>
      <c r="F183" s="35" t="s">
        <v>699</v>
      </c>
      <c r="G183" s="45"/>
      <c r="H183" s="37" t="s">
        <v>845</v>
      </c>
      <c r="I183" s="45"/>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7" t="s">
        <v>308</v>
      </c>
      <c r="B184" s="30" t="str">
        <f>VLOOKUP(A184,'HECVAT - Full'!A$24:B$312,2,FALSE)</f>
        <v>Does your organization conduct an annual test of relocating to this site for disaster recovery purposes?</v>
      </c>
      <c r="C184" s="35" t="s">
        <v>570</v>
      </c>
      <c r="D184" s="39"/>
      <c r="E184" s="35" t="s">
        <v>641</v>
      </c>
      <c r="F184" s="35" t="s">
        <v>699</v>
      </c>
      <c r="G184" s="45"/>
      <c r="H184" s="37" t="s">
        <v>845</v>
      </c>
      <c r="I184" s="45"/>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7" t="s">
        <v>309</v>
      </c>
      <c r="B185" s="30" t="str">
        <f>VLOOKUP(A185,'HECVAT - Full'!A$24:B$312,2,FALSE)</f>
        <v>Is there a defined problem/issue escalation plan in your DRP for impacted clients?</v>
      </c>
      <c r="C185" s="35" t="s">
        <v>570</v>
      </c>
      <c r="D185" s="39"/>
      <c r="E185" s="36"/>
      <c r="F185" s="35" t="s">
        <v>699</v>
      </c>
      <c r="G185" s="44" t="s">
        <v>719</v>
      </c>
      <c r="H185" s="37" t="s">
        <v>845</v>
      </c>
      <c r="I185" s="37">
        <v>12.8</v>
      </c>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7" t="s">
        <v>310</v>
      </c>
      <c r="B186" s="30" t="str">
        <f>VLOOKUP(A186,'HECVAT - Full'!A$24:B$312,2,FALSE)</f>
        <v>Is there a documented communication plan in your DRP for impacted clients?</v>
      </c>
      <c r="C186" s="35" t="s">
        <v>570</v>
      </c>
      <c r="D186" s="39"/>
      <c r="E186" s="35" t="s">
        <v>617</v>
      </c>
      <c r="F186" s="35" t="s">
        <v>699</v>
      </c>
      <c r="G186" s="44" t="s">
        <v>719</v>
      </c>
      <c r="H186" s="37" t="s">
        <v>845</v>
      </c>
      <c r="I186" s="37">
        <v>12.8</v>
      </c>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64.25" customHeight="1" x14ac:dyDescent="0.2">
      <c r="A187" s="17" t="s">
        <v>311</v>
      </c>
      <c r="B187" s="30" t="str">
        <f>VLOOKUP(A187,'HECVAT - Full'!A$24:B$312,2,FALSE)</f>
        <v>Describe or provide a reference to how your disaster recovery plan is tested? (i.e. scope of DR tests, end-to-end testing, etc.)</v>
      </c>
      <c r="C187" s="35" t="s">
        <v>570</v>
      </c>
      <c r="D187" s="39"/>
      <c r="E187" s="35" t="s">
        <v>641</v>
      </c>
      <c r="F187" s="35" t="s">
        <v>699</v>
      </c>
      <c r="G187" s="44" t="s">
        <v>719</v>
      </c>
      <c r="H187" s="37" t="s">
        <v>845</v>
      </c>
      <c r="I187" s="45"/>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7" t="s">
        <v>312</v>
      </c>
      <c r="B188" s="30" t="str">
        <f>VLOOKUP(A188,'HECVAT - Full'!A$24:B$312,2,FALSE)</f>
        <v>Has the Disaster Recovery Plan been tested in the last year?  Please provide a summary of the results in Additional Information (including actual recovery time).</v>
      </c>
      <c r="C188" s="35" t="s">
        <v>570</v>
      </c>
      <c r="D188" s="39"/>
      <c r="E188" s="35" t="s">
        <v>641</v>
      </c>
      <c r="F188" s="35" t="s">
        <v>699</v>
      </c>
      <c r="G188" s="44" t="s">
        <v>719</v>
      </c>
      <c r="H188" s="37" t="s">
        <v>845</v>
      </c>
      <c r="I188" s="45"/>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48" customHeight="1" x14ac:dyDescent="0.2">
      <c r="A189" s="17" t="s">
        <v>313</v>
      </c>
      <c r="B189" s="30" t="str">
        <f>VLOOKUP(A189,'HECVAT - Full'!A$24:B$312,2,FALSE)</f>
        <v>Do the documented test results identify your organizations actual recovery time capabilities for technology and facilities?</v>
      </c>
      <c r="C189" s="35" t="s">
        <v>570</v>
      </c>
      <c r="D189" s="39"/>
      <c r="E189" s="35" t="s">
        <v>663</v>
      </c>
      <c r="F189" s="35" t="s">
        <v>699</v>
      </c>
      <c r="G189" s="45"/>
      <c r="H189" s="37" t="s">
        <v>845</v>
      </c>
      <c r="I189" s="37">
        <v>12.8</v>
      </c>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7" t="s">
        <v>314</v>
      </c>
      <c r="B190" s="30" t="str">
        <f>VLOOKUP(A190,'HECVAT - Full'!A$24:B$312,2,FALSE)</f>
        <v xml:space="preserve">Are all components of the DRP reviewed at least annually and updated as needed to reflect change? </v>
      </c>
      <c r="C190" s="35" t="s">
        <v>570</v>
      </c>
      <c r="D190" s="39"/>
      <c r="E190" s="35" t="s">
        <v>640</v>
      </c>
      <c r="F190" s="35" t="s">
        <v>699</v>
      </c>
      <c r="G190" s="44" t="s">
        <v>719</v>
      </c>
      <c r="H190" s="37" t="s">
        <v>845</v>
      </c>
      <c r="I190" s="45"/>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7" t="s">
        <v>315</v>
      </c>
      <c r="B191" s="30" t="str">
        <f>VLOOKUP(A191,'HECVAT - Full'!A$24:B$312,2,FALSE)</f>
        <v>Do you carry cyber-risk insurance to protect against unforeseen service outages, data that is lost or stolen, and security incidents?</v>
      </c>
      <c r="C191" s="36"/>
      <c r="D191" s="39"/>
      <c r="E191" s="36"/>
      <c r="F191" s="36"/>
      <c r="G191" s="44" t="s">
        <v>738</v>
      </c>
      <c r="H191" s="37" t="s">
        <v>845</v>
      </c>
      <c r="I191" s="37">
        <v>12.8</v>
      </c>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248" t="str">
        <f>IF($C$30="","Firewalls, IDS, IPS, and Networking",IF($C$30="Yes","FW/IDPS/Networks - Optional based on QUALIFIER response.","Firewalls, IDS, IPS, and Networking"))</f>
        <v>Firewalls, IDS, IPS, and Networking</v>
      </c>
      <c r="B192" s="248"/>
      <c r="C192" s="34" t="str">
        <f>$C$22</f>
        <v>CIS Critical Security Controls v6.1</v>
      </c>
      <c r="D192" s="34" t="str">
        <f>$D$22</f>
        <v>HIPAA</v>
      </c>
      <c r="E192" s="34" t="str">
        <f>$E$22</f>
        <v>ISO 27002:2013</v>
      </c>
      <c r="F192" s="34" t="str">
        <f>$F$22</f>
        <v>NIST Cybersecurity Framework</v>
      </c>
      <c r="G192" s="25" t="str">
        <f>$G$22</f>
        <v>NIST SP 800-171r1</v>
      </c>
      <c r="H192" s="34" t="str">
        <f>$H$22</f>
        <v>NIST SP 800-53r4</v>
      </c>
      <c r="I192" s="133" t="s">
        <v>2045</v>
      </c>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7" t="s">
        <v>316</v>
      </c>
      <c r="B193" s="30" t="str">
        <f>VLOOKUP(A193,'HECVAT - Full'!A$24:B$312,2,FALSE)</f>
        <v>Are you utilizing a web application firewall (WAF)?</v>
      </c>
      <c r="C193" s="35" t="s">
        <v>584</v>
      </c>
      <c r="D193" s="39"/>
      <c r="E193" s="35" t="s">
        <v>665</v>
      </c>
      <c r="F193" s="35" t="s">
        <v>795</v>
      </c>
      <c r="G193" s="45"/>
      <c r="H193" s="36"/>
      <c r="I193" s="134">
        <v>1.1000000000000001</v>
      </c>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7" t="s">
        <v>317</v>
      </c>
      <c r="B194" s="30" t="str">
        <f>VLOOKUP(A194,'HECVAT - Full'!A$24:B$312,2,FALSE)</f>
        <v>Are you utilizing a stateful packet inspection (SPI) firewall?</v>
      </c>
      <c r="C194" s="35" t="s">
        <v>584</v>
      </c>
      <c r="D194" s="39"/>
      <c r="E194" s="35" t="s">
        <v>665</v>
      </c>
      <c r="F194" s="35" t="s">
        <v>795</v>
      </c>
      <c r="G194" s="45"/>
      <c r="H194" s="36"/>
      <c r="I194" s="134">
        <v>1.1000000000000001</v>
      </c>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7" t="s">
        <v>318</v>
      </c>
      <c r="B195" s="30" t="str">
        <f>VLOOKUP(A195,'HECVAT - Full'!A$24:B$312,2,FALSE)</f>
        <v>State and describe who has the authority to change firewall rules?</v>
      </c>
      <c r="C195" s="35" t="s">
        <v>584</v>
      </c>
      <c r="D195" s="39"/>
      <c r="E195" s="35" t="s">
        <v>639</v>
      </c>
      <c r="F195" s="35" t="s">
        <v>793</v>
      </c>
      <c r="G195" s="45"/>
      <c r="H195" s="36"/>
      <c r="I195" s="134">
        <v>1.1000000000000001</v>
      </c>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7" t="s">
        <v>319</v>
      </c>
      <c r="B196" s="30" t="str">
        <f>VLOOKUP(A196,'HECVAT - Full'!A$24:B$312,2,FALSE)</f>
        <v>Do you have a documented policy for firewall change requests?</v>
      </c>
      <c r="C196" s="35" t="s">
        <v>584</v>
      </c>
      <c r="D196" s="39"/>
      <c r="E196" s="35" t="s">
        <v>646</v>
      </c>
      <c r="F196" s="35" t="s">
        <v>793</v>
      </c>
      <c r="G196" s="45"/>
      <c r="H196" s="36"/>
      <c r="I196" s="134">
        <v>1.1000000000000001</v>
      </c>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7" t="s">
        <v>320</v>
      </c>
      <c r="B197" s="30" t="str">
        <f>VLOOKUP(A197,'HECVAT - Full'!A$24:B$312,2,FALSE)</f>
        <v>Have you implemented an Intrusion Detection System (network-based)?</v>
      </c>
      <c r="C197" s="35" t="s">
        <v>587</v>
      </c>
      <c r="D197" s="39"/>
      <c r="E197" s="35" t="s">
        <v>659</v>
      </c>
      <c r="F197" s="35" t="s">
        <v>796</v>
      </c>
      <c r="G197" s="44" t="s">
        <v>739</v>
      </c>
      <c r="H197" s="35" t="s">
        <v>860</v>
      </c>
      <c r="I197" s="134">
        <v>11.4</v>
      </c>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7" t="s">
        <v>321</v>
      </c>
      <c r="B198" s="30" t="str">
        <f>VLOOKUP(A198,'HECVAT - Full'!A$24:B$312,2,FALSE)</f>
        <v>Have you implemented an Intrusion Prevention System (network-based)?</v>
      </c>
      <c r="C198" s="35" t="s">
        <v>587</v>
      </c>
      <c r="D198" s="39"/>
      <c r="E198" s="35" t="s">
        <v>659</v>
      </c>
      <c r="F198" s="35" t="s">
        <v>796</v>
      </c>
      <c r="G198" s="44" t="s">
        <v>739</v>
      </c>
      <c r="H198" s="35" t="s">
        <v>860</v>
      </c>
      <c r="I198" s="134">
        <v>11.4</v>
      </c>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7" t="s">
        <v>322</v>
      </c>
      <c r="B199" s="30" t="str">
        <f>VLOOKUP(A199,'HECVAT - Full'!A$24:B$312,2,FALSE)</f>
        <v>Do you employ host-based intrusion detection?</v>
      </c>
      <c r="C199" s="35" t="s">
        <v>587</v>
      </c>
      <c r="D199" s="39"/>
      <c r="E199" s="35" t="s">
        <v>659</v>
      </c>
      <c r="F199" s="35" t="s">
        <v>796</v>
      </c>
      <c r="G199" s="44" t="s">
        <v>739</v>
      </c>
      <c r="H199" s="35" t="s">
        <v>860</v>
      </c>
      <c r="I199" s="134">
        <v>11.4</v>
      </c>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7" t="s">
        <v>323</v>
      </c>
      <c r="B200" s="30" t="str">
        <f>VLOOKUP(A200,'HECVAT - Full'!A$24:B$312,2,FALSE)</f>
        <v>Do you employ host-based intrusion prevention?</v>
      </c>
      <c r="C200" s="35" t="s">
        <v>587</v>
      </c>
      <c r="D200" s="39"/>
      <c r="E200" s="35" t="s">
        <v>659</v>
      </c>
      <c r="F200" s="35" t="s">
        <v>796</v>
      </c>
      <c r="G200" s="44" t="s">
        <v>739</v>
      </c>
      <c r="H200" s="35" t="s">
        <v>860</v>
      </c>
      <c r="I200" s="134">
        <v>11.4</v>
      </c>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7" t="s">
        <v>324</v>
      </c>
      <c r="B201" s="30" t="str">
        <f>VLOOKUP(A201,'HECVAT - Full'!A$24:B$312,2,FALSE)</f>
        <v>Are you employing any next-generation persistent threat (NGPT) monitoring?</v>
      </c>
      <c r="C201" s="35" t="s">
        <v>587</v>
      </c>
      <c r="D201" s="39"/>
      <c r="E201" s="35" t="s">
        <v>666</v>
      </c>
      <c r="F201" s="36"/>
      <c r="G201" s="44" t="s">
        <v>739</v>
      </c>
      <c r="H201" s="35" t="s">
        <v>860</v>
      </c>
      <c r="I201" s="134">
        <v>11.5</v>
      </c>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7" t="s">
        <v>325</v>
      </c>
      <c r="B202" s="30" t="str">
        <f>VLOOKUP(A202,'HECVAT - Full'!A$24:B$312,2,FALSE)</f>
        <v>Do you monitor for intrusions on a 24x7x365 basis?</v>
      </c>
      <c r="C202" s="35" t="s">
        <v>587</v>
      </c>
      <c r="D202" s="39"/>
      <c r="E202" s="35" t="s">
        <v>666</v>
      </c>
      <c r="F202" s="35" t="s">
        <v>797</v>
      </c>
      <c r="G202" s="44" t="s">
        <v>739</v>
      </c>
      <c r="H202" s="35" t="s">
        <v>860</v>
      </c>
      <c r="I202" s="134">
        <v>11.4</v>
      </c>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7" t="s">
        <v>326</v>
      </c>
      <c r="B203" s="30" t="str">
        <f>VLOOKUP(A203,'HECVAT - Full'!A$24:B$312,2,FALSE)</f>
        <v>Is intrusion monitoring performed internally or by a third-party service?</v>
      </c>
      <c r="C203" s="35" t="s">
        <v>588</v>
      </c>
      <c r="D203" s="39"/>
      <c r="E203" s="35" t="s">
        <v>666</v>
      </c>
      <c r="F203" s="35" t="s">
        <v>797</v>
      </c>
      <c r="G203" s="44" t="s">
        <v>739</v>
      </c>
      <c r="H203" s="35" t="s">
        <v>860</v>
      </c>
      <c r="I203" s="134" t="s">
        <v>2132</v>
      </c>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17" t="s">
        <v>327</v>
      </c>
      <c r="B204" s="30" t="str">
        <f>VLOOKUP(A204,'HECVAT - Full'!A$24:B$312,2,FALSE)</f>
        <v>Are audit logs available for all changes to the network, firewall, IDS, and IPS systems?</v>
      </c>
      <c r="C204" s="35" t="s">
        <v>579</v>
      </c>
      <c r="D204" s="39"/>
      <c r="E204" s="35" t="s">
        <v>666</v>
      </c>
      <c r="F204" s="35" t="s">
        <v>798</v>
      </c>
      <c r="G204" s="44" t="s">
        <v>740</v>
      </c>
      <c r="H204" s="35" t="s">
        <v>863</v>
      </c>
      <c r="I204" s="134" t="s">
        <v>2133</v>
      </c>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248" t="str">
        <f>IF(OR($C$25="No",$C$30="Yes"),"Mobile Applications - Optional based on QUALIFIER response.","Mobile Applications")</f>
        <v>Mobile Applications</v>
      </c>
      <c r="B205" s="248"/>
      <c r="C205" s="34" t="str">
        <f>$C$22</f>
        <v>CIS Critical Security Controls v6.1</v>
      </c>
      <c r="D205" s="34" t="str">
        <f>$D$22</f>
        <v>HIPAA</v>
      </c>
      <c r="E205" s="34" t="str">
        <f>$E$22</f>
        <v>ISO 27002:2013</v>
      </c>
      <c r="F205" s="34" t="str">
        <f>$F$22</f>
        <v>NIST Cybersecurity Framework</v>
      </c>
      <c r="G205" s="25" t="str">
        <f>$G$22</f>
        <v>NIST SP 800-171r1</v>
      </c>
      <c r="H205" s="34" t="str">
        <f>$H$22</f>
        <v>NIST SP 800-53r4</v>
      </c>
      <c r="I205" s="133" t="s">
        <v>2045</v>
      </c>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48" customHeight="1" x14ac:dyDescent="0.2">
      <c r="A206" s="17" t="s">
        <v>328</v>
      </c>
      <c r="B206" s="30" t="str">
        <f>VLOOKUP(A206,'HECVAT - Full'!A$24:B$312,2,FALSE)</f>
        <v>On which mobile operating systems is your software or service supported?</v>
      </c>
      <c r="C206" s="35" t="s">
        <v>569</v>
      </c>
      <c r="D206" s="39"/>
      <c r="E206" s="36"/>
      <c r="F206" s="36"/>
      <c r="G206" s="46"/>
      <c r="H206" s="36"/>
      <c r="I206" s="3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7" customHeight="1" x14ac:dyDescent="0.2">
      <c r="A207" s="17" t="s">
        <v>329</v>
      </c>
      <c r="B207" s="30" t="str">
        <f>VLOOKUP(A207,'HECVAT - Full'!A$24:B$312,2,FALSE)</f>
        <v>Describe or provide a reference to the application's architecture and functionality.</v>
      </c>
      <c r="C207" s="35" t="s">
        <v>583</v>
      </c>
      <c r="D207" s="39"/>
      <c r="E207" s="36"/>
      <c r="F207" s="35" t="s">
        <v>799</v>
      </c>
      <c r="G207" s="46"/>
      <c r="H207" s="36"/>
      <c r="I207" s="36"/>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36" customHeight="1" x14ac:dyDescent="0.2">
      <c r="A208" s="17" t="s">
        <v>330</v>
      </c>
      <c r="B208" s="30" t="str">
        <f>VLOOKUP(A208,'HECVAT - Full'!A$24:B$312,2,FALSE)</f>
        <v>Is the application available from a trusted source (e.g., iTunes App Store, Android Market, BB World)?</v>
      </c>
      <c r="C208" s="35" t="s">
        <v>569</v>
      </c>
      <c r="D208" s="39"/>
      <c r="E208" s="36"/>
      <c r="F208" s="35" t="s">
        <v>799</v>
      </c>
      <c r="G208" s="45"/>
      <c r="H208" s="36"/>
      <c r="I208" s="36"/>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65" customHeight="1" x14ac:dyDescent="0.2">
      <c r="A209" s="17" t="s">
        <v>331</v>
      </c>
      <c r="B209" s="30" t="str">
        <f>VLOOKUP(A209,'HECVAT - Full'!A$24:B$312,2,FALSE)</f>
        <v>Does the application store, process, or transmit critical data?</v>
      </c>
      <c r="C209" s="35" t="s">
        <v>589</v>
      </c>
      <c r="D209" s="39"/>
      <c r="E209" s="35" t="s">
        <v>667</v>
      </c>
      <c r="F209" s="35" t="s">
        <v>800</v>
      </c>
      <c r="G209" s="45"/>
      <c r="H209" s="36"/>
      <c r="I209" s="36"/>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36" customHeight="1" x14ac:dyDescent="0.2">
      <c r="A210" s="17" t="s">
        <v>332</v>
      </c>
      <c r="B210" s="30" t="str">
        <f>VLOOKUP(A210,'HECVAT - Full'!A$24:B$312,2,FALSE)</f>
        <v>Is Institution's data encrypted in transport?</v>
      </c>
      <c r="C210" s="35" t="s">
        <v>568</v>
      </c>
      <c r="D210" s="39"/>
      <c r="E210" s="35" t="s">
        <v>668</v>
      </c>
      <c r="F210" s="35" t="s">
        <v>800</v>
      </c>
      <c r="G210" s="44" t="s">
        <v>741</v>
      </c>
      <c r="H210" s="35" t="s">
        <v>864</v>
      </c>
      <c r="I210" s="35">
        <v>4.0999999999999996</v>
      </c>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36" customHeight="1" x14ac:dyDescent="0.2">
      <c r="A211" s="17" t="s">
        <v>333</v>
      </c>
      <c r="B211" s="30" t="str">
        <f>VLOOKUP(A211,'HECVAT - Full'!A$24:B$312,2,FALSE)</f>
        <v>Is Institution's data encrypted in storage? (e.g. disk encryption, at-rest)</v>
      </c>
      <c r="C211" s="35" t="s">
        <v>571</v>
      </c>
      <c r="D211" s="39"/>
      <c r="E211" s="35" t="s">
        <v>668</v>
      </c>
      <c r="F211" s="35" t="s">
        <v>801</v>
      </c>
      <c r="G211" s="45"/>
      <c r="H211" s="36"/>
      <c r="I211" s="36"/>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7" t="s">
        <v>334</v>
      </c>
      <c r="B212" s="30" t="str">
        <f>VLOOKUP(A212,'HECVAT - Full'!A$24:B$312,2,FALSE)</f>
        <v>Does the mobile application support Kerberos, CAS, or Active Directory authentication?</v>
      </c>
      <c r="C212" s="35" t="s">
        <v>577</v>
      </c>
      <c r="D212" s="39"/>
      <c r="E212" s="35" t="s">
        <v>669</v>
      </c>
      <c r="F212" s="36"/>
      <c r="G212" s="45"/>
      <c r="H212" s="36"/>
      <c r="I212" s="36"/>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48" customHeight="1" x14ac:dyDescent="0.2">
      <c r="A213" s="17" t="s">
        <v>335</v>
      </c>
      <c r="B213" s="30" t="str">
        <f>VLOOKUP(A213,'HECVAT - Full'!A$24:B$312,2,FALSE)</f>
        <v>Will any of these systems be implemented on systems hosting the Institution's data?</v>
      </c>
      <c r="C213" s="35" t="s">
        <v>577</v>
      </c>
      <c r="D213" s="39"/>
      <c r="E213" s="36"/>
      <c r="F213" s="36"/>
      <c r="G213" s="45"/>
      <c r="H213" s="36"/>
      <c r="I213" s="36"/>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7" t="s">
        <v>336</v>
      </c>
      <c r="B214" s="30" t="str">
        <f>VLOOKUP(A214,'HECVAT - Full'!A$24:B$312,2,FALSE)</f>
        <v>Does the application adhere to secure coding practices (e.g. OWASP, etc.)?</v>
      </c>
      <c r="C214" s="35" t="s">
        <v>569</v>
      </c>
      <c r="D214" s="39"/>
      <c r="E214" s="35" t="s">
        <v>621</v>
      </c>
      <c r="F214" s="35" t="s">
        <v>799</v>
      </c>
      <c r="G214" s="45"/>
      <c r="H214" s="36"/>
      <c r="I214" s="36"/>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7" t="s">
        <v>337</v>
      </c>
      <c r="B215" s="30" t="str">
        <f>VLOOKUP(A215,'HECVAT - Full'!A$24:B$312,2,FALSE)</f>
        <v>Has the application been tested for vulnerabilities by a third party?</v>
      </c>
      <c r="C215" s="35" t="s">
        <v>569</v>
      </c>
      <c r="D215" s="39"/>
      <c r="E215" s="35" t="s">
        <v>670</v>
      </c>
      <c r="F215" s="35" t="s">
        <v>802</v>
      </c>
      <c r="G215" s="45"/>
      <c r="H215" s="36"/>
      <c r="I215" s="36"/>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7" t="s">
        <v>555</v>
      </c>
      <c r="B216" s="30" t="str">
        <f>VLOOKUP(A216,'HECVAT - Full'!A$24:B$312,2,FALSE)</f>
        <v>State the party that performed the vulnerability test and the date it was conducted?</v>
      </c>
      <c r="C216" s="35" t="s">
        <v>569</v>
      </c>
      <c r="D216" s="39"/>
      <c r="E216" s="35" t="s">
        <v>670</v>
      </c>
      <c r="F216" s="35" t="s">
        <v>802</v>
      </c>
      <c r="G216" s="46"/>
      <c r="H216" s="36"/>
      <c r="I216" s="3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248" t="str">
        <f>IF($C$30="","Physical Security",IF($C$30="Yes","Physical Security - Optional based on QUALIFIER response.","Physical Security"))</f>
        <v>Physical Security</v>
      </c>
      <c r="B217" s="248"/>
      <c r="C217" s="34" t="str">
        <f>$C$22</f>
        <v>CIS Critical Security Controls v6.1</v>
      </c>
      <c r="D217" s="34" t="str">
        <f>$D$22</f>
        <v>HIPAA</v>
      </c>
      <c r="E217" s="34" t="str">
        <f>$E$22</f>
        <v>ISO 27002:2013</v>
      </c>
      <c r="F217" s="34" t="str">
        <f>$F$22</f>
        <v>NIST Cybersecurity Framework</v>
      </c>
      <c r="G217" s="25" t="str">
        <f>$G$22</f>
        <v>NIST SP 800-171r1</v>
      </c>
      <c r="H217" s="34" t="str">
        <f>$H$22</f>
        <v>NIST SP 800-53r4</v>
      </c>
      <c r="I217" s="133" t="s">
        <v>2045</v>
      </c>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64.25" customHeight="1" x14ac:dyDescent="0.2">
      <c r="A218" s="17" t="s">
        <v>338</v>
      </c>
      <c r="B218" s="30" t="str">
        <f>VLOOKUP(A218,'HECVAT - Full'!A$24:B$312,2,FALSE)</f>
        <v>Does your organization have physical security controls and policies in place?</v>
      </c>
      <c r="C218" s="35" t="s">
        <v>583</v>
      </c>
      <c r="D218" s="40"/>
      <c r="E218" s="35" t="s">
        <v>658</v>
      </c>
      <c r="F218" s="35" t="s">
        <v>803</v>
      </c>
      <c r="G218" s="44" t="s">
        <v>742</v>
      </c>
      <c r="H218" s="35" t="s">
        <v>865</v>
      </c>
      <c r="I218" s="35" t="s">
        <v>2131</v>
      </c>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7" t="s">
        <v>339</v>
      </c>
      <c r="B219" s="30" t="str">
        <f>VLOOKUP(A219,'HECVAT - Full'!A$24:B$312,2,FALSE)</f>
        <v>Are employees allowed to take home Institution's data in any form?</v>
      </c>
      <c r="C219" s="35" t="s">
        <v>568</v>
      </c>
      <c r="D219" s="40"/>
      <c r="E219" s="35" t="s">
        <v>668</v>
      </c>
      <c r="F219" s="35" t="s">
        <v>804</v>
      </c>
      <c r="G219" s="44" t="s">
        <v>744</v>
      </c>
      <c r="H219" s="35" t="s">
        <v>866</v>
      </c>
      <c r="I219" s="35" t="s">
        <v>2134</v>
      </c>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17" t="s">
        <v>340</v>
      </c>
      <c r="B220" s="30" t="str">
        <f>VLOOKUP(A220,'HECVAT - Full'!A$24:B$312,2,FALSE)</f>
        <v>Are video monitoring feeds retained?</v>
      </c>
      <c r="C220" s="35" t="s">
        <v>583</v>
      </c>
      <c r="D220" s="40"/>
      <c r="E220" s="35" t="s">
        <v>672</v>
      </c>
      <c r="F220" s="35" t="s">
        <v>805</v>
      </c>
      <c r="G220" s="44" t="s">
        <v>743</v>
      </c>
      <c r="H220" s="35" t="s">
        <v>867</v>
      </c>
      <c r="I220" s="35" t="s">
        <v>2131</v>
      </c>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17" t="s">
        <v>341</v>
      </c>
      <c r="B221" s="30" t="str">
        <f>VLOOKUP(A221,'HECVAT - Full'!A$24:B$312,2,FALSE)</f>
        <v>Are video feeds monitored by datacenter staff?</v>
      </c>
      <c r="C221" s="35" t="s">
        <v>583</v>
      </c>
      <c r="D221" s="40"/>
      <c r="E221" s="35" t="s">
        <v>673</v>
      </c>
      <c r="F221" s="35" t="s">
        <v>805</v>
      </c>
      <c r="G221" s="44" t="s">
        <v>743</v>
      </c>
      <c r="H221" s="35" t="s">
        <v>867</v>
      </c>
      <c r="I221" s="35" t="s">
        <v>2131</v>
      </c>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36" customHeight="1" x14ac:dyDescent="0.2">
      <c r="A222" s="17" t="s">
        <v>342</v>
      </c>
      <c r="B222" s="30" t="str">
        <f>VLOOKUP(A222,'HECVAT - Full'!A$24:B$312,2,FALSE)</f>
        <v>Are individuals required to sign in/out for installation and removal of equipment?</v>
      </c>
      <c r="C222" s="35" t="s">
        <v>571</v>
      </c>
      <c r="D222" s="40"/>
      <c r="E222" s="35" t="s">
        <v>671</v>
      </c>
      <c r="F222" s="35" t="s">
        <v>789</v>
      </c>
      <c r="G222" s="44" t="s">
        <v>745</v>
      </c>
      <c r="H222" s="35" t="s">
        <v>866</v>
      </c>
      <c r="I222" s="35" t="s">
        <v>2131</v>
      </c>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36" customHeight="1" x14ac:dyDescent="0.2">
      <c r="A223" s="248" t="str">
        <f>IF($C$30="","Policies, Procedures, and Processes",IF($C$30="Yes","Pol/Pro/Proc - Optional based on QUALIFIER response.","Policies, Procedures, and Processes"))</f>
        <v>Policies, Procedures, and Processes</v>
      </c>
      <c r="B223" s="248"/>
      <c r="C223" s="34" t="str">
        <f>$C$22</f>
        <v>CIS Critical Security Controls v6.1</v>
      </c>
      <c r="D223" s="34" t="str">
        <f>$D$22</f>
        <v>HIPAA</v>
      </c>
      <c r="E223" s="34" t="str">
        <f>$E$22</f>
        <v>ISO 27002:2013</v>
      </c>
      <c r="F223" s="34" t="str">
        <f>$F$22</f>
        <v>NIST Cybersecurity Framework</v>
      </c>
      <c r="G223" s="25" t="str">
        <f>$G$22</f>
        <v>NIST SP 800-171r1</v>
      </c>
      <c r="H223" s="34" t="str">
        <f>$H$22</f>
        <v>NIST SP 800-53r4</v>
      </c>
      <c r="I223" s="133" t="s">
        <v>2045</v>
      </c>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2" customHeight="1" x14ac:dyDescent="0.2">
      <c r="A224" s="17" t="s">
        <v>343</v>
      </c>
      <c r="B224" s="30" t="str">
        <f>VLOOKUP(A224,'HECVAT - Full'!A$24:B$312,2,FALSE)</f>
        <v>Can you share the organization chart, mission statement, and policies for your information security unit?</v>
      </c>
      <c r="C224" s="36"/>
      <c r="D224" s="36"/>
      <c r="E224" s="35" t="s">
        <v>674</v>
      </c>
      <c r="F224" s="35" t="s">
        <v>806</v>
      </c>
      <c r="G224" s="44" t="s">
        <v>746</v>
      </c>
      <c r="H224" s="35" t="s">
        <v>868</v>
      </c>
      <c r="I224" s="35" t="s">
        <v>2135</v>
      </c>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17" t="s">
        <v>344</v>
      </c>
      <c r="B225" s="30" t="str">
        <f>VLOOKUP(A225,'HECVAT - Full'!A$24:B$312,2,FALSE)</f>
        <v>Do you have a documented patch management process?</v>
      </c>
      <c r="C225" s="35" t="s">
        <v>590</v>
      </c>
      <c r="D225" s="36"/>
      <c r="E225" s="35" t="s">
        <v>647</v>
      </c>
      <c r="F225" s="35" t="s">
        <v>807</v>
      </c>
      <c r="G225" s="45"/>
      <c r="H225" s="35" t="s">
        <v>869</v>
      </c>
      <c r="I225" s="35" t="s">
        <v>2136</v>
      </c>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17" t="s">
        <v>345</v>
      </c>
      <c r="B226" s="30" t="str">
        <f>VLOOKUP(A226,'HECVAT - Full'!A$24:B$312,2,FALSE)</f>
        <v>Can you accommodate encryption requirements using open standards?</v>
      </c>
      <c r="C226" s="35" t="s">
        <v>568</v>
      </c>
      <c r="D226" s="36"/>
      <c r="E226" s="35" t="s">
        <v>682</v>
      </c>
      <c r="F226" s="36"/>
      <c r="G226" s="45"/>
      <c r="H226" s="35" t="s">
        <v>869</v>
      </c>
      <c r="I226" s="35"/>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7" t="s">
        <v>346</v>
      </c>
      <c r="B227" s="30" t="str">
        <f>VLOOKUP(A227,'HECVAT - Full'!A$24:B$312,2,FALSE)</f>
        <v>Have your developers been trained in secure coding techniques?</v>
      </c>
      <c r="C227" s="35" t="s">
        <v>592</v>
      </c>
      <c r="D227" s="36"/>
      <c r="E227" s="35" t="s">
        <v>621</v>
      </c>
      <c r="F227" s="36"/>
      <c r="G227" s="45"/>
      <c r="H227" s="35" t="s">
        <v>869</v>
      </c>
      <c r="I227" s="35" t="s">
        <v>2137</v>
      </c>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48" customHeight="1" x14ac:dyDescent="0.2">
      <c r="A228" s="17" t="s">
        <v>347</v>
      </c>
      <c r="B228" s="30" t="str">
        <f>VLOOKUP(A228,'HECVAT - Full'!A$24:B$312,2,FALSE)</f>
        <v>Was your application developed using secure coding techniques?</v>
      </c>
      <c r="C228" s="35" t="s">
        <v>590</v>
      </c>
      <c r="D228" s="36"/>
      <c r="E228" s="35" t="s">
        <v>621</v>
      </c>
      <c r="F228" s="36"/>
      <c r="G228" s="45"/>
      <c r="H228" s="35" t="s">
        <v>869</v>
      </c>
      <c r="I228" s="35">
        <v>6.3</v>
      </c>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48" customHeight="1" x14ac:dyDescent="0.2">
      <c r="A229" s="17" t="s">
        <v>348</v>
      </c>
      <c r="B229" s="30" t="str">
        <f>VLOOKUP(A229,'HECVAT - Full'!A$24:B$312,2,FALSE)</f>
        <v>Do you subject your code to static code analysis and/or static application security testing prior to release?</v>
      </c>
      <c r="C229" s="35" t="s">
        <v>590</v>
      </c>
      <c r="D229" s="36"/>
      <c r="E229" s="35" t="s">
        <v>683</v>
      </c>
      <c r="F229" s="35" t="s">
        <v>808</v>
      </c>
      <c r="G229" s="45"/>
      <c r="H229" s="35" t="s">
        <v>869</v>
      </c>
      <c r="I229" s="35" t="s">
        <v>2138</v>
      </c>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84" customHeight="1" x14ac:dyDescent="0.2">
      <c r="A230" s="17" t="s">
        <v>349</v>
      </c>
      <c r="B230" s="30" t="str">
        <f>VLOOKUP(A230,'HECVAT - Full'!A$24:B$312,2,FALSE)</f>
        <v>Do you have software testing processes (dynamic or static) that are established and followed?</v>
      </c>
      <c r="C230" s="35" t="s">
        <v>590</v>
      </c>
      <c r="D230" s="36"/>
      <c r="E230" s="35" t="s">
        <v>675</v>
      </c>
      <c r="F230" s="35" t="s">
        <v>809</v>
      </c>
      <c r="G230" s="44" t="s">
        <v>719</v>
      </c>
      <c r="H230" s="35" t="s">
        <v>869</v>
      </c>
      <c r="I230" s="35" t="s">
        <v>2139</v>
      </c>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7" t="s">
        <v>350</v>
      </c>
      <c r="B231" s="30" t="str">
        <f>VLOOKUP(A231,'HECVAT - Full'!A$24:B$312,2,FALSE)</f>
        <v>Are information security principles designed into the product lifecycle?</v>
      </c>
      <c r="C231" s="35" t="s">
        <v>590</v>
      </c>
      <c r="D231" s="36"/>
      <c r="E231" s="35" t="s">
        <v>621</v>
      </c>
      <c r="F231" s="36"/>
      <c r="G231" s="44" t="s">
        <v>747</v>
      </c>
      <c r="H231" s="35" t="s">
        <v>869</v>
      </c>
      <c r="I231" s="35" t="s">
        <v>2140</v>
      </c>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7" t="s">
        <v>351</v>
      </c>
      <c r="B232" s="30" t="str">
        <f>VLOOKUP(A232,'HECVAT - Full'!A$24:B$312,2,FALSE)</f>
        <v>Do you have a documented systems development life cycle (SDLC)?</v>
      </c>
      <c r="C232" s="35" t="s">
        <v>590</v>
      </c>
      <c r="D232" s="36"/>
      <c r="E232" s="35" t="s">
        <v>621</v>
      </c>
      <c r="F232" s="35" t="s">
        <v>810</v>
      </c>
      <c r="G232" s="45"/>
      <c r="H232" s="35" t="s">
        <v>870</v>
      </c>
      <c r="I232" s="35" t="s">
        <v>2138</v>
      </c>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7" t="s">
        <v>352</v>
      </c>
      <c r="B233" s="30" t="str">
        <f>VLOOKUP(A233,'HECVAT - Full'!A$24:B$312,2,FALSE)</f>
        <v>Do you have a formal incident response plan?</v>
      </c>
      <c r="C233" s="35" t="s">
        <v>587</v>
      </c>
      <c r="D233" s="36"/>
      <c r="E233" s="35" t="s">
        <v>676</v>
      </c>
      <c r="F233" s="35" t="s">
        <v>699</v>
      </c>
      <c r="G233" s="44" t="s">
        <v>748</v>
      </c>
      <c r="H233" s="35" t="s">
        <v>871</v>
      </c>
      <c r="I233" s="35" t="s">
        <v>2141</v>
      </c>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7" t="s">
        <v>353</v>
      </c>
      <c r="B234" s="30" t="str">
        <f>VLOOKUP(A234,'HECVAT - Full'!A$24:B$312,2,FALSE)</f>
        <v>Will you comply with applicable breach notification laws?</v>
      </c>
      <c r="C234" s="35" t="s">
        <v>587</v>
      </c>
      <c r="D234" s="36"/>
      <c r="E234" s="35" t="s">
        <v>616</v>
      </c>
      <c r="F234" s="35" t="s">
        <v>697</v>
      </c>
      <c r="G234" s="44" t="s">
        <v>749</v>
      </c>
      <c r="H234" s="35" t="s">
        <v>872</v>
      </c>
      <c r="I234" s="35">
        <v>12.8</v>
      </c>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8" customHeight="1" x14ac:dyDescent="0.2">
      <c r="A235" s="17" t="s">
        <v>354</v>
      </c>
      <c r="B235" s="30" t="str">
        <f>VLOOKUP(A235,'HECVAT - Full'!A$24:B$312,2,FALSE)</f>
        <v>Will you comply with the Institution's IT policies with regards to user privacy and data protection?</v>
      </c>
      <c r="C235" s="35" t="s">
        <v>568</v>
      </c>
      <c r="D235" s="36"/>
      <c r="E235" s="35" t="s">
        <v>616</v>
      </c>
      <c r="F235" s="36"/>
      <c r="G235" s="44" t="s">
        <v>738</v>
      </c>
      <c r="H235" s="35" t="s">
        <v>873</v>
      </c>
      <c r="I235" s="35">
        <v>12.8</v>
      </c>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7" t="s">
        <v>355</v>
      </c>
      <c r="B236" s="30" t="str">
        <f>VLOOKUP(A236,'HECVAT - Full'!A$24:B$312,2,FALSE)</f>
        <v>Is your company subject to Institution's Data Zone laws and regulations?</v>
      </c>
      <c r="C236" s="35" t="s">
        <v>587</v>
      </c>
      <c r="D236" s="36"/>
      <c r="E236" s="35" t="s">
        <v>616</v>
      </c>
      <c r="F236" s="35" t="s">
        <v>697</v>
      </c>
      <c r="G236" s="45"/>
      <c r="H236" s="35" t="s">
        <v>869</v>
      </c>
      <c r="I236" s="35"/>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48" customHeight="1" x14ac:dyDescent="0.2">
      <c r="A237" s="17" t="s">
        <v>356</v>
      </c>
      <c r="B237" s="30" t="str">
        <f>VLOOKUP(A237,'HECVAT - Full'!A$24:B$312,2,FALSE)</f>
        <v>Do you perform background screenings or multi-state background checks on all employees prior to their first day of work?</v>
      </c>
      <c r="C237" s="35" t="s">
        <v>576</v>
      </c>
      <c r="D237" s="36"/>
      <c r="E237" s="35" t="s">
        <v>677</v>
      </c>
      <c r="F237" s="35" t="s">
        <v>811</v>
      </c>
      <c r="G237" s="44" t="s">
        <v>750</v>
      </c>
      <c r="H237" s="35" t="s">
        <v>874</v>
      </c>
      <c r="I237" s="35">
        <v>12.7</v>
      </c>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17" t="s">
        <v>357</v>
      </c>
      <c r="B238" s="30" t="str">
        <f>VLOOKUP(A238,'HECVAT - Full'!A$24:B$312,2,FALSE)</f>
        <v xml:space="preserve">Do you require new employees to fill out agreements and review policies?  </v>
      </c>
      <c r="C238" s="35" t="s">
        <v>591</v>
      </c>
      <c r="D238" s="36"/>
      <c r="E238" s="35" t="s">
        <v>678</v>
      </c>
      <c r="F238" s="35" t="s">
        <v>811</v>
      </c>
      <c r="G238" s="45"/>
      <c r="H238" s="35" t="s">
        <v>869</v>
      </c>
      <c r="I238" s="35" t="s">
        <v>2142</v>
      </c>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48" customHeight="1" x14ac:dyDescent="0.2">
      <c r="A239" s="17" t="s">
        <v>358</v>
      </c>
      <c r="B239" s="30" t="str">
        <f>VLOOKUP(A239,'HECVAT - Full'!A$24:B$312,2,FALSE)</f>
        <v>Do you have documented information security policy?</v>
      </c>
      <c r="C239" s="35" t="s">
        <v>591</v>
      </c>
      <c r="D239" s="35" t="s">
        <v>599</v>
      </c>
      <c r="E239" s="35" t="s">
        <v>674</v>
      </c>
      <c r="F239" s="35" t="s">
        <v>697</v>
      </c>
      <c r="G239" s="45"/>
      <c r="H239" s="35" t="s">
        <v>869</v>
      </c>
      <c r="I239" s="35" t="s">
        <v>2144</v>
      </c>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7" t="s">
        <v>359</v>
      </c>
      <c r="B240" s="30" t="str">
        <f>VLOOKUP(A240,'HECVAT - Full'!A$24:B$312,2,FALSE)</f>
        <v>Do you have an information security awareness program?</v>
      </c>
      <c r="C240" s="35" t="s">
        <v>591</v>
      </c>
      <c r="D240" s="35" t="s">
        <v>601</v>
      </c>
      <c r="E240" s="35" t="s">
        <v>679</v>
      </c>
      <c r="F240" s="35" t="s">
        <v>812</v>
      </c>
      <c r="G240" s="44" t="s">
        <v>751</v>
      </c>
      <c r="H240" s="35" t="s">
        <v>875</v>
      </c>
      <c r="I240" s="35">
        <v>12.6</v>
      </c>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7" t="s">
        <v>360</v>
      </c>
      <c r="B241" s="30" t="str">
        <f>VLOOKUP(A241,'HECVAT - Full'!A$24:B$312,2,FALSE)</f>
        <v>Is security awareness training mandatory for all employees?</v>
      </c>
      <c r="C241" s="35" t="s">
        <v>591</v>
      </c>
      <c r="D241" s="35" t="s">
        <v>601</v>
      </c>
      <c r="E241" s="35" t="s">
        <v>679</v>
      </c>
      <c r="F241" s="35" t="s">
        <v>812</v>
      </c>
      <c r="G241" s="44" t="s">
        <v>752</v>
      </c>
      <c r="H241" s="35" t="s">
        <v>876</v>
      </c>
      <c r="I241" s="35">
        <v>12.6</v>
      </c>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7" t="s">
        <v>361</v>
      </c>
      <c r="B242" s="30" t="str">
        <f>VLOOKUP(A242,'HECVAT - Full'!A$24:B$312,2,FALSE)</f>
        <v>Do you have process and procedure(s) documented, and currently followed, that require a review and update of the access-list(s) for privileged accounts?</v>
      </c>
      <c r="C242" s="35" t="s">
        <v>591</v>
      </c>
      <c r="D242" s="36"/>
      <c r="E242" s="35" t="s">
        <v>680</v>
      </c>
      <c r="F242" s="35" t="s">
        <v>771</v>
      </c>
      <c r="G242" s="44" t="s">
        <v>753</v>
      </c>
      <c r="H242" s="35" t="s">
        <v>869</v>
      </c>
      <c r="I242" s="35" t="s">
        <v>2145</v>
      </c>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70.25" customHeight="1" x14ac:dyDescent="0.2">
      <c r="A243" s="17" t="s">
        <v>362</v>
      </c>
      <c r="B243" s="30" t="str">
        <f>VLOOKUP(A243,'HECVAT - Full'!A$24:B$312,2,FALSE)</f>
        <v>Do you have documented, and currently implemented, internal audit processes and procedures?</v>
      </c>
      <c r="C243" s="36"/>
      <c r="D243" s="36"/>
      <c r="E243" s="35" t="s">
        <v>681</v>
      </c>
      <c r="F243" s="36"/>
      <c r="G243" s="45"/>
      <c r="H243" s="35" t="s">
        <v>877</v>
      </c>
      <c r="I243" s="45"/>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36" customHeight="1" x14ac:dyDescent="0.2">
      <c r="A244" s="248" t="str">
        <f>IF($C$30="","Product Evaluation",IF($C$30="Yes","Product Evaluation - Optional based on QUALIFIER response.","Product Evaluation"))</f>
        <v>Product Evaluation</v>
      </c>
      <c r="B244" s="248"/>
      <c r="C244" s="34" t="str">
        <f>$C$22</f>
        <v>CIS Critical Security Controls v6.1</v>
      </c>
      <c r="D244" s="34" t="str">
        <f>$D$22</f>
        <v>HIPAA</v>
      </c>
      <c r="E244" s="34" t="str">
        <f>$E$22</f>
        <v>ISO 27002:2013</v>
      </c>
      <c r="F244" s="34" t="str">
        <f>$F$22</f>
        <v>NIST Cybersecurity Framework</v>
      </c>
      <c r="G244" s="25" t="str">
        <f>$G$22</f>
        <v>NIST SP 800-171r1</v>
      </c>
      <c r="H244" s="34" t="str">
        <f>$H$22</f>
        <v>NIST SP 800-53r4</v>
      </c>
      <c r="I244" s="133" t="s">
        <v>2045</v>
      </c>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7" t="s">
        <v>363</v>
      </c>
      <c r="B245" s="30" t="str">
        <f>VLOOKUP(A245,'HECVAT - Full'!A$24:B$312,2,FALSE)</f>
        <v>Do you incorporate customer feedback into security feature requests?</v>
      </c>
      <c r="C245" s="36"/>
      <c r="D245" s="39"/>
      <c r="E245" s="39"/>
      <c r="F245" s="36"/>
      <c r="G245" s="45"/>
      <c r="H245" s="39"/>
      <c r="I245" s="39"/>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36" customHeight="1" x14ac:dyDescent="0.2">
      <c r="A246" s="17" t="s">
        <v>364</v>
      </c>
      <c r="B246" s="30" t="str">
        <f>VLOOKUP(A246,'HECVAT - Full'!A$24:B$312,2,FALSE)</f>
        <v>Can you provide an evaluation site to the institution for testing?</v>
      </c>
      <c r="C246" s="36"/>
      <c r="D246" s="39"/>
      <c r="E246" s="39"/>
      <c r="F246" s="35" t="s">
        <v>809</v>
      </c>
      <c r="G246" s="45"/>
      <c r="H246" s="39"/>
      <c r="I246" s="39"/>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36" customHeight="1" x14ac:dyDescent="0.2">
      <c r="A247" s="248" t="str">
        <f>IF($C$30="","Quality Assurance",IF($C$30="Yes","Quality Assurance - Optional based on QUALIFIER response.","Quality Assurance"))</f>
        <v>Quality Assurance</v>
      </c>
      <c r="B247" s="248"/>
      <c r="C247" s="34" t="str">
        <f>$C$22</f>
        <v>CIS Critical Security Controls v6.1</v>
      </c>
      <c r="D247" s="34" t="str">
        <f>$D$22</f>
        <v>HIPAA</v>
      </c>
      <c r="E247" s="34" t="str">
        <f>$E$22</f>
        <v>ISO 27002:2013</v>
      </c>
      <c r="F247" s="34" t="str">
        <f>$F$22</f>
        <v>NIST Cybersecurity Framework</v>
      </c>
      <c r="G247" s="25" t="str">
        <f>$G$22</f>
        <v>NIST SP 800-171r1</v>
      </c>
      <c r="H247" s="34" t="str">
        <f>$H$22</f>
        <v>NIST SP 800-53r4</v>
      </c>
      <c r="I247" s="133" t="s">
        <v>2045</v>
      </c>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7" t="s">
        <v>365</v>
      </c>
      <c r="B248" s="30" t="str">
        <f>VLOOKUP(A248,'HECVAT - Full'!A$24:B$312,2,FALSE)</f>
        <v>Provide a general summary of your Quality Assurance program.</v>
      </c>
      <c r="C248" s="35" t="s">
        <v>568</v>
      </c>
      <c r="D248" s="39"/>
      <c r="E248" s="39"/>
      <c r="F248" s="39"/>
      <c r="G248" s="46"/>
      <c r="H248" s="39"/>
      <c r="I248" s="39"/>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36" customHeight="1" x14ac:dyDescent="0.2">
      <c r="A249" s="17" t="s">
        <v>366</v>
      </c>
      <c r="B249" s="30" t="str">
        <f>VLOOKUP(A249,'HECVAT - Full'!A$24:B$312,2,FALSE)</f>
        <v>Do you comply with ISO 9001?</v>
      </c>
      <c r="C249" s="35" t="s">
        <v>568</v>
      </c>
      <c r="D249" s="39"/>
      <c r="E249" s="35" t="s">
        <v>616</v>
      </c>
      <c r="F249" s="36"/>
      <c r="G249" s="45"/>
      <c r="H249" s="39"/>
      <c r="I249" s="3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53" customHeight="1" x14ac:dyDescent="0.2">
      <c r="A250" s="17" t="s">
        <v>367</v>
      </c>
      <c r="B250" s="30" t="str">
        <f>VLOOKUP(A250,'HECVAT - Full'!A$24:B$312,2,FALSE)</f>
        <v>Will your company provide quality and performance metrics in relation to the scope of services and performance expectations for the services you are offering?</v>
      </c>
      <c r="C250" s="35" t="s">
        <v>568</v>
      </c>
      <c r="D250" s="39"/>
      <c r="E250" s="39"/>
      <c r="F250" s="36"/>
      <c r="G250" s="45"/>
      <c r="H250" s="39"/>
      <c r="I250" s="39"/>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53" customHeight="1" x14ac:dyDescent="0.2">
      <c r="A251" s="17" t="s">
        <v>368</v>
      </c>
      <c r="B251" s="30" t="str">
        <f>VLOOKUP(A251,'HECVAT - Full'!A$24:B$312,2,FALSE)</f>
        <v>Have you supplied products and/or services to the Institution (or its Campuses) in the last five years?</v>
      </c>
      <c r="C251" s="36"/>
      <c r="D251" s="39"/>
      <c r="E251" s="39"/>
      <c r="F251" s="36"/>
      <c r="G251" s="45"/>
      <c r="H251" s="39"/>
      <c r="I251" s="39"/>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7" t="s">
        <v>369</v>
      </c>
      <c r="B252" s="30" t="str">
        <f>VLOOKUP(A252,'HECVAT - Full'!A$24:B$312,2,FALSE)</f>
        <v>Do you have a program to keep your customers abreast of higher education and/or industry issues?</v>
      </c>
      <c r="C252" s="35" t="s">
        <v>591</v>
      </c>
      <c r="D252" s="39"/>
      <c r="E252" s="39"/>
      <c r="F252" s="36"/>
      <c r="G252" s="45"/>
      <c r="H252" s="39"/>
      <c r="I252" s="39"/>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36" customHeight="1" x14ac:dyDescent="0.2">
      <c r="A253" s="248" t="str">
        <f>IF($C$30="","Systems Management &amp; Configuration",IF($C$30="Yes","System Mgmt/Config - Optional based on QUALIFIER response.","Systems Management &amp; Configuration"))</f>
        <v>Systems Management &amp; Configuration</v>
      </c>
      <c r="B253" s="248"/>
      <c r="C253" s="34" t="str">
        <f>$C$22</f>
        <v>CIS Critical Security Controls v6.1</v>
      </c>
      <c r="D253" s="34" t="str">
        <f>$D$22</f>
        <v>HIPAA</v>
      </c>
      <c r="E253" s="34" t="str">
        <f>$E$22</f>
        <v>ISO 27002:2013</v>
      </c>
      <c r="F253" s="34" t="str">
        <f>$F$22</f>
        <v>NIST Cybersecurity Framework</v>
      </c>
      <c r="G253" s="25" t="str">
        <f>$G$22</f>
        <v>NIST SP 800-171r1</v>
      </c>
      <c r="H253" s="34" t="str">
        <f>$H$22</f>
        <v>NIST SP 800-53r4</v>
      </c>
      <c r="I253" s="133" t="s">
        <v>2045</v>
      </c>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9.25" customHeight="1" x14ac:dyDescent="0.2">
      <c r="A254" s="17" t="s">
        <v>370</v>
      </c>
      <c r="B254" s="30" t="str">
        <f>VLOOKUP(A254,'HECVAT - Full'!A$24:B$312,2,FALSE)</f>
        <v>Are systems that support this service managed via a separate management network?</v>
      </c>
      <c r="C254" s="35" t="s">
        <v>573</v>
      </c>
      <c r="D254" s="36"/>
      <c r="E254" s="35" t="s">
        <v>665</v>
      </c>
      <c r="F254" s="35" t="s">
        <v>813</v>
      </c>
      <c r="G254" s="44" t="s">
        <v>737</v>
      </c>
      <c r="H254" s="35" t="s">
        <v>828</v>
      </c>
      <c r="I254" s="39"/>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48" customHeight="1" x14ac:dyDescent="0.2">
      <c r="A255" s="17" t="s">
        <v>371</v>
      </c>
      <c r="B255" s="30" t="str">
        <f>VLOOKUP(A255,'HECVAT - Full'!A$24:B$312,2,FALSE)</f>
        <v>Do you have an implemented system configuration management process? (e.g. secure "gold" images, etc.)</v>
      </c>
      <c r="C255" s="35" t="s">
        <v>583</v>
      </c>
      <c r="D255" s="36"/>
      <c r="E255" s="36"/>
      <c r="F255" s="35" t="s">
        <v>814</v>
      </c>
      <c r="G255" s="44" t="s">
        <v>754</v>
      </c>
      <c r="H255" s="35" t="s">
        <v>878</v>
      </c>
      <c r="I255" s="39"/>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48" customHeight="1" x14ac:dyDescent="0.2">
      <c r="A256" s="17" t="s">
        <v>372</v>
      </c>
      <c r="B256" s="30" t="str">
        <f>VLOOKUP(A256,'HECVAT - Full'!A$24:B$312,2,FALSE)</f>
        <v>Are employee mobile devices managed by your company's Mobile Device Management (MDM) platform?</v>
      </c>
      <c r="C256" s="35" t="s">
        <v>583</v>
      </c>
      <c r="D256" s="36"/>
      <c r="E256" s="35" t="s">
        <v>684</v>
      </c>
      <c r="F256" s="36"/>
      <c r="G256" s="44" t="s">
        <v>755</v>
      </c>
      <c r="H256" s="36"/>
      <c r="I256" s="39"/>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7" t="s">
        <v>373</v>
      </c>
      <c r="B257" s="30" t="str">
        <f>VLOOKUP(A257,'HECVAT - Full'!A$24:B$312,2,FALSE)</f>
        <v>Do you have a systems management and configuration strategy that encompasses servers, appliances, and mobile devices (company and employee owned)?</v>
      </c>
      <c r="C257" s="35" t="s">
        <v>583</v>
      </c>
      <c r="D257" s="36"/>
      <c r="E257" s="35" t="s">
        <v>629</v>
      </c>
      <c r="F257" s="35" t="s">
        <v>815</v>
      </c>
      <c r="G257" s="44" t="s">
        <v>756</v>
      </c>
      <c r="H257" s="35" t="s">
        <v>879</v>
      </c>
      <c r="I257" s="39"/>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36" customHeight="1" x14ac:dyDescent="0.2">
      <c r="A258" s="248" t="str">
        <f>IF($C$30="","Vulnerability Scanning",IF($C$30="Yes","Vulnerability Scanning - Optional based on QUALIFIER response.","Vulnerability Scanning"))</f>
        <v>Vulnerability Scanning</v>
      </c>
      <c r="B258" s="248"/>
      <c r="C258" s="34" t="str">
        <f>$C$22</f>
        <v>CIS Critical Security Controls v6.1</v>
      </c>
      <c r="D258" s="34" t="str">
        <f>$D$22</f>
        <v>HIPAA</v>
      </c>
      <c r="E258" s="34" t="str">
        <f>$E$22</f>
        <v>ISO 27002:2013</v>
      </c>
      <c r="F258" s="34" t="str">
        <f>$F$22</f>
        <v>NIST Cybersecurity Framework</v>
      </c>
      <c r="G258" s="25" t="str">
        <f>$G$22</f>
        <v>NIST SP 800-171r1</v>
      </c>
      <c r="H258" s="34" t="str">
        <f>$H$22</f>
        <v>NIST SP 800-53r4</v>
      </c>
      <c r="I258" s="133" t="s">
        <v>2045</v>
      </c>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36" customHeight="1" x14ac:dyDescent="0.2">
      <c r="A259" s="17" t="s">
        <v>374</v>
      </c>
      <c r="B259" s="30" t="str">
        <f>VLOOKUP(A259,'HECVAT - Full'!A$24:B$312,2,FALSE)</f>
        <v>Are your applications scanned externally for vulnerabilities?</v>
      </c>
      <c r="C259" s="35" t="s">
        <v>590</v>
      </c>
      <c r="D259" s="39"/>
      <c r="E259" s="35" t="s">
        <v>647</v>
      </c>
      <c r="F259" s="35" t="s">
        <v>816</v>
      </c>
      <c r="G259" s="44" t="s">
        <v>757</v>
      </c>
      <c r="H259" s="35" t="s">
        <v>880</v>
      </c>
      <c r="I259" s="134">
        <v>11.2</v>
      </c>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36" customHeight="1" x14ac:dyDescent="0.2">
      <c r="A260" s="17" t="s">
        <v>375</v>
      </c>
      <c r="B260" s="30" t="str">
        <f>VLOOKUP(A260,'HECVAT - Full'!A$24:B$312,2,FALSE)</f>
        <v>Have your applications had an external vulnerability assessment in the last year?</v>
      </c>
      <c r="C260" s="35" t="s">
        <v>590</v>
      </c>
      <c r="D260" s="39"/>
      <c r="E260" s="35" t="s">
        <v>647</v>
      </c>
      <c r="F260" s="35" t="s">
        <v>816</v>
      </c>
      <c r="G260" s="44" t="s">
        <v>757</v>
      </c>
      <c r="H260" s="35" t="s">
        <v>880</v>
      </c>
      <c r="I260" s="134">
        <v>11.2</v>
      </c>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7" t="s">
        <v>376</v>
      </c>
      <c r="B261" s="30" t="str">
        <f>VLOOKUP(A261,'HECVAT - Full'!A$24:B$312,2,FALSE)</f>
        <v>Are your applications scanned for vulnerabilities prior to new releases?</v>
      </c>
      <c r="C261" s="35" t="s">
        <v>590</v>
      </c>
      <c r="D261" s="39"/>
      <c r="E261" s="36"/>
      <c r="F261" s="35" t="s">
        <v>816</v>
      </c>
      <c r="G261" s="44" t="s">
        <v>757</v>
      </c>
      <c r="H261" s="35" t="s">
        <v>880</v>
      </c>
      <c r="I261" s="134">
        <v>11.2</v>
      </c>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49.25" customHeight="1" x14ac:dyDescent="0.2">
      <c r="A262" s="17" t="s">
        <v>377</v>
      </c>
      <c r="B262" s="30" t="str">
        <f>VLOOKUP(A262,'HECVAT - Full'!A$24:B$312,2,FALSE)</f>
        <v>Are your systems scanned externally for vulnerabilities?</v>
      </c>
      <c r="C262" s="35" t="s">
        <v>590</v>
      </c>
      <c r="D262" s="39"/>
      <c r="E262" s="36"/>
      <c r="F262" s="35" t="s">
        <v>816</v>
      </c>
      <c r="G262" s="44" t="s">
        <v>757</v>
      </c>
      <c r="H262" s="35" t="s">
        <v>880</v>
      </c>
      <c r="I262" s="134">
        <v>11.2</v>
      </c>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7" t="s">
        <v>378</v>
      </c>
      <c r="B263" s="30" t="str">
        <f>VLOOKUP(A263,'HECVAT - Full'!A$24:B$312,2,FALSE)</f>
        <v>Have your systems had an external vulnerability assessment in the last year?</v>
      </c>
      <c r="C263" s="35" t="s">
        <v>590</v>
      </c>
      <c r="D263" s="39"/>
      <c r="E263" s="36"/>
      <c r="F263" s="35" t="s">
        <v>816</v>
      </c>
      <c r="G263" s="45"/>
      <c r="H263" s="35" t="s">
        <v>880</v>
      </c>
      <c r="I263" s="134">
        <v>11.2</v>
      </c>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65" customHeight="1" x14ac:dyDescent="0.2">
      <c r="A264" s="17" t="s">
        <v>379</v>
      </c>
      <c r="B264" s="30" t="str">
        <f>VLOOKUP(A264,'HECVAT - Full'!A$24:B$312,2,FALSE)</f>
        <v>Describe or provide a reference to the tool(s) used to scan for vulnerabilities in your applications and systems.</v>
      </c>
      <c r="C264" s="35" t="s">
        <v>590</v>
      </c>
      <c r="D264" s="39"/>
      <c r="E264" s="36"/>
      <c r="F264" s="35" t="s">
        <v>816</v>
      </c>
      <c r="G264" s="44" t="s">
        <v>757</v>
      </c>
      <c r="H264" s="35" t="s">
        <v>880</v>
      </c>
      <c r="I264" s="134">
        <v>11.2</v>
      </c>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36" customHeight="1" x14ac:dyDescent="0.2">
      <c r="A265" s="17" t="s">
        <v>380</v>
      </c>
      <c r="B265" s="30" t="str">
        <f>VLOOKUP(A265,'HECVAT - Full'!A$24:B$312,2,FALSE)</f>
        <v>Will you provide results of security scans to the Institution?</v>
      </c>
      <c r="C265" s="35" t="s">
        <v>590</v>
      </c>
      <c r="D265" s="39"/>
      <c r="E265" s="36"/>
      <c r="F265" s="35" t="s">
        <v>816</v>
      </c>
      <c r="G265" s="45"/>
      <c r="H265" s="35" t="s">
        <v>880</v>
      </c>
      <c r="I265" s="134">
        <v>11.2</v>
      </c>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65" customHeight="1" x14ac:dyDescent="0.2">
      <c r="A266" s="17" t="s">
        <v>381</v>
      </c>
      <c r="B266" s="30" t="str">
        <f>VLOOKUP(A266,'HECVAT - Full'!A$24:B$312,2,FALSE)</f>
        <v>Describe or provide a reference to how you monitor for and protect against common web application security vulnerabilities (e.g. SQL injection, XSS, XSRF, etc.).</v>
      </c>
      <c r="C266" s="35" t="s">
        <v>594</v>
      </c>
      <c r="D266" s="39"/>
      <c r="E266" s="35" t="s">
        <v>647</v>
      </c>
      <c r="F266" s="35" t="s">
        <v>817</v>
      </c>
      <c r="G266" s="44" t="s">
        <v>758</v>
      </c>
      <c r="H266" s="35" t="s">
        <v>880</v>
      </c>
      <c r="I266" s="134" t="s">
        <v>2146</v>
      </c>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54" customHeight="1" x14ac:dyDescent="0.2">
      <c r="A267" s="17" t="s">
        <v>382</v>
      </c>
      <c r="B267" s="30" t="str">
        <f>VLOOKUP(A267,'HECVAT - Full'!A$24:B$312,2,FALSE)</f>
        <v>Will you allow the institution to perform its own security testing of your systems and/or application provided that testing is performed at a mutually agreed upon time and date?</v>
      </c>
      <c r="C267" s="35" t="s">
        <v>593</v>
      </c>
      <c r="D267" s="39"/>
      <c r="E267" s="35" t="s">
        <v>685</v>
      </c>
      <c r="F267" s="35" t="s">
        <v>816</v>
      </c>
      <c r="G267" s="44" t="s">
        <v>757</v>
      </c>
      <c r="H267" s="35" t="s">
        <v>880</v>
      </c>
      <c r="I267" s="134" t="s">
        <v>2147</v>
      </c>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48" t="str">
        <f>IF(OR($C$24="No",$C$30="Yes"),"HIPAA - Optional based on QUALIFIER response.","HIPAA")</f>
        <v>HIPAA</v>
      </c>
      <c r="B268" s="248"/>
      <c r="C268" s="34" t="str">
        <f>$C$22</f>
        <v>CIS Critical Security Controls v6.1</v>
      </c>
      <c r="D268" s="34" t="str">
        <f>$D$22</f>
        <v>HIPAA</v>
      </c>
      <c r="E268" s="34" t="str">
        <f>$E$22</f>
        <v>ISO 27002:2013</v>
      </c>
      <c r="F268" s="34" t="str">
        <f>$F$22</f>
        <v>NIST Cybersecurity Framework</v>
      </c>
      <c r="G268" s="25" t="str">
        <f>$G$22</f>
        <v>NIST SP 800-171r1</v>
      </c>
      <c r="H268" s="34" t="str">
        <f>$H$22</f>
        <v>NIST SP 800-53r4</v>
      </c>
      <c r="I268" s="133" t="s">
        <v>2045</v>
      </c>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65" customHeight="1" x14ac:dyDescent="0.2">
      <c r="A269" s="17" t="s">
        <v>383</v>
      </c>
      <c r="B269" s="30" t="str">
        <f>VLOOKUP(A269,'HECVAT - Full'!A$24:B$312,2,FALSE)</f>
        <v>Do your workforce members receive regular training related to the HIPAA Privacy and Security Rules and the HITECH Act?</v>
      </c>
      <c r="C269" s="35" t="s">
        <v>591</v>
      </c>
      <c r="D269" s="35" t="s">
        <v>601</v>
      </c>
      <c r="E269" s="35" t="s">
        <v>688</v>
      </c>
      <c r="F269" s="35" t="s">
        <v>697</v>
      </c>
      <c r="G269" s="44" t="s">
        <v>759</v>
      </c>
      <c r="H269" s="35" t="s">
        <v>881</v>
      </c>
      <c r="I269" s="36"/>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7" t="s">
        <v>384</v>
      </c>
      <c r="B270" s="30" t="str">
        <f>VLOOKUP(A270,'HECVAT - Full'!A$24:B$312,2,FALSE)</f>
        <v>Do you monitor or receive information regarding changes in HIPAA regulations?</v>
      </c>
      <c r="C270" s="35" t="s">
        <v>568</v>
      </c>
      <c r="D270" s="35" t="s">
        <v>602</v>
      </c>
      <c r="E270" s="35" t="s">
        <v>616</v>
      </c>
      <c r="F270" s="35" t="s">
        <v>697</v>
      </c>
      <c r="G270" s="45"/>
      <c r="H270" s="36"/>
      <c r="I270" s="36"/>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7" t="s">
        <v>385</v>
      </c>
      <c r="B271" s="30" t="str">
        <f>VLOOKUP(A271,'HECVAT - Full'!A$24:B$312,2,FALSE)</f>
        <v>Has your organization designated HIPAA Privacy and Security officers as required by the Rules?</v>
      </c>
      <c r="C271" s="35" t="s">
        <v>591</v>
      </c>
      <c r="D271" s="35" t="s">
        <v>603</v>
      </c>
      <c r="E271" s="35" t="s">
        <v>616</v>
      </c>
      <c r="F271" s="35" t="s">
        <v>697</v>
      </c>
      <c r="G271" s="45"/>
      <c r="H271" s="36"/>
      <c r="I271" s="36"/>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7" t="s">
        <v>386</v>
      </c>
      <c r="B272" s="30" t="str">
        <f>VLOOKUP(A272,'HECVAT - Full'!A$24:B$312,2,FALSE)</f>
        <v>Do you comply with the requirements of the Health Information Technology for Economic and Clinical Health Act (HITECH)?</v>
      </c>
      <c r="C272" s="35" t="s">
        <v>568</v>
      </c>
      <c r="D272" s="36"/>
      <c r="E272" s="35" t="s">
        <v>616</v>
      </c>
      <c r="F272" s="35" t="s">
        <v>697</v>
      </c>
      <c r="G272" s="45"/>
      <c r="H272" s="36"/>
      <c r="I272" s="36"/>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48" customHeight="1" x14ac:dyDescent="0.2">
      <c r="A273" s="17" t="s">
        <v>387</v>
      </c>
      <c r="B273" s="30" t="str">
        <f>VLOOKUP(A273,'HECVAT - Full'!A$24:B$312,2,FALSE)</f>
        <v>Do you have an incident response process and reporting in place to investigate any potential incidents and report actual incidents?</v>
      </c>
      <c r="C273" s="35" t="s">
        <v>587</v>
      </c>
      <c r="D273" s="35" t="s">
        <v>604</v>
      </c>
      <c r="E273" s="35" t="s">
        <v>686</v>
      </c>
      <c r="F273" s="35" t="s">
        <v>697</v>
      </c>
      <c r="G273" s="44" t="s">
        <v>760</v>
      </c>
      <c r="H273" s="35" t="s">
        <v>882</v>
      </c>
      <c r="I273" s="35" t="s">
        <v>2148</v>
      </c>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48" customHeight="1" x14ac:dyDescent="0.2">
      <c r="A274" s="17" t="s">
        <v>388</v>
      </c>
      <c r="B274" s="30" t="str">
        <f>VLOOKUP(A274,'HECVAT - Full'!A$24:B$312,2,FALSE)</f>
        <v>Do you have a plan to comply with the Breach Notification requirements if there is a breach of data?</v>
      </c>
      <c r="C274" s="35" t="s">
        <v>587</v>
      </c>
      <c r="D274" s="35" t="s">
        <v>690</v>
      </c>
      <c r="E274" s="35" t="s">
        <v>689</v>
      </c>
      <c r="F274" s="35" t="s">
        <v>697</v>
      </c>
      <c r="G274" s="44" t="s">
        <v>761</v>
      </c>
      <c r="H274" s="35" t="s">
        <v>883</v>
      </c>
      <c r="I274" s="35">
        <v>12.8</v>
      </c>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48" customHeight="1" x14ac:dyDescent="0.2">
      <c r="A275" s="17" t="s">
        <v>389</v>
      </c>
      <c r="B275" s="30" t="str">
        <f>VLOOKUP(A275,'HECVAT - Full'!A$24:B$312,2,FALSE)</f>
        <v>Have you conducted a risk analysis as required under the Security Rule?</v>
      </c>
      <c r="C275" s="35" t="s">
        <v>568</v>
      </c>
      <c r="D275" s="35" t="s">
        <v>599</v>
      </c>
      <c r="E275" s="36"/>
      <c r="F275" s="35" t="s">
        <v>697</v>
      </c>
      <c r="G275" s="45"/>
      <c r="H275" s="36"/>
      <c r="I275" s="35">
        <v>12.2</v>
      </c>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48" customHeight="1" x14ac:dyDescent="0.2">
      <c r="A276" s="17" t="s">
        <v>390</v>
      </c>
      <c r="B276" s="30" t="str">
        <f>VLOOKUP(A276,'HECVAT - Full'!A$24:B$312,2,FALSE)</f>
        <v>Have you identified areas of risks?</v>
      </c>
      <c r="C276" s="35" t="s">
        <v>590</v>
      </c>
      <c r="D276" s="35" t="s">
        <v>611</v>
      </c>
      <c r="E276" s="36"/>
      <c r="F276" s="35" t="s">
        <v>697</v>
      </c>
      <c r="G276" s="45"/>
      <c r="H276" s="36"/>
      <c r="I276" s="35">
        <v>12.2</v>
      </c>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48" customHeight="1" x14ac:dyDescent="0.2">
      <c r="A277" s="17" t="s">
        <v>391</v>
      </c>
      <c r="B277" s="30" t="str">
        <f>VLOOKUP(A277,'HECVAT - Full'!A$24:B$312,2,FALSE)</f>
        <v>Have you taken actions to mitigate the identified risks?</v>
      </c>
      <c r="C277" s="35" t="s">
        <v>590</v>
      </c>
      <c r="D277" s="35" t="s">
        <v>600</v>
      </c>
      <c r="E277" s="36"/>
      <c r="F277" s="35" t="s">
        <v>697</v>
      </c>
      <c r="G277" s="45"/>
      <c r="H277" s="36"/>
      <c r="I277" s="35">
        <v>12.2</v>
      </c>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48" customHeight="1" x14ac:dyDescent="0.2">
      <c r="A278" s="17" t="s">
        <v>392</v>
      </c>
      <c r="B278" s="30" t="str">
        <f>VLOOKUP(A278,'HECVAT - Full'!A$24:B$312,2,FALSE)</f>
        <v>Does your application require user and system administrator password changes at a frequency no greater than 90 days?</v>
      </c>
      <c r="C278" s="35" t="s">
        <v>577</v>
      </c>
      <c r="D278" s="35" t="s">
        <v>605</v>
      </c>
      <c r="E278" s="35" t="s">
        <v>633</v>
      </c>
      <c r="F278" s="35" t="s">
        <v>697</v>
      </c>
      <c r="G278" s="44" t="s">
        <v>709</v>
      </c>
      <c r="H278" s="35" t="s">
        <v>837</v>
      </c>
      <c r="I278" s="36"/>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48" customHeight="1" x14ac:dyDescent="0.2">
      <c r="A279" s="17" t="s">
        <v>393</v>
      </c>
      <c r="B279" s="30" t="str">
        <f>VLOOKUP(A279,'HECVAT - Full'!A$24:B$312,2,FALSE)</f>
        <v>Does your application require a user to set their own password after an administrator reset or on first use of the account?</v>
      </c>
      <c r="C279" s="35" t="s">
        <v>577</v>
      </c>
      <c r="D279" s="35" t="s">
        <v>605</v>
      </c>
      <c r="E279" s="35" t="s">
        <v>633</v>
      </c>
      <c r="F279" s="35" t="s">
        <v>697</v>
      </c>
      <c r="G279" s="44" t="s">
        <v>762</v>
      </c>
      <c r="H279" s="35" t="s">
        <v>838</v>
      </c>
      <c r="I279" s="36"/>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48" customHeight="1" x14ac:dyDescent="0.2">
      <c r="A280" s="17" t="s">
        <v>394</v>
      </c>
      <c r="B280" s="30" t="str">
        <f>VLOOKUP(A280,'HECVAT - Full'!A$24:B$312,2,FALSE)</f>
        <v xml:space="preserve">Does your application lock-out an account after a number of failed login attempts? </v>
      </c>
      <c r="C280" s="35" t="s">
        <v>577</v>
      </c>
      <c r="D280" s="35" t="s">
        <v>612</v>
      </c>
      <c r="E280" s="35" t="s">
        <v>633</v>
      </c>
      <c r="F280" s="35" t="s">
        <v>697</v>
      </c>
      <c r="G280" s="44" t="s">
        <v>763</v>
      </c>
      <c r="H280" s="35" t="s">
        <v>884</v>
      </c>
      <c r="I280" s="36"/>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48" customHeight="1" x14ac:dyDescent="0.2">
      <c r="A281" s="17" t="s">
        <v>395</v>
      </c>
      <c r="B281" s="30" t="str">
        <f>VLOOKUP(A281,'HECVAT - Full'!A$24:B$312,2,FALSE)</f>
        <v>Does your application automatically lock or log-out an account after a period of inactivity?</v>
      </c>
      <c r="C281" s="35" t="s">
        <v>577</v>
      </c>
      <c r="D281" s="35" t="s">
        <v>613</v>
      </c>
      <c r="E281" s="35" t="s">
        <v>633</v>
      </c>
      <c r="F281" s="35" t="s">
        <v>697</v>
      </c>
      <c r="G281" s="44" t="s">
        <v>764</v>
      </c>
      <c r="H281" s="35" t="s">
        <v>885</v>
      </c>
      <c r="I281" s="35" t="s">
        <v>2117</v>
      </c>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48" customHeight="1" x14ac:dyDescent="0.2">
      <c r="A282" s="17" t="s">
        <v>396</v>
      </c>
      <c r="B282" s="30" t="str">
        <f>VLOOKUP(A282,'HECVAT - Full'!A$24:B$312,2,FALSE)</f>
        <v>Are passwords visible in plain text, whether when stored or entered, including service level accounts (i.e. database accounts, etc.)?</v>
      </c>
      <c r="C282" s="35" t="s">
        <v>577</v>
      </c>
      <c r="D282" s="35" t="s">
        <v>696</v>
      </c>
      <c r="E282" s="35" t="s">
        <v>633</v>
      </c>
      <c r="F282" s="35" t="s">
        <v>697</v>
      </c>
      <c r="G282" s="44" t="s">
        <v>713</v>
      </c>
      <c r="H282" s="35" t="s">
        <v>838</v>
      </c>
      <c r="I282" s="35" t="s">
        <v>2117</v>
      </c>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row>
    <row r="283" spans="1:259" ht="48" customHeight="1" x14ac:dyDescent="0.2">
      <c r="A283" s="17" t="s">
        <v>397</v>
      </c>
      <c r="B283" s="30" t="str">
        <f>VLOOKUP(A283,'HECVAT - Full'!A$24:B$312,2,FALSE)</f>
        <v>If the application is institution-hosted, can all service level and administrative account passwords be changed by the institution?</v>
      </c>
      <c r="C283" s="35" t="s">
        <v>577</v>
      </c>
      <c r="D283" s="35" t="s">
        <v>696</v>
      </c>
      <c r="E283" s="36"/>
      <c r="F283" s="35" t="s">
        <v>697</v>
      </c>
      <c r="G283" s="45"/>
      <c r="H283" s="36"/>
      <c r="I283" s="35" t="s">
        <v>2117</v>
      </c>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row>
    <row r="284" spans="1:259" ht="64.25" customHeight="1" x14ac:dyDescent="0.2">
      <c r="A284" s="17" t="s">
        <v>398</v>
      </c>
      <c r="B284" s="30" t="str">
        <f>VLOOKUP(A284,'HECVAT - Full'!A$24:B$312,2,FALSE)</f>
        <v>Does your application provide the ability to define user access levels?</v>
      </c>
      <c r="C284" s="35" t="s">
        <v>577</v>
      </c>
      <c r="D284" s="35" t="s">
        <v>693</v>
      </c>
      <c r="E284" s="36"/>
      <c r="F284" s="35" t="s">
        <v>697</v>
      </c>
      <c r="G284" s="44" t="s">
        <v>702</v>
      </c>
      <c r="H284" s="36"/>
      <c r="I284" s="35" t="s">
        <v>2117</v>
      </c>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c r="IW284"/>
      <c r="IX284"/>
      <c r="IY284"/>
    </row>
    <row r="285" spans="1:259" ht="64.25" customHeight="1" x14ac:dyDescent="0.2">
      <c r="A285" s="17" t="s">
        <v>399</v>
      </c>
      <c r="B285" s="30" t="str">
        <f>VLOOKUP(A285,'HECVAT - Full'!A$24:B$312,2,FALSE)</f>
        <v>Does your application support varying levels of access to administrative tasks defined individually per user?</v>
      </c>
      <c r="C285" s="35" t="s">
        <v>595</v>
      </c>
      <c r="D285" s="35" t="s">
        <v>691</v>
      </c>
      <c r="E285" s="35" t="s">
        <v>627</v>
      </c>
      <c r="F285" s="35" t="s">
        <v>697</v>
      </c>
      <c r="G285" s="44" t="s">
        <v>765</v>
      </c>
      <c r="H285" s="36"/>
      <c r="I285" s="35" t="s">
        <v>2117</v>
      </c>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row>
    <row r="286" spans="1:259" ht="64.25" customHeight="1" x14ac:dyDescent="0.2">
      <c r="A286" s="17" t="s">
        <v>400</v>
      </c>
      <c r="B286" s="30" t="str">
        <f>VLOOKUP(A286,'HECVAT - Full'!A$24:B$312,2,FALSE)</f>
        <v>Does your application support varying levels of access to records based on user ID?</v>
      </c>
      <c r="C286" s="35" t="s">
        <v>577</v>
      </c>
      <c r="D286" s="35" t="s">
        <v>692</v>
      </c>
      <c r="E286" s="35" t="s">
        <v>687</v>
      </c>
      <c r="F286" s="35" t="s">
        <v>697</v>
      </c>
      <c r="G286" s="44" t="s">
        <v>702</v>
      </c>
      <c r="H286" s="36"/>
      <c r="I286" s="35" t="s">
        <v>2117</v>
      </c>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c r="IX286"/>
      <c r="IY286"/>
    </row>
    <row r="287" spans="1:259" ht="47" customHeight="1" x14ac:dyDescent="0.2">
      <c r="A287" s="17" t="s">
        <v>401</v>
      </c>
      <c r="B287" s="30" t="str">
        <f>VLOOKUP(A287,'HECVAT - Full'!A$24:B$312,2,FALSE)</f>
        <v>Is there a limit to the number of groups a user can be assigned?</v>
      </c>
      <c r="C287" s="35" t="s">
        <v>577</v>
      </c>
      <c r="D287" s="35" t="s">
        <v>695</v>
      </c>
      <c r="E287" s="35" t="s">
        <v>687</v>
      </c>
      <c r="F287" s="35" t="s">
        <v>697</v>
      </c>
      <c r="G287" s="45"/>
      <c r="H287" s="36"/>
      <c r="I287" s="36"/>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IW287"/>
      <c r="IX287"/>
      <c r="IY287"/>
    </row>
    <row r="288" spans="1:259" ht="47" customHeight="1" x14ac:dyDescent="0.2">
      <c r="A288" s="17" t="s">
        <v>402</v>
      </c>
      <c r="B288" s="30" t="str">
        <f>VLOOKUP(A288,'HECVAT - Full'!A$24:B$312,2,FALSE)</f>
        <v>Do accounts used for vendor supplied remote support abide by the same authentication policies and access logging as the rest of the system?</v>
      </c>
      <c r="C288" s="35" t="s">
        <v>596</v>
      </c>
      <c r="D288" s="35" t="s">
        <v>695</v>
      </c>
      <c r="E288" s="36"/>
      <c r="F288" s="35" t="s">
        <v>697</v>
      </c>
      <c r="G288" s="44" t="s">
        <v>740</v>
      </c>
      <c r="H288" s="35" t="s">
        <v>886</v>
      </c>
      <c r="I288" s="35" t="s">
        <v>2117</v>
      </c>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IW288"/>
      <c r="IX288"/>
      <c r="IY288"/>
    </row>
    <row r="289" spans="1:259" ht="48" customHeight="1" x14ac:dyDescent="0.2">
      <c r="A289" s="17" t="s">
        <v>403</v>
      </c>
      <c r="B289" s="30" t="str">
        <f>VLOOKUP(A289,'HECVAT - Full'!A$24:B$312,2,FALSE)</f>
        <v xml:space="preserve">Does the application log record access including specific user, date/time of access, and originating IP or device? </v>
      </c>
      <c r="C289" s="35" t="s">
        <v>579</v>
      </c>
      <c r="D289" s="35" t="s">
        <v>606</v>
      </c>
      <c r="E289" s="35" t="s">
        <v>666</v>
      </c>
      <c r="F289" s="35" t="s">
        <v>697</v>
      </c>
      <c r="G289" s="44" t="s">
        <v>766</v>
      </c>
      <c r="H289" s="35" t="s">
        <v>887</v>
      </c>
      <c r="I289" s="35">
        <v>10.7</v>
      </c>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row>
    <row r="290" spans="1:259" ht="65" customHeight="1" x14ac:dyDescent="0.2">
      <c r="A290" s="17" t="s">
        <v>404</v>
      </c>
      <c r="B290" s="30" t="str">
        <f>VLOOKUP(A290,'HECVAT - Full'!A$24:B$312,2,FALSE)</f>
        <v>Does the application log administrative activity, such user account access changes and password changes, including specific user, date/time of changes, and originating IP or device?</v>
      </c>
      <c r="C290" s="35" t="s">
        <v>579</v>
      </c>
      <c r="D290" s="35" t="s">
        <v>607</v>
      </c>
      <c r="E290" s="35" t="s">
        <v>666</v>
      </c>
      <c r="F290" s="35" t="s">
        <v>697</v>
      </c>
      <c r="G290" s="45"/>
      <c r="H290" s="36"/>
      <c r="I290" s="35">
        <v>10.7</v>
      </c>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row>
    <row r="291" spans="1:259" ht="36" customHeight="1" x14ac:dyDescent="0.2">
      <c r="A291" s="17" t="s">
        <v>405</v>
      </c>
      <c r="B291" s="30" t="str">
        <f>VLOOKUP(A291,'HECVAT - Full'!A$24:B$312,2,FALSE)</f>
        <v>How long does the application keep access/change logs?</v>
      </c>
      <c r="C291" s="35" t="s">
        <v>579</v>
      </c>
      <c r="D291" s="35" t="s">
        <v>607</v>
      </c>
      <c r="E291" s="35" t="s">
        <v>666</v>
      </c>
      <c r="F291" s="35" t="s">
        <v>697</v>
      </c>
      <c r="G291" s="45"/>
      <c r="H291" s="36"/>
      <c r="I291" s="35">
        <v>10.7</v>
      </c>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row>
    <row r="292" spans="1:259" ht="36" customHeight="1" x14ac:dyDescent="0.2">
      <c r="A292" s="17" t="s">
        <v>406</v>
      </c>
      <c r="B292" s="30" t="str">
        <f>VLOOKUP(A292,'HECVAT - Full'!A$24:B$312,2,FALSE)</f>
        <v xml:space="preserve">Can the application logs be archived? </v>
      </c>
      <c r="C292" s="35" t="s">
        <v>579</v>
      </c>
      <c r="D292" s="35" t="s">
        <v>607</v>
      </c>
      <c r="E292" s="35" t="s">
        <v>666</v>
      </c>
      <c r="F292" s="35" t="s">
        <v>697</v>
      </c>
      <c r="G292" s="45"/>
      <c r="H292" s="36"/>
      <c r="I292" s="35">
        <v>10.7</v>
      </c>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row>
    <row r="293" spans="1:259" ht="36" customHeight="1" x14ac:dyDescent="0.2">
      <c r="A293" s="17" t="s">
        <v>407</v>
      </c>
      <c r="B293" s="30" t="str">
        <f>VLOOKUP(A293,'HECVAT - Full'!A$24:B$312,2,FALSE)</f>
        <v xml:space="preserve">Can the application logs be saved externally? </v>
      </c>
      <c r="C293" s="35" t="s">
        <v>579</v>
      </c>
      <c r="D293" s="35" t="s">
        <v>607</v>
      </c>
      <c r="E293" s="35" t="s">
        <v>666</v>
      </c>
      <c r="F293" s="35" t="s">
        <v>697</v>
      </c>
      <c r="G293" s="45"/>
      <c r="H293" s="36"/>
      <c r="I293" s="35">
        <v>10.7</v>
      </c>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row>
    <row r="294" spans="1:259" ht="48" customHeight="1" x14ac:dyDescent="0.2">
      <c r="A294" s="17" t="s">
        <v>408</v>
      </c>
      <c r="B294" s="30" t="str">
        <f>VLOOKUP(A294,'HECVAT - Full'!A$24:B$312,2,FALSE)</f>
        <v>Does your data backup and retention policies and practices meet HIPAA requirements?</v>
      </c>
      <c r="C294" s="35" t="s">
        <v>570</v>
      </c>
      <c r="D294" s="35" t="s">
        <v>608</v>
      </c>
      <c r="E294" s="35" t="s">
        <v>616</v>
      </c>
      <c r="F294" s="35" t="s">
        <v>697</v>
      </c>
      <c r="G294" s="45"/>
      <c r="H294" s="36"/>
      <c r="I294" s="35">
        <v>10.7</v>
      </c>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row>
    <row r="295" spans="1:259" ht="47" customHeight="1" x14ac:dyDescent="0.2">
      <c r="A295" s="17" t="s">
        <v>409</v>
      </c>
      <c r="B295" s="30" t="str">
        <f>VLOOKUP(A295,'HECVAT - Full'!A$24:B$312,2,FALSE)</f>
        <v>Do you have a disaster recovery plan and emergency mode operation plan?</v>
      </c>
      <c r="C295" s="35" t="s">
        <v>570</v>
      </c>
      <c r="D295" s="35" t="s">
        <v>609</v>
      </c>
      <c r="E295" s="35" t="s">
        <v>640</v>
      </c>
      <c r="F295" s="35" t="s">
        <v>697</v>
      </c>
      <c r="G295" s="44" t="s">
        <v>719</v>
      </c>
      <c r="H295" s="36"/>
      <c r="I295" s="35">
        <v>12.1</v>
      </c>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row>
    <row r="296" spans="1:259" ht="36" customHeight="1" x14ac:dyDescent="0.2">
      <c r="A296" s="17" t="s">
        <v>410</v>
      </c>
      <c r="B296" s="30" t="str">
        <f>VLOOKUP(A296,'HECVAT - Full'!A$24:B$312,2,FALSE)</f>
        <v>Have the policies/plans mentioned above been tested?</v>
      </c>
      <c r="C296" s="35" t="s">
        <v>570</v>
      </c>
      <c r="D296" s="35" t="s">
        <v>609</v>
      </c>
      <c r="E296" s="35" t="s">
        <v>641</v>
      </c>
      <c r="F296" s="35" t="s">
        <v>697</v>
      </c>
      <c r="G296" s="44" t="s">
        <v>767</v>
      </c>
      <c r="H296" s="36"/>
      <c r="I296" s="35">
        <v>12.1</v>
      </c>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row>
    <row r="297" spans="1:259" ht="36" customHeight="1" x14ac:dyDescent="0.2">
      <c r="A297" s="17" t="s">
        <v>411</v>
      </c>
      <c r="B297" s="30" t="str">
        <f>VLOOKUP(A297,'HECVAT - Full'!A$24:B$312,2,FALSE)</f>
        <v>Can you provide a HIPAA compliance attestation document?</v>
      </c>
      <c r="C297" s="35" t="s">
        <v>570</v>
      </c>
      <c r="D297" s="35" t="s">
        <v>610</v>
      </c>
      <c r="E297" s="35" t="s">
        <v>616</v>
      </c>
      <c r="F297" s="35" t="s">
        <v>697</v>
      </c>
      <c r="G297" s="45"/>
      <c r="H297" s="36"/>
      <c r="I297" s="35">
        <v>10.7</v>
      </c>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row>
    <row r="298" spans="1:259" ht="53" customHeight="1" x14ac:dyDescent="0.2">
      <c r="A298" s="17" t="s">
        <v>412</v>
      </c>
      <c r="B298" s="30" t="str">
        <f>VLOOKUP(A298,'HECVAT - Full'!A$24:B$312,2,FALSE)</f>
        <v>Are you willing to enter into a Business Associate Agreement (BAA)?</v>
      </c>
      <c r="C298" s="35" t="s">
        <v>570</v>
      </c>
      <c r="D298" s="35" t="s">
        <v>614</v>
      </c>
      <c r="E298" s="35" t="s">
        <v>616</v>
      </c>
      <c r="F298" s="35" t="s">
        <v>697</v>
      </c>
      <c r="G298" s="45"/>
      <c r="H298" s="36"/>
      <c r="I298" s="36"/>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row>
    <row r="299" spans="1:259" ht="63" customHeight="1" x14ac:dyDescent="0.2">
      <c r="A299" s="17" t="s">
        <v>413</v>
      </c>
      <c r="B299" s="30" t="str">
        <f>VLOOKUP(A299,'HECVAT - Full'!A$24:B$312,2,FALSE)</f>
        <v>Have you entered into a BAA with all subcontractors who may have access to protected health information (PHI)?</v>
      </c>
      <c r="C299" s="35" t="s">
        <v>570</v>
      </c>
      <c r="D299" s="35" t="s">
        <v>694</v>
      </c>
      <c r="E299" s="35" t="s">
        <v>616</v>
      </c>
      <c r="F299" s="35" t="s">
        <v>697</v>
      </c>
      <c r="G299" s="45"/>
      <c r="H299" s="36"/>
      <c r="I299" s="35">
        <v>12.8</v>
      </c>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row>
    <row r="300" spans="1:259" ht="36" customHeight="1" x14ac:dyDescent="0.2">
      <c r="A300" s="248" t="str">
        <f>IF(OR($C$29="No",$C$30="Yes"),"PCI DSS - Optional based on QUALIFIER response.","PCI DSS")</f>
        <v>PCI DSS</v>
      </c>
      <c r="B300" s="248"/>
      <c r="C300" s="34" t="str">
        <f>$C$22</f>
        <v>CIS Critical Security Controls v6.1</v>
      </c>
      <c r="D300" s="34" t="str">
        <f>$D$22</f>
        <v>HIPAA</v>
      </c>
      <c r="E300" s="34" t="str">
        <f>$E$22</f>
        <v>ISO 27002:2013</v>
      </c>
      <c r="F300" s="34" t="str">
        <f>$F$22</f>
        <v>NIST Cybersecurity Framework</v>
      </c>
      <c r="G300" s="25" t="str">
        <f>$G$22</f>
        <v>NIST SP 800-171r1</v>
      </c>
      <c r="H300" s="34" t="str">
        <f>$H$22</f>
        <v>NIST SP 800-53r4</v>
      </c>
      <c r="I300" s="133" t="s">
        <v>2045</v>
      </c>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row>
    <row r="301" spans="1:259" ht="48" customHeight="1" x14ac:dyDescent="0.2">
      <c r="A301" s="17" t="s">
        <v>414</v>
      </c>
      <c r="B301" s="30" t="str">
        <f>VLOOKUP(A301,'HECVAT - Full'!A$24:B$312,2,FALSE)</f>
        <v>Do your systems or products store, process, or transmit cardholder (payment/credit/debt card) data?</v>
      </c>
      <c r="C301" s="35" t="s">
        <v>570</v>
      </c>
      <c r="D301" s="39"/>
      <c r="E301" s="35" t="s">
        <v>616</v>
      </c>
      <c r="F301" s="35" t="s">
        <v>697</v>
      </c>
      <c r="G301" s="45"/>
      <c r="H301" s="39"/>
      <c r="I301" s="35">
        <v>12.8</v>
      </c>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row>
    <row r="302" spans="1:259" ht="48" customHeight="1" x14ac:dyDescent="0.2">
      <c r="A302" s="17" t="s">
        <v>415</v>
      </c>
      <c r="B302" s="30" t="str">
        <f>VLOOKUP(A302,'HECVAT - Full'!A$24:B$312,2,FALSE)</f>
        <v>Are you compliant with the Payment Card Industry Data Security Standard (PCI DSS)?</v>
      </c>
      <c r="C302" s="35" t="s">
        <v>570</v>
      </c>
      <c r="D302" s="39"/>
      <c r="E302" s="35" t="s">
        <v>616</v>
      </c>
      <c r="F302" s="35" t="s">
        <v>697</v>
      </c>
      <c r="G302" s="45"/>
      <c r="H302" s="39"/>
      <c r="I302" s="35">
        <v>12.8</v>
      </c>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row>
    <row r="303" spans="1:259" ht="48" customHeight="1" x14ac:dyDescent="0.2">
      <c r="A303" s="17" t="s">
        <v>416</v>
      </c>
      <c r="B303" s="30" t="str">
        <f>VLOOKUP(A303,'HECVAT - Full'!A$24:B$312,2,FALSE)</f>
        <v>Do you have a current, executed within the past year, Attestation of Compliance (AoC) or Report on Compliance (RoC)?</v>
      </c>
      <c r="C303" s="35" t="s">
        <v>570</v>
      </c>
      <c r="D303" s="39"/>
      <c r="E303" s="35" t="s">
        <v>616</v>
      </c>
      <c r="F303" s="35" t="s">
        <v>697</v>
      </c>
      <c r="G303" s="45"/>
      <c r="H303" s="39"/>
      <c r="I303" s="35">
        <v>12.8</v>
      </c>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c r="IY303"/>
    </row>
    <row r="304" spans="1:259" ht="36" customHeight="1" x14ac:dyDescent="0.2">
      <c r="A304" s="17" t="s">
        <v>417</v>
      </c>
      <c r="B304" s="30" t="str">
        <f>VLOOKUP(A304,'HECVAT - Full'!A$24:B$312,2,FALSE)</f>
        <v>Are you classified as a service provider?</v>
      </c>
      <c r="C304" s="36"/>
      <c r="D304" s="39"/>
      <c r="E304" s="39"/>
      <c r="F304" s="35" t="s">
        <v>697</v>
      </c>
      <c r="G304" s="45"/>
      <c r="H304" s="39"/>
      <c r="I304" s="35">
        <v>12.8</v>
      </c>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row>
    <row r="305" spans="1:259" ht="36" customHeight="1" x14ac:dyDescent="0.2">
      <c r="A305" s="17" t="s">
        <v>418</v>
      </c>
      <c r="B305" s="30" t="str">
        <f>VLOOKUP(A305,'HECVAT - Full'!A$24:B$312,2,FALSE)</f>
        <v xml:space="preserve">Are you on the list of VISA approved service providers? </v>
      </c>
      <c r="C305" s="36"/>
      <c r="D305" s="39"/>
      <c r="E305" s="39"/>
      <c r="F305" s="35" t="s">
        <v>697</v>
      </c>
      <c r="G305" s="45"/>
      <c r="H305" s="39"/>
      <c r="I305" s="35">
        <v>12.8</v>
      </c>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row>
    <row r="306" spans="1:259" ht="36" customHeight="1" x14ac:dyDescent="0.2">
      <c r="A306" s="17" t="s">
        <v>419</v>
      </c>
      <c r="B306" s="30" t="str">
        <f>VLOOKUP(A306,'HECVAT - Full'!A$24:B$312,2,FALSE)</f>
        <v>Are you classified as a merchant?  If so, what level (1, 2, 3, 4)?</v>
      </c>
      <c r="C306" s="36"/>
      <c r="D306" s="39"/>
      <c r="E306" s="39"/>
      <c r="F306" s="35" t="s">
        <v>697</v>
      </c>
      <c r="G306" s="45"/>
      <c r="H306" s="39"/>
      <c r="I306" s="35">
        <v>12.8</v>
      </c>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row>
    <row r="307" spans="1:259" ht="64.25" customHeight="1" x14ac:dyDescent="0.2">
      <c r="A307" s="17" t="s">
        <v>420</v>
      </c>
      <c r="B307" s="30" t="str">
        <f>VLOOKUP(A307,'HECVAT - Full'!A$24:B$312,2,FALSE)</f>
        <v>Describe the architecture employed by the system to verify and authorize credit card transactions.</v>
      </c>
      <c r="C307" s="35" t="s">
        <v>597</v>
      </c>
      <c r="D307" s="39"/>
      <c r="E307" s="39"/>
      <c r="F307" s="35" t="s">
        <v>697</v>
      </c>
      <c r="G307" s="46"/>
      <c r="H307" s="39"/>
      <c r="I307" s="35" t="s">
        <v>2109</v>
      </c>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row>
    <row r="308" spans="1:259" ht="64.25" customHeight="1" x14ac:dyDescent="0.2">
      <c r="A308" s="17" t="s">
        <v>421</v>
      </c>
      <c r="B308" s="30" t="str">
        <f>VLOOKUP(A308,'HECVAT - Full'!A$24:B$312,2,FALSE)</f>
        <v xml:space="preserve">What payment processors/gateways does the system support? </v>
      </c>
      <c r="C308" s="35" t="s">
        <v>569</v>
      </c>
      <c r="D308" s="39"/>
      <c r="E308" s="39"/>
      <c r="F308" s="35" t="s">
        <v>697</v>
      </c>
      <c r="G308" s="46"/>
      <c r="H308" s="39"/>
      <c r="I308" s="35">
        <v>12.8</v>
      </c>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row>
    <row r="309" spans="1:259" ht="36" customHeight="1" x14ac:dyDescent="0.2">
      <c r="A309" s="17" t="s">
        <v>422</v>
      </c>
      <c r="B309" s="30" t="str">
        <f>VLOOKUP(A309,'HECVAT - Full'!A$24:B$312,2,FALSE)</f>
        <v>Can the application be installed in a PCI DSS compliant manner ?</v>
      </c>
      <c r="C309" s="35" t="s">
        <v>570</v>
      </c>
      <c r="D309" s="39"/>
      <c r="E309" s="39"/>
      <c r="F309" s="35" t="s">
        <v>697</v>
      </c>
      <c r="G309" s="45"/>
      <c r="H309" s="39"/>
      <c r="I309" s="35">
        <v>12.8</v>
      </c>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row>
    <row r="310" spans="1:259" ht="36" customHeight="1" x14ac:dyDescent="0.2">
      <c r="A310" s="17" t="s">
        <v>423</v>
      </c>
      <c r="B310" s="30" t="str">
        <f>VLOOKUP(A310,'HECVAT - Full'!A$24:B$312,2,FALSE)</f>
        <v xml:space="preserve">Is the application listed as an approved PA-DSS application? </v>
      </c>
      <c r="C310" s="36"/>
      <c r="D310" s="39"/>
      <c r="E310" s="39"/>
      <c r="F310" s="35" t="s">
        <v>697</v>
      </c>
      <c r="G310" s="45"/>
      <c r="H310" s="39"/>
      <c r="I310" s="35">
        <v>12.8</v>
      </c>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row>
    <row r="311" spans="1:259" ht="54" customHeight="1" x14ac:dyDescent="0.2">
      <c r="A311" s="17" t="s">
        <v>424</v>
      </c>
      <c r="B311" s="30" t="str">
        <f>VLOOKUP(A311,'HECVAT - Full'!A$24:B$312,2,FALSE)</f>
        <v>Does the system or products use a third party to collect, store, process, or transmit cardholder (payment/credit/debt card) data?</v>
      </c>
      <c r="C311" s="35" t="s">
        <v>598</v>
      </c>
      <c r="D311" s="39"/>
      <c r="E311" s="39"/>
      <c r="F311" s="35" t="s">
        <v>697</v>
      </c>
      <c r="G311" s="45"/>
      <c r="H311" s="39"/>
      <c r="I311" s="35">
        <v>12.8</v>
      </c>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row>
    <row r="312" spans="1:259" ht="64.25" customHeight="1" x14ac:dyDescent="0.2">
      <c r="A312" s="17" t="s">
        <v>425</v>
      </c>
      <c r="B312" s="30" t="str">
        <f>VLOOKUP(A312,'HECVAT - Full'!A$24:B$312,2,FALSE)</f>
        <v xml:space="preserve">Include documentation describing the systems' abilities to comply with the PCI DSS and any features or capabilities of the system that must be added or changed in order to operate in compliance with the standards. </v>
      </c>
      <c r="C312" s="35" t="s">
        <v>570</v>
      </c>
      <c r="D312" s="39"/>
      <c r="E312" s="39"/>
      <c r="F312" s="35" t="s">
        <v>697</v>
      </c>
      <c r="G312" s="46"/>
      <c r="H312" s="39"/>
      <c r="I312" s="35">
        <v>12.8</v>
      </c>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c r="IY312"/>
    </row>
    <row r="315" spans="1:259" ht="15" customHeight="1" x14ac:dyDescent="0.15">
      <c r="A315" s="149" t="s">
        <v>561</v>
      </c>
      <c r="B315" s="150">
        <v>4</v>
      </c>
    </row>
    <row r="316" spans="1:259" ht="15" customHeight="1" x14ac:dyDescent="0.15">
      <c r="A316" s="149" t="s">
        <v>562</v>
      </c>
      <c r="B316" s="150">
        <v>5</v>
      </c>
    </row>
    <row r="317" spans="1:259" ht="15" customHeight="1" x14ac:dyDescent="0.15">
      <c r="A317" s="149" t="s">
        <v>888</v>
      </c>
      <c r="B317" s="150">
        <v>6</v>
      </c>
    </row>
    <row r="318" spans="1:259" ht="15" customHeight="1" x14ac:dyDescent="0.15">
      <c r="A318" s="149" t="s">
        <v>565</v>
      </c>
      <c r="B318" s="150">
        <v>7</v>
      </c>
    </row>
    <row r="319" spans="1:259" ht="15" customHeight="1" x14ac:dyDescent="0.15">
      <c r="A319" s="149" t="s">
        <v>564</v>
      </c>
      <c r="B319" s="150">
        <v>8</v>
      </c>
    </row>
    <row r="320" spans="1:259" ht="15" customHeight="1" x14ac:dyDescent="0.15">
      <c r="A320" s="149" t="s">
        <v>563</v>
      </c>
      <c r="B320" s="150">
        <v>9</v>
      </c>
    </row>
    <row r="321" spans="1:2" ht="15" customHeight="1" x14ac:dyDescent="0.15">
      <c r="A321" s="112" t="s">
        <v>2045</v>
      </c>
      <c r="B321" s="150">
        <v>10</v>
      </c>
    </row>
  </sheetData>
  <mergeCells count="25">
    <mergeCell ref="A155:B155"/>
    <mergeCell ref="A158:B158"/>
    <mergeCell ref="A126:B126"/>
    <mergeCell ref="A110:B110"/>
    <mergeCell ref="A244:B244"/>
    <mergeCell ref="A217:B217"/>
    <mergeCell ref="A223:B223"/>
    <mergeCell ref="A205:B205"/>
    <mergeCell ref="A178:B178"/>
    <mergeCell ref="A192:B192"/>
    <mergeCell ref="A268:B268"/>
    <mergeCell ref="A300:B300"/>
    <mergeCell ref="A247:B247"/>
    <mergeCell ref="A253:B253"/>
    <mergeCell ref="A258:B258"/>
    <mergeCell ref="A97:B97"/>
    <mergeCell ref="A79:B79"/>
    <mergeCell ref="A61:B61"/>
    <mergeCell ref="A51:B51"/>
    <mergeCell ref="A46:B46"/>
    <mergeCell ref="A2:H2"/>
    <mergeCell ref="A1:I1"/>
    <mergeCell ref="A31:B31"/>
    <mergeCell ref="A38:B38"/>
    <mergeCell ref="A22:B22"/>
  </mergeCells>
  <conditionalFormatting sqref="A46">
    <cfRule type="expression" dxfId="124" priority="288">
      <formula>$C$26="No"</formula>
    </cfRule>
  </conditionalFormatting>
  <conditionalFormatting sqref="A51">
    <cfRule type="expression" dxfId="123" priority="268">
      <formula>$C$30="No"</formula>
    </cfRule>
  </conditionalFormatting>
  <conditionalFormatting sqref="A97">
    <cfRule type="expression" dxfId="122" priority="260">
      <formula>$C$27="No"</formula>
    </cfRule>
  </conditionalFormatting>
  <conditionalFormatting sqref="A163:A164">
    <cfRule type="expression" dxfId="121" priority="237">
      <formula>$C$162="No"</formula>
    </cfRule>
  </conditionalFormatting>
  <conditionalFormatting sqref="A164">
    <cfRule type="expression" dxfId="120" priority="236">
      <formula>$C$163="No"</formula>
    </cfRule>
  </conditionalFormatting>
  <conditionalFormatting sqref="A168">
    <cfRule type="expression" dxfId="119" priority="284">
      <formula>$C$167="No"</formula>
    </cfRule>
  </conditionalFormatting>
  <conditionalFormatting sqref="A174">
    <cfRule type="expression" dxfId="118" priority="263">
      <formula>$C$173="No"</formula>
    </cfRule>
  </conditionalFormatting>
  <conditionalFormatting sqref="A178">
    <cfRule type="expression" dxfId="117" priority="287">
      <formula>$C$28="No"</formula>
    </cfRule>
  </conditionalFormatting>
  <conditionalFormatting sqref="A205">
    <cfRule type="expression" dxfId="116" priority="290">
      <formula>$C$25="No"</formula>
    </cfRule>
  </conditionalFormatting>
  <conditionalFormatting sqref="A241">
    <cfRule type="expression" dxfId="115" priority="227">
      <formula>$C$240="No"</formula>
    </cfRule>
  </conditionalFormatting>
  <conditionalFormatting sqref="A268">
    <cfRule type="expression" dxfId="114" priority="289">
      <formula>$C$24="No"</formula>
    </cfRule>
  </conditionalFormatting>
  <conditionalFormatting sqref="A276:A277">
    <cfRule type="expression" dxfId="113" priority="216">
      <formula>$C$275="No"</formula>
    </cfRule>
  </conditionalFormatting>
  <conditionalFormatting sqref="A277">
    <cfRule type="expression" dxfId="112" priority="217">
      <formula>$C$276="No"</formula>
    </cfRule>
  </conditionalFormatting>
  <conditionalFormatting sqref="A293">
    <cfRule type="expression" dxfId="111" priority="258">
      <formula>$C$292="No"</formula>
    </cfRule>
  </conditionalFormatting>
  <conditionalFormatting sqref="A296:A299">
    <cfRule type="expression" dxfId="110" priority="213">
      <formula>$C$295="No"</formula>
    </cfRule>
  </conditionalFormatting>
  <conditionalFormatting sqref="A300">
    <cfRule type="expression" dxfId="109" priority="274">
      <formula>$C$29="No"</formula>
    </cfRule>
  </conditionalFormatting>
  <conditionalFormatting sqref="A61:B61 A79:B79 A97:B97 A110:B110 A126:B126 A158:B158 A178:B178 A192:B192 A205:B205 A223:B223 A244:B244 A247:B247 A253:B253 A268:B268 A300:B300">
    <cfRule type="expression" dxfId="108" priority="252">
      <formula>$C$30="Yes"</formula>
    </cfRule>
  </conditionalFormatting>
  <conditionalFormatting sqref="A155:B155">
    <cfRule type="expression" dxfId="107" priority="251">
      <formula>$C$30="Yes"</formula>
    </cfRule>
  </conditionalFormatting>
  <conditionalFormatting sqref="A217:B217">
    <cfRule type="expression" dxfId="106" priority="250">
      <formula>$C$30="Yes"</formula>
    </cfRule>
  </conditionalFormatting>
  <conditionalFormatting sqref="A258:B258">
    <cfRule type="expression" dxfId="105" priority="249">
      <formula>$C$30="Yes"</formula>
    </cfRule>
  </conditionalFormatting>
  <conditionalFormatting sqref="B47:B50">
    <cfRule type="expression" dxfId="104" priority="82">
      <formula>$C$26="No"</formula>
    </cfRule>
  </conditionalFormatting>
  <conditionalFormatting sqref="C150:D150 C151:C154">
    <cfRule type="expression" dxfId="103" priority="266">
      <formula>$C$149="No"</formula>
    </cfRule>
  </conditionalFormatting>
  <conditionalFormatting sqref="C243:D243">
    <cfRule type="expression" dxfId="102" priority="254">
      <formula>$C$238="No"</formula>
    </cfRule>
  </conditionalFormatting>
  <conditionalFormatting sqref="C257:D257">
    <cfRule type="expression" dxfId="101" priority="255">
      <formula>$C$167="No"</formula>
    </cfRule>
  </conditionalFormatting>
  <conditionalFormatting sqref="C112:G112">
    <cfRule type="expression" dxfId="100" priority="137">
      <formula>$C$111="No"</formula>
    </cfRule>
  </conditionalFormatting>
  <conditionalFormatting sqref="C203:G203">
    <cfRule type="expression" dxfId="99" priority="131">
      <formula>$C$202="No"</formula>
    </cfRule>
  </conditionalFormatting>
  <conditionalFormatting sqref="C260:G260">
    <cfRule type="expression" dxfId="98" priority="125">
      <formula>$C$259="No"</formula>
    </cfRule>
  </conditionalFormatting>
  <conditionalFormatting sqref="C263:G263">
    <cfRule type="expression" dxfId="97" priority="126">
      <formula>$C$262="No"</formula>
    </cfRule>
  </conditionalFormatting>
  <conditionalFormatting sqref="C58:H58">
    <cfRule type="expression" dxfId="96" priority="270">
      <formula>$C$57="No"</formula>
    </cfRule>
  </conditionalFormatting>
  <conditionalFormatting sqref="C90:H90">
    <cfRule type="expression" dxfId="95" priority="139">
      <formula>$C$89="No"</formula>
    </cfRule>
  </conditionalFormatting>
  <conditionalFormatting sqref="C92:H93">
    <cfRule type="expression" dxfId="94" priority="149">
      <formula>$C$91="No"</formula>
    </cfRule>
  </conditionalFormatting>
  <conditionalFormatting sqref="C138:H138">
    <cfRule type="expression" dxfId="93" priority="136">
      <formula>$C$137="No"</formula>
    </cfRule>
  </conditionalFormatting>
  <conditionalFormatting sqref="C163:H164">
    <cfRule type="expression" dxfId="92" priority="134">
      <formula>$C$162="No"</formula>
    </cfRule>
  </conditionalFormatting>
  <conditionalFormatting sqref="C164:H164">
    <cfRule type="expression" dxfId="91" priority="133">
      <formula>$C$163="No"</formula>
    </cfRule>
  </conditionalFormatting>
  <conditionalFormatting sqref="C168:H168">
    <cfRule type="expression" dxfId="90" priority="150">
      <formula>$C$167="No"</formula>
    </cfRule>
  </conditionalFormatting>
  <conditionalFormatting sqref="C174:H174">
    <cfRule type="expression" dxfId="89" priority="144">
      <formula>$C$173="No"</formula>
    </cfRule>
  </conditionalFormatting>
  <conditionalFormatting sqref="C184:H184 I185:I186 I189">
    <cfRule type="expression" dxfId="88" priority="234">
      <formula>$C$183="No"</formula>
    </cfRule>
  </conditionalFormatting>
  <conditionalFormatting sqref="C213:H213">
    <cfRule type="expression" dxfId="87" priority="129">
      <formula>$C$212="No"</formula>
    </cfRule>
  </conditionalFormatting>
  <conditionalFormatting sqref="C216:H216">
    <cfRule type="expression" dxfId="86" priority="130">
      <formula>$C$215="No"</formula>
    </cfRule>
  </conditionalFormatting>
  <conditionalFormatting sqref="C241:H241">
    <cfRule type="expression" dxfId="85" priority="128">
      <formula>$C$240="No"</formula>
    </cfRule>
  </conditionalFormatting>
  <conditionalFormatting sqref="C276:H277">
    <cfRule type="expression" dxfId="84" priority="123">
      <formula>$C$275="No"</formula>
    </cfRule>
  </conditionalFormatting>
  <conditionalFormatting sqref="C277:H277">
    <cfRule type="expression" dxfId="83" priority="124">
      <formula>$C$276="No"</formula>
    </cfRule>
  </conditionalFormatting>
  <conditionalFormatting sqref="C293:H293">
    <cfRule type="expression" dxfId="82" priority="143">
      <formula>$C$292="No"</formula>
    </cfRule>
  </conditionalFormatting>
  <conditionalFormatting sqref="C296:H296">
    <cfRule type="expression" dxfId="81" priority="122">
      <formula>$C$295="No"</formula>
    </cfRule>
  </conditionalFormatting>
  <conditionalFormatting sqref="D63:E63 H63">
    <cfRule type="expression" dxfId="80" priority="283">
      <formula>$C$62="No"</formula>
    </cfRule>
  </conditionalFormatting>
  <conditionalFormatting sqref="E47:E50">
    <cfRule type="expression" dxfId="79" priority="256">
      <formula>$C$26="No"</formula>
    </cfRule>
  </conditionalFormatting>
  <conditionalFormatting sqref="E52:E60 H52:I60">
    <cfRule type="expression" dxfId="78" priority="257">
      <formula>$C$30="No"</formula>
    </cfRule>
  </conditionalFormatting>
  <conditionalFormatting sqref="E111:E125">
    <cfRule type="expression" dxfId="77" priority="243">
      <formula>$C$30="Yes"</formula>
    </cfRule>
  </conditionalFormatting>
  <conditionalFormatting sqref="E156:E157">
    <cfRule type="expression" dxfId="76" priority="238">
      <formula>$C$30="Yes"</formula>
    </cfRule>
  </conditionalFormatting>
  <conditionalFormatting sqref="E159:E177">
    <cfRule type="expression" dxfId="75" priority="285">
      <formula>$C$30="Yes"</formula>
    </cfRule>
  </conditionalFormatting>
  <conditionalFormatting sqref="E179:E191 H179:H191 I185:I186 I189 E80:E96 H80:H96 E269:E299 H269:H299 E127:E154 H127:H154 H224:I242 E224:E243 E63 E65 H65 E98:E109 H98:H109 I118 I122:I125 H243">
    <cfRule type="expression" dxfId="74" priority="280">
      <formula>$C$30="Yes"</formula>
    </cfRule>
  </conditionalFormatting>
  <conditionalFormatting sqref="E193:E204">
    <cfRule type="expression" dxfId="73" priority="233">
      <formula>$C$30="Yes"</formula>
    </cfRule>
  </conditionalFormatting>
  <conditionalFormatting sqref="E206:E216">
    <cfRule type="expression" dxfId="72" priority="275">
      <formula>$C$30="Yes"</formula>
    </cfRule>
  </conditionalFormatting>
  <conditionalFormatting sqref="E218:E222">
    <cfRule type="expression" dxfId="71" priority="228">
      <formula>$C$30="Yes"</formula>
    </cfRule>
  </conditionalFormatting>
  <conditionalFormatting sqref="E245:E246">
    <cfRule type="expression" dxfId="70" priority="224">
      <formula>$C$30="Yes"</formula>
    </cfRule>
  </conditionalFormatting>
  <conditionalFormatting sqref="E248:E252">
    <cfRule type="expression" dxfId="69" priority="222">
      <formula>$C$30="Yes"</formula>
    </cfRule>
  </conditionalFormatting>
  <conditionalFormatting sqref="E254:E257">
    <cfRule type="expression" dxfId="68" priority="220">
      <formula>$C$30="Yes"</formula>
    </cfRule>
  </conditionalFormatting>
  <conditionalFormatting sqref="E259:E267">
    <cfRule type="expression" dxfId="67" priority="277">
      <formula>$C$30="Yes"</formula>
    </cfRule>
  </conditionalFormatting>
  <conditionalFormatting sqref="E301:E312">
    <cfRule type="expression" dxfId="66" priority="214">
      <formula>$C$30="Yes"</formula>
    </cfRule>
  </conditionalFormatting>
  <conditionalFormatting sqref="E60:H60 C60">
    <cfRule type="expression" dxfId="65" priority="269">
      <formula>$C$59="No"</formula>
    </cfRule>
  </conditionalFormatting>
  <conditionalFormatting sqref="F150:G154">
    <cfRule type="expression" dxfId="64" priority="146">
      <formula>$C$149="No"</formula>
    </cfRule>
  </conditionalFormatting>
  <conditionalFormatting sqref="F243:G243">
    <cfRule type="expression" dxfId="63" priority="141">
      <formula>$C$238="No"</formula>
    </cfRule>
  </conditionalFormatting>
  <conditionalFormatting sqref="F257:G257">
    <cfRule type="expression" dxfId="62" priority="142">
      <formula>$C$167="No"</formula>
    </cfRule>
  </conditionalFormatting>
  <conditionalFormatting sqref="H111:H125">
    <cfRule type="expression" dxfId="61" priority="175">
      <formula>$C$30="Yes"</formula>
    </cfRule>
  </conditionalFormatting>
  <conditionalFormatting sqref="H112 A112">
    <cfRule type="expression" dxfId="60" priority="242">
      <formula>$C$111="No"</formula>
    </cfRule>
  </conditionalFormatting>
  <conditionalFormatting sqref="H193:H204">
    <cfRule type="expression" dxfId="59" priority="166">
      <formula>$C$30="Yes"</formula>
    </cfRule>
  </conditionalFormatting>
  <conditionalFormatting sqref="H203 A203">
    <cfRule type="expression" dxfId="58" priority="232">
      <formula>$C$202="No"</formula>
    </cfRule>
  </conditionalFormatting>
  <conditionalFormatting sqref="H259:H267">
    <cfRule type="expression" dxfId="57" priority="201">
      <formula>$C$30="Yes"</formula>
    </cfRule>
  </conditionalFormatting>
  <conditionalFormatting sqref="H260 A260">
    <cfRule type="expression" dxfId="56" priority="218">
      <formula>$C$259="No"</formula>
    </cfRule>
  </conditionalFormatting>
  <conditionalFormatting sqref="H263 A263">
    <cfRule type="expression" dxfId="55" priority="219">
      <formula>$C$262="No"</formula>
    </cfRule>
  </conditionalFormatting>
  <conditionalFormatting sqref="H47:I50">
    <cfRule type="expression" dxfId="54" priority="121">
      <formula>$C$26="No"</formula>
    </cfRule>
  </conditionalFormatting>
  <conditionalFormatting sqref="H62:I63">
    <cfRule type="expression" dxfId="53" priority="118">
      <formula>$C$30="Yes"</formula>
    </cfRule>
  </conditionalFormatting>
  <conditionalFormatting sqref="H156:I157">
    <cfRule type="expression" dxfId="52" priority="108">
      <formula>$C$30="Yes"</formula>
    </cfRule>
  </conditionalFormatting>
  <conditionalFormatting sqref="H159:I177">
    <cfRule type="expression" dxfId="51" priority="104">
      <formula>$C$30="Yes"</formula>
    </cfRule>
  </conditionalFormatting>
  <conditionalFormatting sqref="H206:I216">
    <cfRule type="expression" dxfId="50" priority="98">
      <formula>$C$30="Yes"</formula>
    </cfRule>
  </conditionalFormatting>
  <conditionalFormatting sqref="H218:I222">
    <cfRule type="expression" dxfId="49" priority="97">
      <formula>$C$30="Yes"</formula>
    </cfRule>
  </conditionalFormatting>
  <conditionalFormatting sqref="H245:I246">
    <cfRule type="expression" dxfId="48" priority="95">
      <formula>$C$30="Yes"</formula>
    </cfRule>
  </conditionalFormatting>
  <conditionalFormatting sqref="H248:I252">
    <cfRule type="expression" dxfId="47" priority="94">
      <formula>$C$30="Yes"</formula>
    </cfRule>
  </conditionalFormatting>
  <conditionalFormatting sqref="H254:I257">
    <cfRule type="expression" dxfId="46" priority="93">
      <formula>$C$30="Yes"</formula>
    </cfRule>
  </conditionalFormatting>
  <conditionalFormatting sqref="H301:I312">
    <cfRule type="expression" dxfId="45" priority="85">
      <formula>$C$30="Yes"</formula>
    </cfRule>
  </conditionalFormatting>
  <conditionalFormatting sqref="I62:I63">
    <cfRule type="expression" dxfId="44" priority="119">
      <formula>$C$62="No"</formula>
    </cfRule>
  </conditionalFormatting>
  <conditionalFormatting sqref="I80:I96">
    <cfRule type="expression" dxfId="43" priority="115">
      <formula>$C$30="Yes"</formula>
    </cfRule>
  </conditionalFormatting>
  <conditionalFormatting sqref="I105:I109">
    <cfRule type="expression" dxfId="42" priority="114">
      <formula>$C$30="Yes"</formula>
    </cfRule>
  </conditionalFormatting>
  <conditionalFormatting sqref="I111:I115">
    <cfRule type="expression" dxfId="41" priority="113">
      <formula>$C$30="Yes"</formula>
    </cfRule>
  </conditionalFormatting>
  <conditionalFormatting sqref="I127:I154">
    <cfRule type="expression" dxfId="40" priority="109">
      <formula>$C$30="Yes"</formula>
    </cfRule>
  </conditionalFormatting>
  <conditionalFormatting sqref="I179:I182">
    <cfRule type="expression" dxfId="39" priority="103">
      <formula>$C$183="No"</formula>
    </cfRule>
    <cfRule type="expression" dxfId="38" priority="102">
      <formula>$C$30="Yes"</formula>
    </cfRule>
  </conditionalFormatting>
  <conditionalFormatting sqref="I191">
    <cfRule type="expression" dxfId="37" priority="101">
      <formula>$C$30="Yes"</formula>
    </cfRule>
  </conditionalFormatting>
  <conditionalFormatting sqref="I243">
    <cfRule type="expression" dxfId="36" priority="1">
      <formula>$C$238="No"</formula>
    </cfRule>
  </conditionalFormatting>
  <conditionalFormatting sqref="I269:I286">
    <cfRule type="expression" dxfId="35" priority="90">
      <formula>$C$30="Yes"</formula>
    </cfRule>
  </conditionalFormatting>
  <conditionalFormatting sqref="I278:I280">
    <cfRule type="expression" dxfId="34" priority="88">
      <formula>$C$275="No"</formula>
    </cfRule>
    <cfRule type="expression" dxfId="33" priority="89">
      <formula>$C$276="No"</formula>
    </cfRule>
  </conditionalFormatting>
  <conditionalFormatting sqref="I287:I299">
    <cfRule type="expression" dxfId="32" priority="86">
      <formula>$C$30="Yes"</formula>
    </cfRule>
  </conditionalFormatting>
  <pageMargins left="0.75" right="0.75" top="1" bottom="1" header="0.5" footer="0.5"/>
  <pageSetup orientation="landscape" r:id="rId1"/>
  <headerFooter>
    <oddFooter>&amp;L&amp;"Helvetica,Regular"&amp;12&amp;K000000	&amp;P</oddFooter>
  </headerFooter>
  <ignoredErrors>
    <ignoredError sqref="E132 E195 E57 E60 E101 E85:E87 E58:E59 E88 E89:E95" numberStoredAsText="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H303"/>
  <sheetViews>
    <sheetView topLeftCell="A70" workbookViewId="0">
      <selection activeCell="G78" sqref="G78"/>
    </sheetView>
  </sheetViews>
  <sheetFormatPr baseColWidth="10" defaultColWidth="8.5" defaultRowHeight="16" x14ac:dyDescent="0.2"/>
  <cols>
    <col min="1" max="1" width="20.125" customWidth="1"/>
    <col min="2" max="2" width="14.5" customWidth="1"/>
    <col min="3" max="3" width="26" customWidth="1"/>
    <col min="4" max="4" width="11.5" customWidth="1"/>
    <col min="5" max="5" width="14.625" customWidth="1"/>
    <col min="6" max="6" width="16.625" customWidth="1"/>
    <col min="7" max="7" width="11.25" customWidth="1"/>
    <col min="8" max="8" width="21.75" customWidth="1"/>
  </cols>
  <sheetData>
    <row r="1" spans="1:8" ht="36" customHeight="1" x14ac:dyDescent="0.2">
      <c r="A1" s="270" t="s">
        <v>2989</v>
      </c>
      <c r="B1" s="270"/>
      <c r="C1" s="270"/>
      <c r="D1" s="270"/>
      <c r="E1" s="270"/>
      <c r="F1" s="270"/>
      <c r="G1" s="271"/>
      <c r="H1" s="165" t="str">
        <f>'HECVAT - Full'!E1</f>
        <v>Version 2.11</v>
      </c>
    </row>
    <row r="2" spans="1:8" ht="26" customHeight="1" x14ac:dyDescent="0.2">
      <c r="A2" s="245" t="s">
        <v>96</v>
      </c>
      <c r="B2" s="245"/>
      <c r="C2" s="245"/>
      <c r="D2" s="245"/>
      <c r="E2" s="245"/>
      <c r="F2" s="245"/>
      <c r="G2" s="245"/>
      <c r="H2" s="245"/>
    </row>
    <row r="3" spans="1:8" ht="26" customHeight="1" x14ac:dyDescent="0.2">
      <c r="A3" s="275" t="s">
        <v>11</v>
      </c>
      <c r="B3" s="276"/>
      <c r="C3" s="276"/>
      <c r="D3" s="276"/>
      <c r="E3" s="276"/>
      <c r="F3" s="276"/>
      <c r="G3" s="276"/>
      <c r="H3" s="276"/>
    </row>
    <row r="4" spans="1:8" ht="40.5" customHeight="1" x14ac:dyDescent="0.2">
      <c r="A4" s="277" t="s">
        <v>2667</v>
      </c>
      <c r="B4" s="278"/>
      <c r="C4" s="278"/>
      <c r="D4" s="278"/>
      <c r="E4" s="278"/>
      <c r="F4" s="278"/>
      <c r="G4" s="278"/>
      <c r="H4" s="278"/>
    </row>
    <row r="5" spans="1:8" s="19" customFormat="1" ht="48" customHeight="1" x14ac:dyDescent="0.2">
      <c r="A5" s="124" t="s">
        <v>3</v>
      </c>
      <c r="B5" s="272" t="str">
        <f>'HECVAT - Full'!C7</f>
        <v xml:space="preserve">Instructure
</v>
      </c>
      <c r="C5" s="272"/>
      <c r="D5" s="151"/>
      <c r="E5" s="124" t="s">
        <v>4</v>
      </c>
      <c r="F5" s="265" t="str">
        <f>'HECVAT - Full'!C8</f>
        <v xml:space="preserve">Portfolium
</v>
      </c>
      <c r="G5" s="265"/>
      <c r="H5" s="265"/>
    </row>
    <row r="6" spans="1:8" s="19" customFormat="1" ht="48" customHeight="1" x14ac:dyDescent="0.2">
      <c r="A6" s="124" t="s">
        <v>7</v>
      </c>
      <c r="B6" s="234" t="str">
        <f>'HECVAT - Full'!C11</f>
        <v xml:space="preserve">See GNRL-07 for Instructure's contact information.
</v>
      </c>
      <c r="C6" s="234"/>
      <c r="D6" s="152"/>
      <c r="E6" s="124" t="s">
        <v>5</v>
      </c>
      <c r="F6" s="265" t="str">
        <f>'HECVAT - Full'!C9</f>
        <v xml:space="preserve">Portfolium simplifies the assessment of student learning, proves institutional value by showcasing evidence of learning, and keeps students engaged along pathways that ultimately prepare them for their career.
</v>
      </c>
      <c r="G6" s="265"/>
      <c r="H6" s="265"/>
    </row>
    <row r="7" spans="1:8" s="19" customFormat="1" ht="48" customHeight="1" x14ac:dyDescent="0.2">
      <c r="A7" s="124" t="s">
        <v>8</v>
      </c>
      <c r="B7" s="273" t="str">
        <f>'HECVAT - Full'!C12</f>
        <v xml:space="preserve">See GNRL-07 for Instructure's contact information.
</v>
      </c>
      <c r="C7" s="274"/>
      <c r="D7" s="153"/>
      <c r="E7" s="124" t="s">
        <v>2058</v>
      </c>
      <c r="F7" s="265" t="s">
        <v>2059</v>
      </c>
      <c r="G7" s="265"/>
      <c r="H7" s="265"/>
    </row>
    <row r="8" spans="1:8" s="19" customFormat="1" ht="48" customHeight="1" x14ac:dyDescent="0.2">
      <c r="A8" s="124" t="s">
        <v>2616</v>
      </c>
      <c r="B8" s="234" t="str">
        <f>'HECVAT - Full'!C13</f>
        <v xml:space="preserve">For new clients: info@instructure.com
For existing customers, please reach out to your Customer Success Manager or Regional Director.
</v>
      </c>
      <c r="C8" s="234"/>
      <c r="D8" s="154"/>
      <c r="E8" s="124" t="s">
        <v>2060</v>
      </c>
      <c r="F8" s="266">
        <f>'HECVAT - Full'!C3</f>
        <v>44004</v>
      </c>
      <c r="G8" s="266"/>
      <c r="H8" s="266"/>
    </row>
    <row r="9" spans="1:8" s="19" customFormat="1" ht="24.75" customHeight="1" x14ac:dyDescent="0.2">
      <c r="A9" s="124"/>
      <c r="B9" s="2"/>
      <c r="C9" s="2"/>
      <c r="D9" s="187"/>
      <c r="E9" s="188"/>
      <c r="F9" s="189"/>
      <c r="G9" s="189"/>
      <c r="H9" s="190"/>
    </row>
    <row r="10" spans="1:8" s="19" customFormat="1" ht="48" customHeight="1" x14ac:dyDescent="0.2">
      <c r="A10" s="139" t="s">
        <v>2620</v>
      </c>
      <c r="B10" s="138"/>
      <c r="C10" s="106" t="str">
        <f>IF(B10="","&lt;- Select your security framework.","")</f>
        <v>&lt;- Select your security framework.</v>
      </c>
      <c r="D10" s="267"/>
      <c r="E10" s="268"/>
      <c r="F10" s="268"/>
      <c r="G10" s="268"/>
      <c r="H10" s="269"/>
    </row>
    <row r="11" spans="1:8" s="123" customFormat="1" ht="24" customHeight="1" x14ac:dyDescent="0.2">
      <c r="A11" s="282"/>
      <c r="B11" s="282"/>
      <c r="C11" s="282"/>
    </row>
    <row r="12" spans="1:8" ht="24" customHeight="1" x14ac:dyDescent="0.2">
      <c r="C12" s="129" t="s">
        <v>2061</v>
      </c>
      <c r="D12" s="129" t="s">
        <v>2053</v>
      </c>
      <c r="E12" s="129" t="s">
        <v>2052</v>
      </c>
      <c r="F12" s="129" t="s">
        <v>2054</v>
      </c>
    </row>
    <row r="13" spans="1:8" x14ac:dyDescent="0.15">
      <c r="C13" s="125" t="str">
        <f>Questions!T2</f>
        <v>Documentation</v>
      </c>
      <c r="D13" s="126">
        <f>Questions!X2</f>
        <v>105</v>
      </c>
      <c r="E13" s="126">
        <f>Questions!W2</f>
        <v>50</v>
      </c>
      <c r="F13" s="127">
        <f>Questions!Y2</f>
        <v>0.47619047619047616</v>
      </c>
    </row>
    <row r="14" spans="1:8" x14ac:dyDescent="0.15">
      <c r="C14" s="125" t="str">
        <f>Questions!T3</f>
        <v>Application Security</v>
      </c>
      <c r="D14" s="126">
        <f>Questions!X3</f>
        <v>375</v>
      </c>
      <c r="E14" s="126">
        <f>Questions!W3</f>
        <v>175</v>
      </c>
      <c r="F14" s="127">
        <f>Questions!Y3</f>
        <v>0.46666666666666667</v>
      </c>
    </row>
    <row r="15" spans="1:8" ht="30" x14ac:dyDescent="0.15">
      <c r="C15" s="125" t="str">
        <f>Questions!T4</f>
        <v>Authentication, Authorization, and Accounting</v>
      </c>
      <c r="D15" s="126">
        <f>Questions!X4</f>
        <v>425</v>
      </c>
      <c r="E15" s="126">
        <f>Questions!W4</f>
        <v>250</v>
      </c>
      <c r="F15" s="127">
        <f>Questions!Y4</f>
        <v>0.58823529411764708</v>
      </c>
    </row>
    <row r="16" spans="1:8" x14ac:dyDescent="0.15">
      <c r="C16" s="125" t="str">
        <f>Questions!T5</f>
        <v>Change Management</v>
      </c>
      <c r="D16" s="126">
        <f>Questions!X5</f>
        <v>275</v>
      </c>
      <c r="E16" s="126">
        <f>Questions!W5</f>
        <v>165</v>
      </c>
      <c r="F16" s="127">
        <f>Questions!Y5</f>
        <v>0.6</v>
      </c>
    </row>
    <row r="17" spans="3:6" x14ac:dyDescent="0.15">
      <c r="C17" s="125" t="str">
        <f>Questions!T6</f>
        <v>Company</v>
      </c>
      <c r="D17" s="126">
        <f>Questions!X6</f>
        <v>120</v>
      </c>
      <c r="E17" s="126">
        <f>Questions!W6</f>
        <v>75</v>
      </c>
      <c r="F17" s="127">
        <f>Questions!Y6</f>
        <v>0.625</v>
      </c>
    </row>
    <row r="18" spans="3:6" x14ac:dyDescent="0.15">
      <c r="C18" s="125" t="str">
        <f>Questions!T7</f>
        <v>Data</v>
      </c>
      <c r="D18" s="126">
        <f>Questions!X7</f>
        <v>565</v>
      </c>
      <c r="E18" s="126">
        <f>Questions!W7</f>
        <v>445</v>
      </c>
      <c r="F18" s="127">
        <f>Questions!Y7</f>
        <v>0.78761061946902655</v>
      </c>
    </row>
    <row r="19" spans="3:6" x14ac:dyDescent="0.15">
      <c r="C19" s="125" t="str">
        <f>Questions!T8</f>
        <v>Database</v>
      </c>
      <c r="D19" s="126">
        <f>Questions!X8</f>
        <v>50</v>
      </c>
      <c r="E19" s="126">
        <f>Questions!W8</f>
        <v>50</v>
      </c>
      <c r="F19" s="127">
        <f>Questions!Y8</f>
        <v>1</v>
      </c>
    </row>
    <row r="20" spans="3:6" x14ac:dyDescent="0.15">
      <c r="C20" s="125" t="str">
        <f>Questions!T9</f>
        <v>Datacenter</v>
      </c>
      <c r="D20" s="126">
        <f>Questions!X9</f>
        <v>310</v>
      </c>
      <c r="E20" s="126">
        <f>Questions!W9</f>
        <v>220</v>
      </c>
      <c r="F20" s="127">
        <f>Questions!Y9</f>
        <v>0.70967741935483875</v>
      </c>
    </row>
    <row r="21" spans="3:6" ht="30" x14ac:dyDescent="0.15">
      <c r="C21" s="125" t="str">
        <f>Questions!T10</f>
        <v>Firewalls, IDS, IPS, and Networking</v>
      </c>
      <c r="D21" s="126">
        <f>Questions!X10</f>
        <v>265</v>
      </c>
      <c r="E21" s="126">
        <f>Questions!W10</f>
        <v>85</v>
      </c>
      <c r="F21" s="127">
        <f>Questions!Y10</f>
        <v>0.32075471698113206</v>
      </c>
    </row>
    <row r="22" spans="3:6" x14ac:dyDescent="0.15">
      <c r="C22" s="125" t="str">
        <f>Questions!T11</f>
        <v>Physical Security</v>
      </c>
      <c r="D22" s="126">
        <f>Questions!X11</f>
        <v>100</v>
      </c>
      <c r="E22" s="126">
        <f>Questions!W11</f>
        <v>75</v>
      </c>
      <c r="F22" s="127">
        <f>Questions!Y11</f>
        <v>0.75</v>
      </c>
    </row>
    <row r="23" spans="3:6" ht="30" x14ac:dyDescent="0.15">
      <c r="C23" s="125" t="str">
        <f>Questions!T12</f>
        <v>Policies, Procedures, and Processes</v>
      </c>
      <c r="D23" s="126">
        <f>Questions!X12</f>
        <v>420</v>
      </c>
      <c r="E23" s="126">
        <f>Questions!W12</f>
        <v>420</v>
      </c>
      <c r="F23" s="127">
        <f>Questions!Y12</f>
        <v>1</v>
      </c>
    </row>
    <row r="24" spans="3:6" ht="30" x14ac:dyDescent="0.15">
      <c r="C24" s="125" t="str">
        <f>Questions!T13</f>
        <v>Systems Management &amp; Configuration</v>
      </c>
      <c r="D24" s="126">
        <f>Questions!X13</f>
        <v>70</v>
      </c>
      <c r="E24" s="126">
        <f>Questions!W13</f>
        <v>70</v>
      </c>
      <c r="F24" s="127">
        <f>Questions!Y13</f>
        <v>1</v>
      </c>
    </row>
    <row r="25" spans="3:6" x14ac:dyDescent="0.15">
      <c r="C25" s="125" t="str">
        <f>Questions!T14</f>
        <v>Vulnerability Scanning</v>
      </c>
      <c r="D25" s="126">
        <f>Questions!X14</f>
        <v>195</v>
      </c>
      <c r="E25" s="126">
        <f>Questions!W14</f>
        <v>160</v>
      </c>
      <c r="F25" s="127">
        <f>Questions!Y14</f>
        <v>0.82051282051282048</v>
      </c>
    </row>
    <row r="26" spans="3:6" x14ac:dyDescent="0.15">
      <c r="C26" s="125" t="str">
        <f>Questions!T15</f>
        <v/>
      </c>
      <c r="D26" s="126" t="str">
        <f>Questions!X15</f>
        <v/>
      </c>
      <c r="E26" s="126" t="str">
        <f>Questions!W15</f>
        <v/>
      </c>
      <c r="F26" s="127" t="str">
        <f>Questions!Y15</f>
        <v/>
      </c>
    </row>
    <row r="27" spans="3:6" x14ac:dyDescent="0.15">
      <c r="C27" s="125" t="str">
        <f>Questions!T16</f>
        <v>Mobile App</v>
      </c>
      <c r="D27" s="126">
        <f>Questions!X16</f>
        <v>265</v>
      </c>
      <c r="E27" s="126">
        <f>Questions!W16</f>
        <v>165</v>
      </c>
      <c r="F27" s="127">
        <f>Questions!Y16</f>
        <v>0.62264150943396224</v>
      </c>
    </row>
    <row r="28" spans="3:6" x14ac:dyDescent="0.15">
      <c r="C28" s="125" t="str">
        <f>Questions!T17</f>
        <v>Third Parties</v>
      </c>
      <c r="D28" s="126">
        <f>Questions!X17</f>
        <v>100</v>
      </c>
      <c r="E28" s="126">
        <f>Questions!W17</f>
        <v>0</v>
      </c>
      <c r="F28" s="127">
        <f>Questions!Y17</f>
        <v>0</v>
      </c>
    </row>
    <row r="29" spans="3:6" x14ac:dyDescent="0.15">
      <c r="C29" s="125" t="str">
        <f>Questions!T18</f>
        <v>Business Continuity Plan</v>
      </c>
      <c r="D29" s="126">
        <f>Questions!X18</f>
        <v>250</v>
      </c>
      <c r="E29" s="126">
        <f>Questions!W18</f>
        <v>60</v>
      </c>
      <c r="F29" s="127">
        <f>Questions!Y18</f>
        <v>0.24</v>
      </c>
    </row>
    <row r="30" spans="3:6" x14ac:dyDescent="0.15">
      <c r="C30" s="125" t="str">
        <f>Questions!T19</f>
        <v>Disaster Recovery Plan</v>
      </c>
      <c r="D30" s="126">
        <f>Questions!X19</f>
        <v>270</v>
      </c>
      <c r="E30" s="126">
        <f>Questions!W19</f>
        <v>225</v>
      </c>
      <c r="F30" s="127">
        <f>Questions!Y19</f>
        <v>0.83333333333333337</v>
      </c>
    </row>
    <row r="31" spans="3:6" x14ac:dyDescent="0.15">
      <c r="C31" s="125" t="str">
        <f>Questions!T20</f>
        <v/>
      </c>
      <c r="D31" s="126" t="str">
        <f>Questions!X20</f>
        <v/>
      </c>
      <c r="E31" s="126" t="str">
        <f>Questions!W20</f>
        <v/>
      </c>
      <c r="F31" s="127" t="str">
        <f>Questions!Y20</f>
        <v/>
      </c>
    </row>
    <row r="32" spans="3:6" x14ac:dyDescent="0.15">
      <c r="C32" s="125" t="str">
        <f>Questions!T21</f>
        <v/>
      </c>
      <c r="D32" s="126" t="str">
        <f>Questions!X21</f>
        <v/>
      </c>
      <c r="E32" s="126" t="str">
        <f>Questions!W21</f>
        <v/>
      </c>
      <c r="F32" s="127"/>
    </row>
    <row r="33" spans="1:8" s="20" customFormat="1" ht="36" customHeight="1" x14ac:dyDescent="0.2">
      <c r="C33" s="129" t="s">
        <v>2102</v>
      </c>
      <c r="D33" s="129" t="str">
        <f>Questions!X23</f>
        <v>D</v>
      </c>
      <c r="E33" s="130">
        <f>Questions!Y23</f>
        <v>2690</v>
      </c>
      <c r="F33" s="131">
        <f>Questions!W23</f>
        <v>0.63768369741528852</v>
      </c>
    </row>
    <row r="36" spans="1:8" s="118" customFormat="1" ht="36" customHeight="1" x14ac:dyDescent="0.2">
      <c r="A36" s="281" t="s">
        <v>2063</v>
      </c>
      <c r="B36" s="281"/>
      <c r="C36" s="281"/>
      <c r="D36" s="281"/>
      <c r="E36" s="281"/>
      <c r="F36" s="281"/>
      <c r="G36" s="281"/>
    </row>
    <row r="37" spans="1:8" s="107" customFormat="1" ht="36" customHeight="1" x14ac:dyDescent="0.2">
      <c r="A37" s="110" t="s">
        <v>2025</v>
      </c>
      <c r="B37" s="283" t="s">
        <v>2026</v>
      </c>
      <c r="C37" s="283"/>
      <c r="D37" s="283" t="s">
        <v>2064</v>
      </c>
      <c r="E37" s="283"/>
      <c r="F37" s="283"/>
      <c r="G37" s="110" t="s">
        <v>2065</v>
      </c>
    </row>
    <row r="38" spans="1:8" ht="48" customHeight="1" x14ac:dyDescent="0.2">
      <c r="A38" t="str">
        <f>'HECVAT - Full'!A39</f>
        <v>COMP-01</v>
      </c>
      <c r="B38" s="279" t="str">
        <f>'HECVAT - Full'!B39</f>
        <v>Describe your organization’s business background and ownership structure, including all parent and subsidiary relationships.</v>
      </c>
      <c r="C38" s="279"/>
      <c r="D38" s="280" t="str">
        <f>'HECVAT - Full'!C39</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E38" s="280"/>
      <c r="F38" s="280"/>
      <c r="H38" s="119" t="str">
        <f t="shared" ref="H38:H40" si="0">IF(G38="","Please rate the vendor's answer","")</f>
        <v>Please rate the vendor's answer</v>
      </c>
    </row>
    <row r="39" spans="1:8" ht="48" customHeight="1" x14ac:dyDescent="0.2">
      <c r="A39" t="str">
        <f>'HECVAT - Full'!A40</f>
        <v>COMP-02</v>
      </c>
      <c r="B39" s="279" t="str">
        <f>'HECVAT - Full'!B40</f>
        <v>Describe how long your organization has conducted business in this product area.</v>
      </c>
      <c r="C39" s="279"/>
      <c r="D39" s="280" t="str">
        <f>'HECVAT - Full'!C40</f>
        <v xml:space="preserve">Portfolium was founded in 2014 and has been conducting business in this area and with this product since then.
</v>
      </c>
      <c r="E39" s="280"/>
      <c r="F39" s="280"/>
      <c r="H39" s="119" t="str">
        <f t="shared" si="0"/>
        <v>Please rate the vendor's answer</v>
      </c>
    </row>
    <row r="40" spans="1:8" ht="48" customHeight="1" x14ac:dyDescent="0.2">
      <c r="A40" t="str">
        <f>'HECVAT - Full'!A45</f>
        <v>COMP-07</v>
      </c>
      <c r="B40" s="279" t="str">
        <f>'HECVAT - Full'!B45</f>
        <v>Use this area to share information about your environment that will assist those who are assessing your company data security program.</v>
      </c>
      <c r="C40" s="279"/>
      <c r="D40" s="280" t="str">
        <f>'HECVAT - Full'!C45</f>
        <v xml:space="preserve">The Amazon Web Services infrastructure on which Portfolium is hosted has a variety of formal accreditations. Some of the many certifications include:
    • DoD SRG
    • FIPS
    • IRAP
    • ISO 9001
    • ISO 27001
    • ISO 27017
    • ISO 27018
    • MLPS Level 3
    • MTCS
    • PCI DSS Level 1
    • SEC Rule 17-a-4(f)
    • SOC 1
    • SOC 2
    • SOC 3
This list is not comprehensive. For additional information about AWS security certifications and standards compliance, please refer to http://aws.amazon.com/security and http://aws.amazon.com/compliance/.
</v>
      </c>
      <c r="E40" s="280"/>
      <c r="F40" s="280"/>
      <c r="H40" s="119" t="str">
        <f t="shared" si="0"/>
        <v>Please rate the vendor's answer</v>
      </c>
    </row>
    <row r="41" spans="1:8" ht="48" customHeight="1" x14ac:dyDescent="0.2">
      <c r="A41" t="str">
        <f>'HECVAT - Full'!A68</f>
        <v>APPL-07</v>
      </c>
      <c r="B41" s="279" t="str">
        <f>'HECVAT - Full'!B68</f>
        <v>What operating system(s) is/are leveraged by the system(s)/application(s) that will have access to institution's data?</v>
      </c>
      <c r="C41" s="279"/>
      <c r="D41" s="280" t="str">
        <f>'HECVAT - Full'!C68</f>
        <v xml:space="preserve">Portfolium utilizes the Debian-based Linux operating system on all servers which make up the Portfolium platform. Instructure employees use various operating systems, including Mac OS, Windows, and Linux, to support and service the application. Employee devices are managed through an MDM platform.
</v>
      </c>
      <c r="E41" s="280"/>
      <c r="F41" s="280"/>
      <c r="H41" s="119" t="str">
        <f t="shared" ref="H41:H65" si="1">IF(G41="","Please rate the vendor's answer","")</f>
        <v>Please rate the vendor's answer</v>
      </c>
    </row>
    <row r="42" spans="1:8" ht="48" customHeight="1" x14ac:dyDescent="0.2">
      <c r="A42" t="str">
        <f>'HECVAT - Full'!A70</f>
        <v>APPL-09</v>
      </c>
      <c r="B42" s="279" t="str">
        <f>'HECVAT - Full'!B70</f>
        <v xml:space="preserve">Describe or provide a reference to additional software/products necessary to implement a functional system on either the backend or user-interface side of the system. </v>
      </c>
      <c r="C42" s="279"/>
      <c r="D42" s="280" t="str">
        <f>'HECVAT - Full'!C70</f>
        <v xml:space="preserve">Portfolium does not require any additional products to support the core software functionality. Portfolium is a Software-as-a-Service and therefore its only requirements are an internet connection and a browser-enabled computer or mobile device.
</v>
      </c>
      <c r="E42" s="280"/>
      <c r="F42" s="280"/>
      <c r="H42" s="119" t="str">
        <f t="shared" si="1"/>
        <v>Please rate the vendor's answer</v>
      </c>
    </row>
    <row r="43" spans="1:8" ht="48" customHeight="1" x14ac:dyDescent="0.2">
      <c r="A43" t="str">
        <f>'HECVAT - Full'!A71</f>
        <v>APPL-10</v>
      </c>
      <c r="B43" s="279" t="str">
        <f>'HECVAT - Full'!B71</f>
        <v xml:space="preserve">Describe or provide a reference to the overall system and/or application architecture(s), including appropriate diagrams. Include a full description of the data communications architecture for all components of the system. </v>
      </c>
      <c r="C43" s="279"/>
      <c r="D43" s="280" t="str">
        <f>'HECVAT - Full'!C71</f>
        <v xml:space="preserve">Data Storage with Amazon S3
Portfolium utilizes Amazon S3 (Simple Storage Service) to store user-uploaded artifacts (documents, images, etc.). Amazon S3 provides a highly durable storage infrastructure designed for mission-critical and primary data storage. Objects are redundantly stored on multiple devices across multiple facilities in an Amazon S3 region. 
Amazon S3 also regularly verifies the integrity of data stored using checksums. If Amazon S3 detects data corruption, it is repaired using redundant data. In addition, Amazon S3 calculates checksums on all network traffic to detect corruption of data packets when storing or retrieving data.
Amazon S3's standard storage is:
    • Backed with the Amazon S3 Service Level Agreement
    • Designed to provide 99.999999999% durability and 99.99% availability of objects over a given year
    • Designed to sustain the concurrent loss of data in two facilities
Physical and Network Security
The physical security is handled at the AWS data centers by their security teams.
Our virtual security is handled by AWS VPC (virtual private cloud). There are policies that lock everything down from networking ports to IP access. Only port 80 is open on the web servers, and only 22 is open on our gateway SSH servers.
For software security, we implement the latest web security practices such as CSRF protected form posts, one-way salted &amp; hashed password storage, database escaping policies, XSS output protection, etc. This covers our servers and database.
Additional information is found at https://portfolium.com/security
</v>
      </c>
      <c r="E43" s="280"/>
      <c r="F43" s="280"/>
      <c r="H43" s="119" t="str">
        <f t="shared" si="1"/>
        <v>Please rate the vendor's answer</v>
      </c>
    </row>
    <row r="44" spans="1:8" ht="48" customHeight="1" x14ac:dyDescent="0.2">
      <c r="A44" t="str">
        <f>'HECVAT - Full'!A73</f>
        <v>APPL-12</v>
      </c>
      <c r="B44" s="279" t="str">
        <f>'HECVAT - Full'!B73</f>
        <v xml:space="preserve">Describe or provide a reference to all web-enabled features and functionality of the system (i.e. accessed via a web-based interface). </v>
      </c>
      <c r="C44" s="279"/>
      <c r="D44" s="280" t="str">
        <f>'HECVAT - Full'!C73</f>
        <v xml:space="preserve">Documentation for the product can be found here: https://help.portfolium.com
</v>
      </c>
      <c r="E44" s="280"/>
      <c r="F44" s="280"/>
      <c r="H44" s="119" t="str">
        <f t="shared" si="1"/>
        <v>Please rate the vendor's answer</v>
      </c>
    </row>
    <row r="45" spans="1:8" ht="48" customHeight="1" x14ac:dyDescent="0.2">
      <c r="A45" t="str">
        <f>'HECVAT - Full'!A74</f>
        <v>APPL-13</v>
      </c>
      <c r="B45" s="279" t="str">
        <f>'HECVAT - Full'!B74</f>
        <v>Are there any OS and/or web-browser combinations that are not currently supported?</v>
      </c>
      <c r="C45" s="279"/>
      <c r="D45" s="280" t="str">
        <f>'HECVAT - Full'!C74</f>
        <v>Yes</v>
      </c>
      <c r="E45" s="280"/>
      <c r="F45" s="280"/>
      <c r="H45" s="119" t="str">
        <f t="shared" si="1"/>
        <v>Please rate the vendor's answer</v>
      </c>
    </row>
    <row r="46" spans="1:8" ht="48" customHeight="1" x14ac:dyDescent="0.2">
      <c r="A46" t="str">
        <f>'HECVAT - Full'!A76</f>
        <v>APPL-15</v>
      </c>
      <c r="B46" s="279" t="str">
        <f>'HECVAT - Full'!B76</f>
        <v>Describe or provide a reference to the facilities available in the system to provide separation of duties between security administration and system administration functions.</v>
      </c>
      <c r="C46" s="279"/>
      <c r="D46" s="280" t="str">
        <f>'HECVAT - Full'!C76</f>
        <v xml:space="preserve">Within Portfolium, users are granted access and permissions based on core roles.
</v>
      </c>
      <c r="E46" s="280"/>
      <c r="F46" s="280"/>
      <c r="H46" s="119" t="str">
        <f t="shared" si="1"/>
        <v>Please rate the vendor's answer</v>
      </c>
    </row>
    <row r="47" spans="1:8" ht="48" customHeight="1" x14ac:dyDescent="0.2">
      <c r="A47" t="str">
        <f>'HECVAT - Full'!A77</f>
        <v>APPL-16</v>
      </c>
      <c r="B47" s="279" t="str">
        <f>'HECVAT - Full'!B77</f>
        <v>Describe or provide a reference that details how administrator access is handled (e.g. provisioning, principle of least privilege, deprovisioning, etc.)</v>
      </c>
      <c r="C47" s="279"/>
      <c r="D47" s="280" t="str">
        <f>'HECVAT - Full'!C77</f>
        <v xml:space="preserve">Portfolium uses RBAC to manage access. Initially, administrators are provisioned and assigned permissions during implementation. Provisioning of additional administrators is performed by each client either programmatically through the API, through integration with a system of record (such as student information system), or manually through the UI. 
Regarding Instructure's internal operations and system management, Instructure uses a multiple approval system for granting access to employees. First, the manager of the employee requesting access must fill out a ticket requesting detailed level of access to the system and specifying which parts, functions, and features are to be accessible by the employee. Clear, valid, and necessary business justification must be provided for the user in question.
The completed access request ticket is then reviewed by the direct manager of the requester. If management approves, the request ticket is routed to the Operations team for final approval. If all parties approve the employee’s access, the Operations team grants access as requested in the ticket. Per the employee exit policy, user accounts are deleted upon termination of employment.
</v>
      </c>
      <c r="E47" s="280"/>
      <c r="F47" s="280"/>
      <c r="H47" s="119" t="str">
        <f t="shared" si="1"/>
        <v>Please rate the vendor's answer</v>
      </c>
    </row>
    <row r="48" spans="1:8" ht="48" customHeight="1" x14ac:dyDescent="0.2">
      <c r="A48" t="str">
        <f>'HECVAT - Full'!A78</f>
        <v>APPL-17</v>
      </c>
      <c r="B48" s="279" t="str">
        <f>'HECVAT - Full'!B78</f>
        <v>Describe or provide references explaining how tertiary services are redundant (i.e. DNS, ISP, etc.).</v>
      </c>
      <c r="C48" s="279"/>
      <c r="D48" s="280" t="str">
        <f>'HECVAT - Full'!C78</f>
        <v xml:space="preserve">In accordance with ISO 27001 standards, Amazon Web Services provides an array of redundancy for all systems including fire suppression, cooling, electrical, multiple ISP providers, multiple DNS providers, etc.
For more information on AWS' security practices, please see AWS' security white paper at http://d0.awsstatic.com/whitepapers/Security/AWS%20Security%20Whitepaper.pdf.
</v>
      </c>
      <c r="E48" s="280"/>
      <c r="F48" s="280"/>
      <c r="H48" s="119" t="str">
        <f t="shared" si="1"/>
        <v>Please rate the vendor's answer</v>
      </c>
    </row>
    <row r="49" spans="1:8" ht="48" customHeight="1" x14ac:dyDescent="0.2">
      <c r="A49" t="str">
        <f>'HECVAT - Full'!A95</f>
        <v>AAAI-16</v>
      </c>
      <c r="B49" s="279" t="str">
        <f>'HECVAT - Full'!B95</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49" s="279"/>
      <c r="D49" s="280" t="str">
        <f>'HECVAT - Full'!C95</f>
        <v xml:space="preserve">Portfolium uses a multiple approval system for granting access to  employees. The manager of the employee requesting access must fill out a ticket requesting detailed level of access to the system and specifying which parts, functions, and features are to be accessible by the  employee. Clear, valid, and necessary business justification must be provided for the user in question. Other approvals are included as necessary and based on the access being requested. If all parties approve the employee’s access, the respective technology team grants access as requested in the ticket. User accounts are deleted upon termination of employment. On a quarterly basis, user accounts are reviewed for appropriateness, making changes to access where required.
</v>
      </c>
      <c r="E49" s="280"/>
      <c r="F49" s="280"/>
      <c r="H49" s="119" t="str">
        <f t="shared" si="1"/>
        <v>Please rate the vendor's answer</v>
      </c>
    </row>
    <row r="50" spans="1:8" ht="48" customHeight="1" x14ac:dyDescent="0.2">
      <c r="A50" t="str">
        <f>'HECVAT - Full'!A112</f>
        <v>CHNG-02</v>
      </c>
      <c r="B50" s="279" t="str">
        <f>'HECVAT - Full'!B112</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C50" s="279"/>
      <c r="D50" s="280" t="str">
        <f>'HECVAT - Full'!C112</f>
        <v xml:space="preserve">After the developers finish their work which is based off our development playbook, the code is then peer-reviewed, then following a product management acceptance phase. Once accepted - the code is run through our CI/CD pipeline for testing and analyzation. Then finally, ran through our Quality assurance team, and once verified, released to production.
</v>
      </c>
      <c r="E50" s="280"/>
      <c r="F50" s="280"/>
      <c r="H50" s="119" t="str">
        <f t="shared" si="1"/>
        <v>Please rate the vendor's answer</v>
      </c>
    </row>
    <row r="51" spans="1:8" ht="48" customHeight="1" x14ac:dyDescent="0.2">
      <c r="A51" t="str">
        <f>'HECVAT - Full'!A115</f>
        <v>CHNG-05</v>
      </c>
      <c r="B51" s="279" t="str">
        <f>'HECVAT - Full'!B115</f>
        <v>Describe or provide a reference to your solution support strategy in relation to maintaining software currency. (i.e. how many concurrent versions are you willing to run and support?)</v>
      </c>
      <c r="C51" s="279"/>
      <c r="D51" s="280" t="str">
        <f>'HECVAT - Full'!C115</f>
        <v xml:space="preserve">Because of Portfolium's hosted nature, all clients are on the same versionless distribution of the software which is updated regularly.  
</v>
      </c>
      <c r="E51" s="280"/>
      <c r="F51" s="280"/>
      <c r="H51" s="119" t="str">
        <f t="shared" si="1"/>
        <v>Please rate the vendor's answer</v>
      </c>
    </row>
    <row r="52" spans="1:8" ht="48" customHeight="1" x14ac:dyDescent="0.2">
      <c r="A52" t="str">
        <f>'HECVAT - Full'!A116</f>
        <v>CHNG-06</v>
      </c>
      <c r="B52" s="279" t="str">
        <f>'HECVAT - Full'!B116</f>
        <v>Identify the most current version of the software. Detail the percentage of live customers that are utilizing the proposed version of the software as well as each version of the software currently in use.</v>
      </c>
      <c r="C52" s="279"/>
      <c r="D52" s="280" t="str">
        <f>'HECVAT - Full'!C116</f>
        <v xml:space="preserve">As mentioned in CHNG-05, Portfolioum is a versionless platform which in use by 100% of Portfolium's clients.
</v>
      </c>
      <c r="E52" s="280"/>
      <c r="F52" s="280"/>
      <c r="H52" s="119" t="str">
        <f t="shared" si="1"/>
        <v>Please rate the vendor's answer</v>
      </c>
    </row>
    <row r="53" spans="1:8" ht="48" customHeight="1" x14ac:dyDescent="0.2">
      <c r="A53" t="str">
        <f>'HECVAT - Full'!A117</f>
        <v>CHNG-07</v>
      </c>
      <c r="B53" s="279" t="str">
        <f>'HECVAT - Full'!B117</f>
        <v>Does the system support client customizations from one release to another?</v>
      </c>
      <c r="C53" s="279"/>
      <c r="D53" s="280" t="str">
        <f>'HECVAT - Full'!C117</f>
        <v>Yes</v>
      </c>
      <c r="E53" s="280"/>
      <c r="F53" s="280"/>
      <c r="H53" s="119" t="str">
        <f t="shared" si="1"/>
        <v>Please rate the vendor's answer</v>
      </c>
    </row>
    <row r="54" spans="1:8" ht="48" customHeight="1" x14ac:dyDescent="0.2">
      <c r="A54" t="str">
        <f>'HECVAT - Full'!A133</f>
        <v>DATA-07</v>
      </c>
      <c r="B54" s="279" t="str">
        <f>'HECVAT - Full'!B133</f>
        <v>List all locations (i.e. city + datacenter name) where the institution's data will be stored?</v>
      </c>
      <c r="C54" s="279"/>
      <c r="D54" s="280" t="str">
        <f>'HECVAT - Full'!C133</f>
        <v xml:space="preserve">Portfolium is hosted within the AWS East region located in an undisclosed part of Northern Virginia.
</v>
      </c>
      <c r="E54" s="280"/>
      <c r="F54" s="280"/>
      <c r="H54" s="119" t="str">
        <f t="shared" si="1"/>
        <v>Please rate the vendor's answer</v>
      </c>
    </row>
    <row r="55" spans="1:8" ht="48" customHeight="1" x14ac:dyDescent="0.2">
      <c r="A55" t="str">
        <f>'HECVAT - Full'!A140</f>
        <v>DATA-14</v>
      </c>
      <c r="B55" s="279" t="str">
        <f>'HECVAT - Full'!B140</f>
        <v xml:space="preserve">Describe or provide a reference to the backup processes for the servers on which the service and/or data resides. </v>
      </c>
      <c r="C55" s="279"/>
      <c r="D55" s="280" t="str">
        <f>'HECVAT - Full'!C140</f>
        <v xml:space="preserve">Portfolium utilizes Amazon Web Services' RDS (Relational Database Service) which performs daily database backups with hourly restore points. 
</v>
      </c>
      <c r="E55" s="280"/>
      <c r="F55" s="280"/>
      <c r="H55" s="119" t="str">
        <f t="shared" si="1"/>
        <v>Please rate the vendor's answer</v>
      </c>
    </row>
    <row r="56" spans="1:8" ht="48" customHeight="1" x14ac:dyDescent="0.2">
      <c r="A56" t="str">
        <f>'HECVAT - Full'!A142</f>
        <v>DATA-16</v>
      </c>
      <c r="B56" s="279" t="str">
        <f>'HECVAT - Full'!B142</f>
        <v>How long are data backups stored?</v>
      </c>
      <c r="C56" s="279"/>
      <c r="D56" s="280" t="str">
        <f>'HECVAT - Full'!C142</f>
        <v xml:space="preserve">Data are backed up daily for 60 days and monthly backups are retained for 12 months.
</v>
      </c>
      <c r="E56" s="280"/>
      <c r="F56" s="280"/>
      <c r="H56" s="119" t="str">
        <f t="shared" si="1"/>
        <v>Please rate the vendor's answer</v>
      </c>
    </row>
    <row r="57" spans="1:8" ht="48" customHeight="1" x14ac:dyDescent="0.2">
      <c r="A57" t="str">
        <f>'HECVAT - Full'!A165</f>
        <v>DCTR-07</v>
      </c>
      <c r="B57" s="279" t="str">
        <f>'HECVAT - Full'!B165</f>
        <v>Select the option that best describes the network segment that servers are connected to.</v>
      </c>
      <c r="C57" s="279"/>
      <c r="D57" s="280" t="str">
        <f>'HECVAT - Full'!C165</f>
        <v>Physically Separate</v>
      </c>
      <c r="E57" s="280"/>
      <c r="F57" s="280"/>
      <c r="H57" s="119" t="str">
        <f t="shared" si="1"/>
        <v>Please rate the vendor's answer</v>
      </c>
    </row>
    <row r="58" spans="1:8" ht="48" customHeight="1" x14ac:dyDescent="0.2">
      <c r="A58" t="str">
        <f>'HECVAT - Full'!A168</f>
        <v>DCTR-10</v>
      </c>
      <c r="B58" s="279" t="str">
        <f>'HECVAT - Full'!B168</f>
        <v xml:space="preserve">List all datacenters and the cities, states (provinces), and countries where the Institution's data will be stored (including within the Institution's Data Zone).   </v>
      </c>
      <c r="C58" s="279"/>
      <c r="D58" s="280">
        <f>'HECVAT - Full'!C168</f>
        <v>0</v>
      </c>
      <c r="E58" s="280"/>
      <c r="F58" s="280"/>
      <c r="H58" s="119" t="str">
        <f t="shared" si="1"/>
        <v>Please rate the vendor's answer</v>
      </c>
    </row>
    <row r="59" spans="1:8" ht="48" customHeight="1" x14ac:dyDescent="0.2">
      <c r="A59" t="str">
        <f>'HECVAT - Full'!A171</f>
        <v>DCTR-13</v>
      </c>
      <c r="B59" s="279" t="str">
        <f>'HECVAT - Full'!B171</f>
        <v>What Tier Level is your data center (per levels defined by the Uptime Institute)?</v>
      </c>
      <c r="C59" s="279"/>
      <c r="D59" s="280" t="str">
        <f>'HECVAT - Full'!C171</f>
        <v>Tier III</v>
      </c>
      <c r="E59" s="280"/>
      <c r="F59" s="280"/>
      <c r="H59" s="119" t="str">
        <f t="shared" si="1"/>
        <v>Please rate the vendor's answer</v>
      </c>
    </row>
    <row r="60" spans="1:8" ht="48" customHeight="1" x14ac:dyDescent="0.2">
      <c r="A60" t="str">
        <f>'HECVAT - Full'!A175</f>
        <v>DCTR-17</v>
      </c>
      <c r="B60" s="279" t="str">
        <f>'HECVAT - Full'!B175</f>
        <v>Describe or provide a reference to the availability of cooling and fire suppression systems in all datacenters where institution data will reside.</v>
      </c>
      <c r="C60" s="279"/>
      <c r="D60" s="280" t="str">
        <f>'HECVAT - Full'!C175</f>
        <v xml:space="preserve">Per AWS Security Processes documentation: "Automatic fire detection and suppression equipment has been installed to reduce risk. The fire detection system utilizes smoke detection sensors in all data center environments, mechanical and electrical infrastructure spaces, chiller rooms and generator equipment rooms. These areas are protected by either wet-pipe, double-interlocked pre-action, or gaseous sprinkler systems... Climate control is required to maintain a constant operating temperature for servers and other hardware, which prevents overheating and reduces the possibility of service outages. Data centers are conditioned to maintain atmospheric conditions at optimal levels. Personnel and systems monitor and control temperature and humidity at appropriate levels."
</v>
      </c>
      <c r="E60" s="280"/>
      <c r="F60" s="280"/>
      <c r="H60" s="119" t="str">
        <f t="shared" si="1"/>
        <v>Please rate the vendor's answer</v>
      </c>
    </row>
    <row r="61" spans="1:8" ht="48" customHeight="1" x14ac:dyDescent="0.2">
      <c r="A61" t="str">
        <f>'HECVAT - Full'!A176</f>
        <v>DCTR-18</v>
      </c>
      <c r="B61" s="279" t="str">
        <f>'HECVAT - Full'!B176</f>
        <v xml:space="preserve">State how many Internet Service Providers (ISPs) provide connectivity to each datacenter where the institution's data will reside. </v>
      </c>
      <c r="C61" s="279"/>
      <c r="D61" s="280" t="str">
        <f>'HECVAT - Full'!C176</f>
        <v xml:space="preserve">Amazon has multiple providers to each availability zone and each availability zone (roughly analogous to a datacenter) has multiple internet connections from tier one backbone providers. Amazon does not disclose the exact number of providers; however, their services are independently assessed and certified to ensure compliance with ISO standards.
</v>
      </c>
      <c r="E61" s="280"/>
      <c r="F61" s="280"/>
      <c r="H61" s="119" t="str">
        <f t="shared" si="1"/>
        <v>Please rate the vendor's answer</v>
      </c>
    </row>
    <row r="62" spans="1:8" ht="48" customHeight="1" x14ac:dyDescent="0.2">
      <c r="A62" t="str">
        <f>'HECVAT - Full'!A195</f>
        <v>FIDP-03</v>
      </c>
      <c r="B62" s="279" t="str">
        <f>'HECVAT - Full'!B195</f>
        <v>State and describe who has the authority to change firewall rules?</v>
      </c>
      <c r="C62" s="279"/>
      <c r="D62" s="280" t="str">
        <f>'HECVAT - Full'!C195</f>
        <v xml:space="preserve">Only authorized members of Operations with justifiable business need have access to the VPC and can adjust firewall rules. Access to the VPC is only granted via SSH Tunneling based on their SSH keys into our gateway server (that lives in the production VPC.
</v>
      </c>
      <c r="E62" s="280"/>
      <c r="F62" s="280"/>
      <c r="H62" s="119" t="str">
        <f t="shared" si="1"/>
        <v>Please rate the vendor's answer</v>
      </c>
    </row>
    <row r="63" spans="1:8" ht="48" customHeight="1" x14ac:dyDescent="0.2">
      <c r="A63" t="str">
        <f>'HECVAT - Full'!A203</f>
        <v>FIDP-11</v>
      </c>
      <c r="B63" s="279" t="str">
        <f>'HECVAT - Full'!B203</f>
        <v>Is intrusion monitoring performed internally or by a third-party service?</v>
      </c>
      <c r="C63" s="279"/>
      <c r="D63" s="280" t="str">
        <f>'HECVAT - Full'!C203</f>
        <v xml:space="preserve">Network layer monitoring is provided by AWS. Software layer monitoring is provided by Portfolium. Public intrusion monitoring is performed via CloudFlare.
</v>
      </c>
      <c r="E63" s="280"/>
      <c r="F63" s="280"/>
      <c r="H63" s="119" t="str">
        <f t="shared" si="1"/>
        <v>Please rate the vendor's answer</v>
      </c>
    </row>
    <row r="64" spans="1:8" ht="48" customHeight="1" x14ac:dyDescent="0.2">
      <c r="A64" t="str">
        <f>'HECVAT - Full'!A248</f>
        <v>QLAS-01</v>
      </c>
      <c r="B64" s="280" t="str">
        <f>'HECVAT - Full'!B248</f>
        <v>Provide a general summary of your Quality Assurance program.</v>
      </c>
      <c r="C64" s="280"/>
      <c r="D64" s="280" t="str">
        <f>'HECVAT - Full'!C248</f>
        <v xml:space="preserve">Portfolium applies an Agile methodology with an integrated Quality Assurance (QA) process to the design, development, and maintenance of Canvas. Engineers write automated unit and integration tests to cover all new code that is written. In addition, all code changes are run through the full Portfolium QA test suite before they can be accepted into the main product. Code changes are closely reviewed and must be peer-approved by other engineering team members before inclusion in the upgrade/update package.
</v>
      </c>
      <c r="E64" s="280"/>
      <c r="F64" s="280"/>
      <c r="H64" s="119" t="str">
        <f t="shared" si="1"/>
        <v>Please rate the vendor's answer</v>
      </c>
    </row>
    <row r="65" spans="1:8" ht="48" customHeight="1" x14ac:dyDescent="0.2">
      <c r="A65" t="str">
        <f>'HECVAT - Full'!A264</f>
        <v>VULN-06</v>
      </c>
      <c r="B65" s="280" t="str">
        <f>'HECVAT - Full'!B264</f>
        <v>Describe or provide a reference to the tool(s) used to scan for vulnerabilities in your applications and systems.</v>
      </c>
      <c r="C65" s="280"/>
      <c r="D65" s="280" t="str">
        <f>'HECVAT - Full'!C264</f>
        <v xml:space="preserve">Portfolium leverages cobalt.io to perform annual external vulnerability scanning and penetration testing. 
</v>
      </c>
      <c r="E65" s="280"/>
      <c r="F65" s="280"/>
      <c r="H65" s="119" t="str">
        <f t="shared" si="1"/>
        <v>Please rate the vendor's answer</v>
      </c>
    </row>
    <row r="66" spans="1:8" ht="48" customHeight="1" x14ac:dyDescent="0.2">
      <c r="A66" t="str">
        <f>'HECVAT - Full'!A266</f>
        <v>VULN-08</v>
      </c>
      <c r="B66" s="280" t="str">
        <f>'HECVAT - Full'!B266</f>
        <v>Describe or provide a reference to how you monitor for and protect against common web application security vulnerabilities (e.g. SQL injection, XSS, XSRF, etc.).</v>
      </c>
      <c r="C66" s="280"/>
      <c r="D66" s="280" t="str">
        <f>'HECVAT - Full'!C266</f>
        <v xml:space="preserve">Portfolium uses Cloudflare, built-in web app framework securities, standard and best coding practices, and third-party audits to ensure protection against vulnerabilities. 
</v>
      </c>
      <c r="E66" s="280"/>
      <c r="F66" s="280"/>
      <c r="H66" s="119" t="str">
        <f>IF(G66="","Please rate the vendor's answer","")</f>
        <v>Please rate the vendor's answer</v>
      </c>
    </row>
    <row r="67" spans="1:8" ht="48" customHeight="1" x14ac:dyDescent="0.2">
      <c r="A67" s="120" t="s">
        <v>2094</v>
      </c>
      <c r="B67" s="121" t="str">
        <f>'HECVAT - Full'!C24</f>
        <v>No</v>
      </c>
      <c r="C67" s="122"/>
      <c r="D67" s="122"/>
      <c r="E67" s="122"/>
      <c r="F67" s="122"/>
      <c r="G67" s="120" t="s">
        <v>2065</v>
      </c>
    </row>
    <row r="68" spans="1:8" ht="48" customHeight="1" x14ac:dyDescent="0.2">
      <c r="A68" t="str">
        <f>'HECVAT - Full'!A291</f>
        <v>HIPA-23</v>
      </c>
      <c r="B68" s="280" t="str">
        <f>'HECVAT - Full'!B291</f>
        <v>How long does the application keep access/change logs?</v>
      </c>
      <c r="C68" s="280"/>
      <c r="D68" s="280">
        <f>'HECVAT - Full'!C291</f>
        <v>0</v>
      </c>
      <c r="E68" s="280"/>
      <c r="F68" s="280"/>
      <c r="H68" s="119" t="str">
        <f>IF(G68="",IF(B67=1,"Please rate the vendor's answer",""),"")</f>
        <v/>
      </c>
    </row>
    <row r="69" spans="1:8" ht="48" customHeight="1" x14ac:dyDescent="0.2">
      <c r="A69" s="120" t="s">
        <v>2090</v>
      </c>
      <c r="B69" s="120" t="str">
        <f>'HECVAT - Full'!C25</f>
        <v>Yes</v>
      </c>
      <c r="C69" s="120"/>
      <c r="D69" s="122"/>
      <c r="E69" s="122"/>
      <c r="F69" s="122"/>
      <c r="G69" s="120" t="s">
        <v>2065</v>
      </c>
    </row>
    <row r="70" spans="1:8" ht="48" customHeight="1" x14ac:dyDescent="0.2">
      <c r="A70" t="str">
        <f>'HECVAT - Full'!A206</f>
        <v>MAPP-01</v>
      </c>
      <c r="B70" s="279" t="str">
        <f>'HECVAT - Full'!B206</f>
        <v>On which mobile operating systems is your software or service supported?</v>
      </c>
      <c r="C70" s="279"/>
      <c r="D70" s="280" t="str">
        <f>'HECVAT - Full'!C206</f>
        <v xml:space="preserve">Any OS that is capable of running a supported browser can be used.
</v>
      </c>
      <c r="E70" s="280"/>
      <c r="F70" s="280"/>
      <c r="H70" s="119" t="str">
        <f t="shared" ref="H70:H71" si="2">IF(G70="",IF(B$69=1,"Please rate the vendor's answer",""),"")</f>
        <v/>
      </c>
    </row>
    <row r="71" spans="1:8" ht="48" customHeight="1" x14ac:dyDescent="0.2">
      <c r="A71" t="str">
        <f>'HECVAT - Full'!A207</f>
        <v>MAPP-02</v>
      </c>
      <c r="B71" s="279" t="str">
        <f>'HECVAT - Full'!B207</f>
        <v>Describe or provide a reference to the application's architecture and functionality.</v>
      </c>
      <c r="C71" s="279"/>
      <c r="D71" s="280" t="str">
        <f>'HECVAT - Full'!C207</f>
        <v xml:space="preserve">Portfolium provides a fully mobile-responsive website and a native iOS app. The Portolium iOS app allows you access to its features from the web, including: capturing and uploading work and projects in an organized portfolio; connecting with like-minded doers, thinkers, and employers looking for great talent; browsing and discovering the work and projects of others across all fields of study; sending private invitations to family, friends and classmates to be instantly connected; and searching the network of connections to view their showcased work.﻿
</v>
      </c>
      <c r="E71" s="280"/>
      <c r="F71" s="280"/>
      <c r="H71" s="119" t="str">
        <f t="shared" si="2"/>
        <v/>
      </c>
    </row>
    <row r="72" spans="1:8" ht="48" customHeight="1" x14ac:dyDescent="0.2">
      <c r="A72" t="str">
        <f>'HECVAT - Full'!A213</f>
        <v>MAPP-08</v>
      </c>
      <c r="B72" s="279" t="str">
        <f>'HECVAT - Full'!B213</f>
        <v>Will any of these systems be implemented on systems hosting the Institution's data?</v>
      </c>
      <c r="C72" s="279"/>
      <c r="D72" s="280" t="str">
        <f>'HECVAT - Full'!C213</f>
        <v>No</v>
      </c>
      <c r="E72" s="280"/>
      <c r="F72" s="280"/>
      <c r="H72" s="119"/>
    </row>
    <row r="73" spans="1:8" ht="48" customHeight="1" x14ac:dyDescent="0.2">
      <c r="A73" t="str">
        <f>'HECVAT - Full'!A216</f>
        <v>MAPP-11</v>
      </c>
      <c r="B73" s="279" t="str">
        <f>'HECVAT - Full'!B216</f>
        <v>State the party that performed the vulnerability test and the date it was conducted?</v>
      </c>
      <c r="C73" s="279"/>
      <c r="D73" s="280" t="str">
        <f>'HECVAT - Full'!C216</f>
        <v xml:space="preserve">The most recent penetration test was performed by cobalt.io in June of 2019.
</v>
      </c>
      <c r="E73" s="280"/>
      <c r="F73" s="280"/>
      <c r="H73" s="119" t="str">
        <f>IF(G73="",IF(B$69=1,"Please rate the vendor's answer",""),"")</f>
        <v/>
      </c>
    </row>
    <row r="74" spans="1:8" ht="48" customHeight="1" x14ac:dyDescent="0.2">
      <c r="A74" s="120" t="s">
        <v>2091</v>
      </c>
      <c r="B74" s="120" t="str">
        <f>'HECVAT - Full'!C26</f>
        <v>Yes</v>
      </c>
      <c r="C74" s="120"/>
      <c r="D74" s="122"/>
      <c r="E74" s="122"/>
      <c r="F74" s="122"/>
      <c r="G74" s="120" t="s">
        <v>2065</v>
      </c>
    </row>
    <row r="75" spans="1:8" ht="48" customHeight="1" x14ac:dyDescent="0.2">
      <c r="A75" t="str">
        <f>'HECVAT - Full'!A47</f>
        <v>THRD-01</v>
      </c>
      <c r="B75" s="279" t="str">
        <f>'HECVAT - Full'!B47</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C75" s="279"/>
      <c r="D75" s="280" t="str">
        <f>'HECVAT - Full'!C47</f>
        <v xml:space="preserve">Instructure has a robust third party due diligence process for each of its sub-contractors. Prior to using sub-contractors (or any software supporting Portfolium and handling customer data by sub-contractors) and, on an annual basis thereafter, Instructure’s security team performs a security review of these vendors. Included as part of this review, the security team requests a copy of each sub-contractor’s SOC2 Type 2 report. If any exceptions or other issues are noted in these reports, the security team follows up with the sub-contractor as necessary to determine scope and impact of the failure. If a SOC2 Type 2 report is not available for these sub-contractors, the security team provides the sub-contractor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each sub-contractor to help ensure security practices are in place and operating effectively. 
</v>
      </c>
      <c r="E75" s="280"/>
      <c r="F75" s="280"/>
      <c r="H75" s="119" t="str">
        <f t="shared" ref="H75" si="3">IF(G75="",IF(B$74=1,"Please rate the vendor's answer",""),"")</f>
        <v/>
      </c>
    </row>
    <row r="76" spans="1:8" ht="48" customHeight="1" x14ac:dyDescent="0.2">
      <c r="A76" t="str">
        <f>'HECVAT - Full'!A48</f>
        <v>THRD-02</v>
      </c>
      <c r="B76" s="279" t="str">
        <f>'HECVAT - Full'!B48</f>
        <v>Provide a brief description for why each of these third parties will have access to institution data.</v>
      </c>
      <c r="C76" s="279"/>
      <c r="D76" s="280" t="str">
        <f>'HECVAT - Full'!C48</f>
        <v xml:space="preserve">If we send data outside of the core system, it's to provide the service and support to the end users and to support the business.
1. Amazon Web Services: Provides infrastructure as a Service (IaaS) products, which include but are not limited to virtualized servers, storage and networking.
2. Google Analytics: Used for anonymized application usage analytics and product improvement.
3. see others in diagram below
</v>
      </c>
      <c r="E76" s="280"/>
      <c r="F76" s="280"/>
      <c r="H76" s="119" t="str">
        <f>IF(G76="",IF(B$74=1,"Please rate the vendor's answer",""),"")</f>
        <v/>
      </c>
    </row>
    <row r="77" spans="1:8" ht="48" customHeight="1" x14ac:dyDescent="0.2">
      <c r="A77" t="str">
        <f>'HECVAT - Full'!A49</f>
        <v>THRD-03</v>
      </c>
      <c r="B77" s="279" t="str">
        <f>'HECVAT - Full'!B49</f>
        <v>What legal agreements (i.e. contracts) do you have in place with these third parties that address liability in the event of a data breach?</v>
      </c>
      <c r="C77" s="279"/>
      <c r="D77" s="280" t="str">
        <f>'HECVAT - Full'!C49</f>
        <v xml:space="preserve">Instructure takes full responsibility for sub contractors it may engage to provide cloud-related infrastructure elements. Instructure engages these third parties by entering into contractual agreements and, where appropriate, data processing agreements related to data privacy laws.
</v>
      </c>
      <c r="E77" s="280"/>
      <c r="F77" s="280"/>
      <c r="H77" s="119" t="str">
        <f t="shared" ref="H77:H78" si="4">IF(G77="",IF(B$74=1,"Please rate the vendor's answer",""),"")</f>
        <v/>
      </c>
    </row>
    <row r="78" spans="1:8" ht="48" customHeight="1" x14ac:dyDescent="0.2">
      <c r="A78" t="str">
        <f>'HECVAT - Full'!A50</f>
        <v>THRD-04</v>
      </c>
      <c r="B78" s="279" t="str">
        <f>'HECVAT - Full'!B50</f>
        <v>Describe or provide references to your third party management strategy or provide additional information that may help analysts better understand your environment and how it relates to third-party solutions.</v>
      </c>
      <c r="C78" s="279"/>
      <c r="D78" s="280" t="str">
        <f>'HECVAT - Full'!C50</f>
        <v xml:space="preserve">Portfolium integrates with LMS platforms through the LTI standard. Documentation on these integrations can be found at https://help.portfolium.com/edu-platform#lms-integrations 
</v>
      </c>
      <c r="E78" s="280"/>
      <c r="F78" s="280"/>
      <c r="H78" s="119" t="str">
        <f t="shared" si="4"/>
        <v/>
      </c>
    </row>
    <row r="79" spans="1:8" ht="48" customHeight="1" x14ac:dyDescent="0.2">
      <c r="A79" s="120" t="s">
        <v>2092</v>
      </c>
      <c r="B79" s="120" t="str">
        <f>'HECVAT - Full'!C27</f>
        <v>Yes</v>
      </c>
      <c r="C79" s="120"/>
      <c r="D79" s="122"/>
      <c r="E79" s="122"/>
      <c r="F79" s="122"/>
      <c r="G79" s="120" t="s">
        <v>2065</v>
      </c>
    </row>
    <row r="80" spans="1:8" ht="48" customHeight="1" x14ac:dyDescent="0.2">
      <c r="A80" t="str">
        <f>'HECVAT - Full'!A98</f>
        <v>BCPL-01</v>
      </c>
      <c r="B80" s="279" t="str">
        <f>'HECVAT - Full'!B98</f>
        <v>Describe or provide a reference to your Business Continuity Plan (BCP).</v>
      </c>
      <c r="C80" s="279"/>
      <c r="D80" s="280" t="str">
        <f>'HECVAT - Full'!C98</f>
        <v xml:space="preserve">
Portfolium Disaster Recovery Policy
Last Updated December 19, 2018
The Portfolium Disaster Recovery &amp; Business Continuity Policy are subject to change at the discretion of the Executive Team and/or Board of Directors. Any changes or updates to the Disaster Recovery &amp; Business Continuity Policy will be documented and timestamped.
Portfolium is architected as an n-tier ephemeral system. The web servers auto-scale based on load/traffic into the ELBs (https://aws.amazon.com/elasticloadbalancing/) (Elastic Load Balancers), and can go away at any time without impacting the continuity of the application. Supporting systems and servers such as Redis (caching) and MySQL (persistent storage) all are deployed across multiple AZ’s (https://docs.aws.amazon.com/AWSEC2/latest/UserGuide/using-regions-availability-zones.html) (Availability Zones), with real-time replication.
Utilizing AWS and all of the services that are provided, Portfolium is able to deliver a highly available robust solution. In case of a disaster, there are clear steps to follow to ensure continuity in the service.
Disaster Recovery Site
Portfolium uses Availability Zones within the US-EAST-1 region (https://docs.aws.amazon.com/AWSEC2/latest/UserGuide/using-regions-availability-zones.html) (which is in North Virginia). 
Each Amazon Region is designed to be completely isolated from the other Amazon Regions. This achieves the greatest possible fault tolerance and stability. Each Availability Zone is isolated, but the Availability Zones in a Region are connected through low-latency links. AWS provides Portfolium with the flexibility to place instances and store data within multiple geographic regions as well as across multiple Availability Zones within each AWS Region. Each Availability Zone is designed as an independent failure zone. This means that Availability Zones are physically separated within a typical metropolitan region and are located in lower risk flood plains (specific flood zone categorization varies by AWS Region). In addition to discrete uninterruptible power supply (UPS) and onsite backup generation facilities, they are each fed via different grids from independent utilities to further reduce single points of failure. Availability Zones are all redundantly connected to multiple tier-1 transit providers.
Portfolium currently does not deploy its services across different AWS regions.
How to replicate and sync data between sites
AWS take care of Multiple Availability Zone replication automatically. Every time a file is uploaded to S3, it’s replicated to two other zones in the same region. All of Portfolium’s data services (ElastiCache, RDS, etc) are set up to utilize AZs. As the web servers auto-scale up and down, they’re evenly distributed across the available AZ’s within the US-EAST-1 region.
Monitoring &amp; Alerting
Portfolium partners with various providers to get a holistic view into the delivery of its services (availability, performance, engagement, defects, etc).
Pingdom (https://www.pingdom.com/): Pingdom is a health-check service that monitors the availability of defined endpoints/URLs around the world. We run Pingdom on key pages that would determine availability of the service. If ever unavailable, mobile push-notifications are sent out to the Chief Technology Officer and Site Reliability Engineer, and emails are sent to the whole dev and management team.
CloudWatch (https://aws.amazon.com/cloudwatch/): CloudWatch provides Portfolium with data and actionable insights to monitor the applications, understand and respond to system-wide performance changes, optimize resource utilization, and get a unified view of operational health. There are a multitude of alerting policies set up across all services that monitor CPU, Memory, Disk, Load, etc. Alerts are delivered via email to the Chief Technology Officer, Site Reliability Engineer, and Senior Engineer on the team.
Datadog (https://www.datadoghq.com/): Datadog is a application performance monitoring tool along side a system and application log aggregator. Which allows the Portfolium dev team to pinpoint an issue or unperformant transaction, and be able to do a system wide investigation (logs, application, and system) to analyze and resolve the concern.
Google Analytics (https://marketingplatform.google.com/about/analytics/): Google Analytics allows us to analyze traffic patterns and overall site load in real-time. During office hours, the live traffic is always visible to employees on a TV, and monitors are set up to alert developers for slow response times.
Sentry (https://sentry.io/welcome/): Sentry is a client-side error tracking software that helps Portfolium monitor and fix Javascript crashes in real time, iterate continuously, boost efficiency, and improve the user experience.
Disaster Recovery Steps
    1. Go to https://status.aws.amazon.com/ (https://status.aws.amazon.com/) and make sure there are no known service level outages.
    2. Log into AWS Console and quickly analyze:
    3. 
        1. The production RDS instance for CPU and connections
        2. OpsWorks production stack, and that the instances are all up
        3. ElastiCache Redis instance for CPU, connections, and engine CPU
    4. After analysis, if determined an availability zone is down, review services auto-failover logs to make sure things are switching over to the available zone.
    5. After analysis, if determined employee-disaster
    6. 
        1. put the splash page up at the load balancer level blocking all incoming traffic to the web servers
        2. Start a point in time restore to the 5-min interval before the incident
        3. remove the splash page allowing normal operations to continue</v>
      </c>
      <c r="E80" s="280"/>
      <c r="F80" s="280"/>
      <c r="H80" s="119" t="str">
        <f>IF(G80="",IF(B$79=1,"Please rate the vendor's answer",""),"")</f>
        <v/>
      </c>
    </row>
    <row r="81" spans="1:8" ht="48" customHeight="1" x14ac:dyDescent="0.2">
      <c r="A81" s="120" t="s">
        <v>2095</v>
      </c>
      <c r="B81" s="120" t="str">
        <f>'HECVAT - Full'!C30</f>
        <v>No</v>
      </c>
      <c r="C81" s="120"/>
      <c r="D81" s="122"/>
      <c r="E81" s="122"/>
      <c r="F81" s="122"/>
      <c r="G81" s="120" t="s">
        <v>2065</v>
      </c>
    </row>
    <row r="82" spans="1:8" ht="48" customHeight="1" x14ac:dyDescent="0.2">
      <c r="A82" t="str">
        <f>'HECVAT - Full'!A179</f>
        <v>DRPL-01</v>
      </c>
      <c r="B82" s="279" t="str">
        <f>'HECVAT - Full'!B179</f>
        <v>Describe or provide a reference to your Disaster Recovery Plan (DRP).</v>
      </c>
      <c r="C82" s="279"/>
      <c r="D82" s="280" t="str">
        <f>'HECVAT - Full'!C179</f>
        <v xml:space="preserve">We backup our database daily. We hope to never restore data, though in case of a major issue causing data loss or corruption, we can restore to any point in time in the backup. All data is written to multiple disks instantly, backed up daily, and stored in multiple locations. Files that our customers upload are stored on servers that use modern techniques to remove bottlenecks and points of failure.
Portfolium is hosted at AWS in the US-EAST-1 Data Center (IAD). At the infrastructure level, we utilize Availability Zones (AZ) within the data center to ensure each layer of our application doesn’t have one-failure point. For the application layer, both WEB and API layers are stateless, and hold no persisted information important to the server itself. Thus, if a server/layer goes down, it is removed from the load balancer and service is continued as usual. For a catastrophic event, our database is securely backed up and distributed to different AWS regions around the world daily with the availability to do a point in time restore.
Everything at the server level is scripted via Chef using AWS OpsWorks. The servers are stateless, and all of the data is backed up. The only important piece in our stack is the data itself. We spin up and down new servers to test a server level disaster every quarter. We test a database restore and failover once a quarter.
</v>
      </c>
      <c r="E82" s="280"/>
      <c r="F82" s="280"/>
      <c r="H82" s="119" t="str">
        <f>IF(G82="",IF(B$81=1,"Please rate the vendor's answer",""),"")</f>
        <v/>
      </c>
    </row>
    <row r="83" spans="1:8" ht="48" customHeight="1" x14ac:dyDescent="0.2">
      <c r="A83" t="str">
        <f>'HECVAT - Full'!A187</f>
        <v>DRPL-09</v>
      </c>
      <c r="B83" s="279" t="str">
        <f>'HECVAT - Full'!B187</f>
        <v>Describe or provide a reference to how your disaster recovery plan is tested? (i.e. scope of DR tests, end-to-end testing, etc.)</v>
      </c>
      <c r="C83" s="279"/>
      <c r="D83" s="280" t="str">
        <f>'HECVAT - Full'!C187</f>
        <v xml:space="preserve">Portfolium performs a disaster recovery test simulation once a year. Additionally, we ensure that the plan is tested whenever major components are changed. The scope of this test covers complete end-to-end recovery of the application.
</v>
      </c>
      <c r="E83" s="280"/>
      <c r="F83" s="280"/>
      <c r="H83" s="119" t="str">
        <f>IF(G83="",IF(B$81=1,"Please rate the vendor's answer",""),"")</f>
        <v/>
      </c>
    </row>
    <row r="84" spans="1:8" ht="48" customHeight="1" x14ac:dyDescent="0.2">
      <c r="A84" s="120" t="s">
        <v>2093</v>
      </c>
      <c r="B84" s="120" t="str">
        <f>'HECVAT - Full'!C29</f>
        <v>No</v>
      </c>
      <c r="C84" s="120"/>
      <c r="D84" s="122"/>
      <c r="E84" s="122"/>
      <c r="F84" s="122"/>
      <c r="G84" s="120" t="s">
        <v>2065</v>
      </c>
    </row>
    <row r="85" spans="1:8" ht="48" customHeight="1" x14ac:dyDescent="0.2">
      <c r="A85" t="str">
        <f>'HECVAT - Full'!A306</f>
        <v>PCID-06</v>
      </c>
      <c r="B85" s="279" t="str">
        <f>'HECVAT - Full'!B306</f>
        <v>Are you classified as a merchant?  If so, what level (1, 2, 3, 4)?</v>
      </c>
      <c r="C85" s="279"/>
      <c r="D85" s="280">
        <f>'HECVAT - Full'!C306</f>
        <v>0</v>
      </c>
      <c r="E85" s="280"/>
      <c r="F85" s="280"/>
      <c r="H85" s="119" t="str">
        <f>IF(G85="",IF(B$84=1,"Please rate the vendor's answer",""),"")</f>
        <v/>
      </c>
    </row>
    <row r="86" spans="1:8" ht="48" customHeight="1" x14ac:dyDescent="0.2">
      <c r="A86" t="str">
        <f>'HECVAT - Full'!A307</f>
        <v>PCID-07</v>
      </c>
      <c r="B86" s="279" t="str">
        <f>'HECVAT - Full'!B307</f>
        <v>Describe the architecture employed by the system to verify and authorize credit card transactions.</v>
      </c>
      <c r="C86" s="279"/>
      <c r="D86" s="280">
        <f>'HECVAT - Full'!C307</f>
        <v>0</v>
      </c>
      <c r="E86" s="280"/>
      <c r="F86" s="280"/>
      <c r="H86" s="119" t="str">
        <f t="shared" ref="H86:H88" si="5">IF(G86="",IF(B$84=1,"Please rate the vendor's answer",""),"")</f>
        <v/>
      </c>
    </row>
    <row r="87" spans="1:8" ht="48" customHeight="1" x14ac:dyDescent="0.2">
      <c r="A87" t="str">
        <f>'HECVAT - Full'!A308</f>
        <v>PCID-08</v>
      </c>
      <c r="B87" s="279" t="str">
        <f>'HECVAT - Full'!B308</f>
        <v xml:space="preserve">What payment processors/gateways does the system support? </v>
      </c>
      <c r="C87" s="279"/>
      <c r="D87" s="280">
        <f>'HECVAT - Full'!C308</f>
        <v>0</v>
      </c>
      <c r="E87" s="280"/>
      <c r="F87" s="280"/>
      <c r="H87" s="119" t="str">
        <f t="shared" si="5"/>
        <v/>
      </c>
    </row>
    <row r="88" spans="1:8" ht="48" customHeight="1" x14ac:dyDescent="0.2">
      <c r="A88" t="str">
        <f>'HECVAT - Full'!A312</f>
        <v>PCID-12</v>
      </c>
      <c r="B88" s="279" t="str">
        <f>'HECVAT - Full'!B312</f>
        <v xml:space="preserve">Include documentation describing the systems' abilities to comply with the PCI DSS and any features or capabilities of the system that must be added or changed in order to operate in compliance with the standards. </v>
      </c>
      <c r="C88" s="279"/>
      <c r="D88" s="280">
        <f>'HECVAT - Full'!C312</f>
        <v>0</v>
      </c>
      <c r="E88" s="280"/>
      <c r="F88" s="280"/>
      <c r="H88" s="119" t="str">
        <f t="shared" si="5"/>
        <v/>
      </c>
    </row>
    <row r="89" spans="1:8" ht="48" customHeight="1" x14ac:dyDescent="0.2"/>
    <row r="90" spans="1:8" ht="48" customHeight="1" x14ac:dyDescent="0.2"/>
    <row r="91" spans="1:8" ht="48" customHeight="1" x14ac:dyDescent="0.2"/>
    <row r="92" spans="1:8" ht="48" customHeight="1" x14ac:dyDescent="0.2"/>
    <row r="93" spans="1:8" ht="48" customHeight="1" x14ac:dyDescent="0.2"/>
    <row r="94" spans="1:8" ht="48" customHeight="1" x14ac:dyDescent="0.2"/>
    <row r="95" spans="1:8" ht="48" customHeight="1" x14ac:dyDescent="0.2"/>
    <row r="96" spans="1:8" ht="48" customHeight="1" x14ac:dyDescent="0.2"/>
    <row r="97" ht="48" customHeight="1" x14ac:dyDescent="0.2"/>
    <row r="98" ht="48" customHeight="1" x14ac:dyDescent="0.2"/>
    <row r="99" ht="48" customHeight="1" x14ac:dyDescent="0.2"/>
    <row r="100" ht="48" customHeight="1" x14ac:dyDescent="0.2"/>
    <row r="101" ht="48" customHeight="1" x14ac:dyDescent="0.2"/>
    <row r="102" ht="48" customHeight="1" x14ac:dyDescent="0.2"/>
    <row r="103" ht="48" customHeight="1" x14ac:dyDescent="0.2"/>
    <row r="104" ht="48" customHeight="1" x14ac:dyDescent="0.2"/>
    <row r="105" ht="48" customHeight="1" x14ac:dyDescent="0.2"/>
    <row r="106" ht="48" customHeight="1" x14ac:dyDescent="0.2"/>
    <row r="107" ht="48" customHeight="1" x14ac:dyDescent="0.2"/>
    <row r="108" ht="48" customHeight="1" x14ac:dyDescent="0.2"/>
    <row r="109" ht="48" customHeight="1" x14ac:dyDescent="0.2"/>
    <row r="110" ht="48" customHeight="1" x14ac:dyDescent="0.2"/>
    <row r="111" ht="48" customHeight="1" x14ac:dyDescent="0.2"/>
    <row r="112" ht="48" customHeight="1" x14ac:dyDescent="0.2"/>
    <row r="113" ht="48" customHeight="1" x14ac:dyDescent="0.2"/>
    <row r="114" ht="48" customHeight="1" x14ac:dyDescent="0.2"/>
    <row r="115" ht="48" customHeight="1" x14ac:dyDescent="0.2"/>
    <row r="116" ht="48" customHeight="1" x14ac:dyDescent="0.2"/>
    <row r="117" ht="48" customHeight="1" x14ac:dyDescent="0.2"/>
    <row r="118" ht="48" customHeight="1" x14ac:dyDescent="0.2"/>
    <row r="119" ht="48" customHeight="1" x14ac:dyDescent="0.2"/>
    <row r="120" ht="48" customHeight="1" x14ac:dyDescent="0.2"/>
    <row r="121" ht="48" customHeight="1" x14ac:dyDescent="0.2"/>
    <row r="122" ht="48" customHeight="1" x14ac:dyDescent="0.2"/>
    <row r="123" ht="48" customHeight="1" x14ac:dyDescent="0.2"/>
    <row r="124" ht="48" customHeight="1" x14ac:dyDescent="0.2"/>
    <row r="125" ht="48" customHeight="1" x14ac:dyDescent="0.2"/>
    <row r="126" ht="48" customHeight="1" x14ac:dyDescent="0.2"/>
    <row r="127" ht="48" customHeight="1" x14ac:dyDescent="0.2"/>
    <row r="128" ht="48" customHeight="1" x14ac:dyDescent="0.2"/>
    <row r="129" ht="48" customHeight="1" x14ac:dyDescent="0.2"/>
    <row r="130" ht="48" customHeight="1" x14ac:dyDescent="0.2"/>
    <row r="131" ht="48" customHeight="1" x14ac:dyDescent="0.2"/>
    <row r="132" ht="48" customHeight="1" x14ac:dyDescent="0.2"/>
    <row r="133" ht="48" customHeight="1" x14ac:dyDescent="0.2"/>
    <row r="134" ht="48" customHeight="1" x14ac:dyDescent="0.2"/>
    <row r="135" ht="48" customHeight="1" x14ac:dyDescent="0.2"/>
    <row r="136" ht="48" customHeight="1" x14ac:dyDescent="0.2"/>
    <row r="137" ht="48" customHeight="1" x14ac:dyDescent="0.2"/>
    <row r="138" ht="48" customHeight="1" x14ac:dyDescent="0.2"/>
    <row r="139" ht="48" customHeight="1" x14ac:dyDescent="0.2"/>
    <row r="140" ht="48" customHeight="1" x14ac:dyDescent="0.2"/>
    <row r="141" ht="48" customHeight="1" x14ac:dyDescent="0.2"/>
    <row r="142" ht="48" customHeight="1" x14ac:dyDescent="0.2"/>
    <row r="143" ht="48" customHeight="1" x14ac:dyDescent="0.2"/>
    <row r="144" ht="48" customHeight="1" x14ac:dyDescent="0.2"/>
    <row r="145" ht="48" customHeight="1" x14ac:dyDescent="0.2"/>
    <row r="146" ht="48" customHeight="1" x14ac:dyDescent="0.2"/>
    <row r="147" ht="48" customHeight="1" x14ac:dyDescent="0.2"/>
    <row r="148" ht="48" customHeight="1" x14ac:dyDescent="0.2"/>
    <row r="149" ht="48" customHeight="1" x14ac:dyDescent="0.2"/>
    <row r="150" ht="48" customHeight="1" x14ac:dyDescent="0.2"/>
    <row r="151" ht="48" customHeight="1" x14ac:dyDescent="0.2"/>
    <row r="152" ht="48" customHeight="1" x14ac:dyDescent="0.2"/>
    <row r="153" ht="48" customHeight="1" x14ac:dyDescent="0.2"/>
    <row r="154" ht="48" customHeight="1" x14ac:dyDescent="0.2"/>
    <row r="155" ht="48" customHeight="1" x14ac:dyDescent="0.2"/>
    <row r="156" ht="48" customHeight="1" x14ac:dyDescent="0.2"/>
    <row r="157" ht="48" customHeight="1" x14ac:dyDescent="0.2"/>
    <row r="158" ht="48" customHeight="1" x14ac:dyDescent="0.2"/>
    <row r="159" ht="48" customHeight="1" x14ac:dyDescent="0.2"/>
    <row r="160" ht="48" customHeight="1" x14ac:dyDescent="0.2"/>
    <row r="161" ht="48" customHeight="1" x14ac:dyDescent="0.2"/>
    <row r="162" ht="48" customHeight="1" x14ac:dyDescent="0.2"/>
    <row r="163" ht="48" customHeight="1" x14ac:dyDescent="0.2"/>
    <row r="164" ht="48" customHeight="1" x14ac:dyDescent="0.2"/>
    <row r="165" ht="48" customHeight="1" x14ac:dyDescent="0.2"/>
    <row r="166" ht="48" customHeight="1" x14ac:dyDescent="0.2"/>
    <row r="167" ht="48" customHeight="1" x14ac:dyDescent="0.2"/>
    <row r="168" ht="48" customHeight="1" x14ac:dyDescent="0.2"/>
    <row r="169" ht="48" customHeight="1" x14ac:dyDescent="0.2"/>
    <row r="170" ht="48" customHeight="1" x14ac:dyDescent="0.2"/>
    <row r="171" ht="48" customHeight="1" x14ac:dyDescent="0.2"/>
    <row r="172" ht="48" customHeight="1" x14ac:dyDescent="0.2"/>
    <row r="173" ht="48" customHeight="1" x14ac:dyDescent="0.2"/>
    <row r="174" ht="48" customHeight="1" x14ac:dyDescent="0.2"/>
    <row r="175" ht="48" customHeight="1" x14ac:dyDescent="0.2"/>
    <row r="176" ht="48" customHeight="1" x14ac:dyDescent="0.2"/>
    <row r="177" ht="48" customHeight="1" x14ac:dyDescent="0.2"/>
    <row r="178" ht="48" customHeight="1" x14ac:dyDescent="0.2"/>
    <row r="179" ht="48" customHeight="1" x14ac:dyDescent="0.2"/>
    <row r="180" ht="48" customHeight="1" x14ac:dyDescent="0.2"/>
    <row r="181" ht="48" customHeight="1" x14ac:dyDescent="0.2"/>
    <row r="182" ht="48" customHeight="1" x14ac:dyDescent="0.2"/>
    <row r="183" ht="48" customHeight="1" x14ac:dyDescent="0.2"/>
    <row r="184" ht="48" customHeight="1" x14ac:dyDescent="0.2"/>
    <row r="185" ht="48" customHeight="1" x14ac:dyDescent="0.2"/>
    <row r="186" ht="48" customHeight="1" x14ac:dyDescent="0.2"/>
    <row r="187" ht="48" customHeight="1" x14ac:dyDescent="0.2"/>
    <row r="188" ht="48" customHeight="1" x14ac:dyDescent="0.2"/>
    <row r="189" ht="48" customHeight="1" x14ac:dyDescent="0.2"/>
    <row r="190" ht="48" customHeight="1" x14ac:dyDescent="0.2"/>
    <row r="191" ht="48" customHeight="1" x14ac:dyDescent="0.2"/>
    <row r="192" ht="48" customHeight="1" x14ac:dyDescent="0.2"/>
    <row r="193" ht="48" customHeight="1" x14ac:dyDescent="0.2"/>
    <row r="194" ht="48" customHeight="1" x14ac:dyDescent="0.2"/>
    <row r="195" ht="48" customHeight="1" x14ac:dyDescent="0.2"/>
    <row r="196" ht="48" customHeight="1" x14ac:dyDescent="0.2"/>
    <row r="197" ht="48" customHeight="1" x14ac:dyDescent="0.2"/>
    <row r="198" ht="48" customHeight="1" x14ac:dyDescent="0.2"/>
    <row r="199" ht="48" customHeight="1" x14ac:dyDescent="0.2"/>
    <row r="200" ht="48" customHeight="1" x14ac:dyDescent="0.2"/>
    <row r="201" ht="48" customHeight="1" x14ac:dyDescent="0.2"/>
    <row r="202" ht="48" customHeight="1" x14ac:dyDescent="0.2"/>
    <row r="203" ht="48" customHeight="1" x14ac:dyDescent="0.2"/>
    <row r="204" ht="48" customHeight="1" x14ac:dyDescent="0.2"/>
    <row r="205" ht="48" customHeight="1" x14ac:dyDescent="0.2"/>
    <row r="206" ht="48" customHeight="1" x14ac:dyDescent="0.2"/>
    <row r="207" ht="48" customHeight="1" x14ac:dyDescent="0.2"/>
    <row r="208" ht="48" customHeight="1" x14ac:dyDescent="0.2"/>
    <row r="209" ht="48" customHeight="1" x14ac:dyDescent="0.2"/>
    <row r="210" ht="48" customHeight="1" x14ac:dyDescent="0.2"/>
    <row r="211" ht="48" customHeight="1" x14ac:dyDescent="0.2"/>
    <row r="212" ht="48" customHeight="1" x14ac:dyDescent="0.2"/>
    <row r="213" ht="48" customHeight="1" x14ac:dyDescent="0.2"/>
    <row r="214" ht="48" customHeight="1" x14ac:dyDescent="0.2"/>
    <row r="215" ht="48" customHeight="1" x14ac:dyDescent="0.2"/>
    <row r="216" ht="48" customHeight="1" x14ac:dyDescent="0.2"/>
    <row r="217" ht="48" customHeight="1" x14ac:dyDescent="0.2"/>
    <row r="218" ht="48" customHeight="1" x14ac:dyDescent="0.2"/>
    <row r="219" ht="48" customHeight="1" x14ac:dyDescent="0.2"/>
    <row r="220" ht="48" customHeight="1" x14ac:dyDescent="0.2"/>
    <row r="221" ht="48" customHeight="1" x14ac:dyDescent="0.2"/>
    <row r="222" ht="48" customHeight="1" x14ac:dyDescent="0.2"/>
    <row r="223" ht="48" customHeight="1" x14ac:dyDescent="0.2"/>
    <row r="224" ht="48" customHeight="1" x14ac:dyDescent="0.2"/>
    <row r="225" ht="48" customHeight="1" x14ac:dyDescent="0.2"/>
    <row r="226" ht="48" customHeight="1" x14ac:dyDescent="0.2"/>
    <row r="227" ht="48" customHeight="1" x14ac:dyDescent="0.2"/>
    <row r="228" ht="48" customHeight="1" x14ac:dyDescent="0.2"/>
    <row r="229" ht="48" customHeight="1" x14ac:dyDescent="0.2"/>
    <row r="230" ht="48" customHeight="1" x14ac:dyDescent="0.2"/>
    <row r="231" ht="48" customHeight="1" x14ac:dyDescent="0.2"/>
    <row r="232" ht="48" customHeight="1" x14ac:dyDescent="0.2"/>
    <row r="233" ht="48" customHeight="1" x14ac:dyDescent="0.2"/>
    <row r="234" ht="48" customHeight="1" x14ac:dyDescent="0.2"/>
    <row r="235" ht="48" customHeight="1" x14ac:dyDescent="0.2"/>
    <row r="236" ht="48" customHeight="1" x14ac:dyDescent="0.2"/>
    <row r="237" ht="48" customHeight="1" x14ac:dyDescent="0.2"/>
    <row r="238" ht="48" customHeight="1" x14ac:dyDescent="0.2"/>
    <row r="239" ht="48" customHeight="1" x14ac:dyDescent="0.2"/>
    <row r="240" ht="48" customHeight="1" x14ac:dyDescent="0.2"/>
    <row r="241" ht="48" customHeight="1" x14ac:dyDescent="0.2"/>
    <row r="242" ht="48" customHeight="1" x14ac:dyDescent="0.2"/>
    <row r="243" ht="48" customHeight="1" x14ac:dyDescent="0.2"/>
    <row r="244" ht="48" customHeight="1" x14ac:dyDescent="0.2"/>
    <row r="245" ht="48" customHeight="1" x14ac:dyDescent="0.2"/>
    <row r="246" ht="48" customHeight="1" x14ac:dyDescent="0.2"/>
    <row r="247" ht="48" customHeight="1" x14ac:dyDescent="0.2"/>
    <row r="248" ht="48" customHeight="1" x14ac:dyDescent="0.2"/>
    <row r="249" ht="48" customHeight="1" x14ac:dyDescent="0.2"/>
    <row r="250" ht="48" customHeight="1" x14ac:dyDescent="0.2"/>
    <row r="251" ht="48" customHeight="1" x14ac:dyDescent="0.2"/>
    <row r="252" ht="48" customHeight="1" x14ac:dyDescent="0.2"/>
    <row r="253" ht="48" customHeight="1" x14ac:dyDescent="0.2"/>
    <row r="254" ht="48" customHeight="1" x14ac:dyDescent="0.2"/>
    <row r="255" ht="48" customHeight="1" x14ac:dyDescent="0.2"/>
    <row r="256" ht="48" customHeight="1" x14ac:dyDescent="0.2"/>
    <row r="257" ht="48" customHeight="1" x14ac:dyDescent="0.2"/>
    <row r="258" ht="48" customHeight="1" x14ac:dyDescent="0.2"/>
    <row r="259" ht="48" customHeight="1" x14ac:dyDescent="0.2"/>
    <row r="260" ht="48" customHeight="1" x14ac:dyDescent="0.2"/>
    <row r="261" ht="48" customHeight="1" x14ac:dyDescent="0.2"/>
    <row r="262" ht="48" customHeight="1" x14ac:dyDescent="0.2"/>
    <row r="263" ht="48" customHeight="1" x14ac:dyDescent="0.2"/>
    <row r="264" ht="48" customHeight="1" x14ac:dyDescent="0.2"/>
    <row r="265" ht="48" customHeight="1" x14ac:dyDescent="0.2"/>
    <row r="266" ht="48" customHeight="1" x14ac:dyDescent="0.2"/>
    <row r="267" ht="48" customHeight="1" x14ac:dyDescent="0.2"/>
    <row r="268" ht="48" customHeight="1" x14ac:dyDescent="0.2"/>
    <row r="269" ht="48" customHeight="1" x14ac:dyDescent="0.2"/>
    <row r="270" ht="48" customHeight="1" x14ac:dyDescent="0.2"/>
    <row r="271" ht="48" customHeight="1" x14ac:dyDescent="0.2"/>
    <row r="272" ht="48" customHeight="1" x14ac:dyDescent="0.2"/>
    <row r="273" ht="48" customHeight="1" x14ac:dyDescent="0.2"/>
    <row r="274" ht="48" customHeight="1" x14ac:dyDescent="0.2"/>
    <row r="275" ht="48" customHeight="1" x14ac:dyDescent="0.2"/>
    <row r="276" ht="48" customHeight="1" x14ac:dyDescent="0.2"/>
    <row r="277" ht="48" customHeight="1" x14ac:dyDescent="0.2"/>
    <row r="278" ht="48" customHeight="1" x14ac:dyDescent="0.2"/>
    <row r="279" ht="48" customHeight="1" x14ac:dyDescent="0.2"/>
    <row r="280" ht="48" customHeight="1" x14ac:dyDescent="0.2"/>
    <row r="281" ht="48" customHeight="1" x14ac:dyDescent="0.2"/>
    <row r="282" ht="48" customHeight="1" x14ac:dyDescent="0.2"/>
    <row r="283" ht="48" customHeight="1" x14ac:dyDescent="0.2"/>
    <row r="284" ht="48" customHeight="1" x14ac:dyDescent="0.2"/>
    <row r="285" ht="48" customHeight="1" x14ac:dyDescent="0.2"/>
    <row r="286" ht="48" customHeight="1" x14ac:dyDescent="0.2"/>
    <row r="287" ht="48" customHeight="1" x14ac:dyDescent="0.2"/>
    <row r="288" ht="48" customHeight="1" x14ac:dyDescent="0.2"/>
    <row r="289" ht="48" customHeight="1" x14ac:dyDescent="0.2"/>
    <row r="290" ht="48" customHeight="1" x14ac:dyDescent="0.2"/>
    <row r="291" ht="48" customHeight="1" x14ac:dyDescent="0.2"/>
    <row r="292" ht="48" customHeight="1" x14ac:dyDescent="0.2"/>
    <row r="293" ht="48" customHeight="1" x14ac:dyDescent="0.2"/>
    <row r="294" ht="48" customHeight="1" x14ac:dyDescent="0.2"/>
    <row r="295" ht="48" customHeight="1" x14ac:dyDescent="0.2"/>
    <row r="296" ht="48" customHeight="1" x14ac:dyDescent="0.2"/>
    <row r="297" ht="48" customHeight="1" x14ac:dyDescent="0.2"/>
    <row r="298" ht="48" customHeight="1" x14ac:dyDescent="0.2"/>
    <row r="299" ht="48" customHeight="1" x14ac:dyDescent="0.2"/>
    <row r="300" ht="48" customHeight="1" x14ac:dyDescent="0.2"/>
    <row r="301" ht="48" customHeight="1" x14ac:dyDescent="0.2"/>
    <row r="302" ht="48" customHeight="1" x14ac:dyDescent="0.2"/>
    <row r="303" ht="48" customHeight="1" x14ac:dyDescent="0.2"/>
  </sheetData>
  <mergeCells count="107">
    <mergeCell ref="B50:C50"/>
    <mergeCell ref="D50:F50"/>
    <mergeCell ref="B51:C51"/>
    <mergeCell ref="D51:F51"/>
    <mergeCell ref="B52:C52"/>
    <mergeCell ref="D52:F52"/>
    <mergeCell ref="B49:C49"/>
    <mergeCell ref="D49:F49"/>
    <mergeCell ref="B44:C44"/>
    <mergeCell ref="B48:C48"/>
    <mergeCell ref="D48:F48"/>
    <mergeCell ref="B46:C46"/>
    <mergeCell ref="D46:F46"/>
    <mergeCell ref="B47:C47"/>
    <mergeCell ref="D47:F47"/>
    <mergeCell ref="B45:C45"/>
    <mergeCell ref="D45:F45"/>
    <mergeCell ref="D37:F37"/>
    <mergeCell ref="D41:F41"/>
    <mergeCell ref="D42:F42"/>
    <mergeCell ref="D43:F43"/>
    <mergeCell ref="D44:F44"/>
    <mergeCell ref="B37:C37"/>
    <mergeCell ref="B41:C41"/>
    <mergeCell ref="B42:C42"/>
    <mergeCell ref="B43:C43"/>
    <mergeCell ref="B38:C38"/>
    <mergeCell ref="D38:F38"/>
    <mergeCell ref="B39:C39"/>
    <mergeCell ref="D39:F39"/>
    <mergeCell ref="B40:C40"/>
    <mergeCell ref="D40:F40"/>
    <mergeCell ref="B60:C60"/>
    <mergeCell ref="D60:F60"/>
    <mergeCell ref="B61:C61"/>
    <mergeCell ref="D61:F61"/>
    <mergeCell ref="B59:C59"/>
    <mergeCell ref="D59:F59"/>
    <mergeCell ref="B56:C56"/>
    <mergeCell ref="D56:F56"/>
    <mergeCell ref="B53:C53"/>
    <mergeCell ref="D53:F53"/>
    <mergeCell ref="B54:C54"/>
    <mergeCell ref="D54:F54"/>
    <mergeCell ref="B55:C55"/>
    <mergeCell ref="D55:F55"/>
    <mergeCell ref="A11:C11"/>
    <mergeCell ref="B75:C75"/>
    <mergeCell ref="D75:F75"/>
    <mergeCell ref="B76:C76"/>
    <mergeCell ref="D76:F76"/>
    <mergeCell ref="B77:C77"/>
    <mergeCell ref="D77:F77"/>
    <mergeCell ref="B80:C80"/>
    <mergeCell ref="D80:F80"/>
    <mergeCell ref="B71:C71"/>
    <mergeCell ref="D71:F71"/>
    <mergeCell ref="B73:C73"/>
    <mergeCell ref="D73:F73"/>
    <mergeCell ref="B72:C72"/>
    <mergeCell ref="D72:F72"/>
    <mergeCell ref="B64:C64"/>
    <mergeCell ref="D64:F64"/>
    <mergeCell ref="B68:C68"/>
    <mergeCell ref="D68:F68"/>
    <mergeCell ref="B66:C66"/>
    <mergeCell ref="D66:F66"/>
    <mergeCell ref="B62:C62"/>
    <mergeCell ref="D62:F62"/>
    <mergeCell ref="B63:C63"/>
    <mergeCell ref="B83:C83"/>
    <mergeCell ref="D83:F83"/>
    <mergeCell ref="B88:C88"/>
    <mergeCell ref="D88:F88"/>
    <mergeCell ref="B86:C86"/>
    <mergeCell ref="D86:F86"/>
    <mergeCell ref="B87:C87"/>
    <mergeCell ref="D87:F87"/>
    <mergeCell ref="A36:G36"/>
    <mergeCell ref="B70:C70"/>
    <mergeCell ref="D70:F70"/>
    <mergeCell ref="B78:C78"/>
    <mergeCell ref="D78:F78"/>
    <mergeCell ref="B85:C85"/>
    <mergeCell ref="D85:F85"/>
    <mergeCell ref="B82:C82"/>
    <mergeCell ref="D82:F82"/>
    <mergeCell ref="D63:F63"/>
    <mergeCell ref="B65:C65"/>
    <mergeCell ref="D65:F65"/>
    <mergeCell ref="B57:C57"/>
    <mergeCell ref="D57:F57"/>
    <mergeCell ref="B58:C58"/>
    <mergeCell ref="D58:F58"/>
    <mergeCell ref="B8:C8"/>
    <mergeCell ref="F5:H5"/>
    <mergeCell ref="F6:H6"/>
    <mergeCell ref="F7:H7"/>
    <mergeCell ref="F8:H8"/>
    <mergeCell ref="D10:H10"/>
    <mergeCell ref="A2:H2"/>
    <mergeCell ref="A1:G1"/>
    <mergeCell ref="B6:C6"/>
    <mergeCell ref="B5:C5"/>
    <mergeCell ref="B7:C7"/>
    <mergeCell ref="A3:H3"/>
    <mergeCell ref="A4:H4"/>
  </mergeCells>
  <conditionalFormatting sqref="F13:F16 F18:F25">
    <cfRule type="dataBar" priority="4">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F17">
    <cfRule type="dataBar" priority="2">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F26:F33">
    <cfRule type="dataBar" priority="3">
      <dataBar>
        <cfvo type="num" val="0"/>
        <cfvo type="num" val="1"/>
        <color rgb="FF638EC6"/>
      </dataBar>
      <extLst>
        <ext xmlns:x14="http://schemas.microsoft.com/office/spreadsheetml/2009/9/main" uri="{B025F937-C7B1-47D3-B67F-A62EFF666E3E}">
          <x14:id>{DEDB6CB6-F46C-4E16-9A05-AB63190D1DA2}</x14:id>
        </ext>
      </extLst>
    </cfRule>
  </conditionalFormatting>
  <dataValidations count="1">
    <dataValidation type="list" allowBlank="1" showInputMessage="1" showErrorMessage="1" sqref="G68 G70:G73 G75:G78 G80 G82:G83 G85:G88 G38:G66" xr:uid="{00000000-0002-0000-0400-000000000000}">
      <formula1>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F13:F16 F18:F25</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F17</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F26:F33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'Standards Crosswalk'!$A$315:$A$321</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U312"/>
  <sheetViews>
    <sheetView topLeftCell="A49" workbookViewId="0">
      <selection sqref="A1:D1"/>
    </sheetView>
  </sheetViews>
  <sheetFormatPr baseColWidth="10" defaultColWidth="6.625" defaultRowHeight="16" x14ac:dyDescent="0.15"/>
  <cols>
    <col min="1" max="1" width="11.125" customWidth="1"/>
    <col min="2" max="2" width="56.75" style="5" customWidth="1"/>
    <col min="3" max="3" width="40.75" style="24" customWidth="1"/>
    <col min="4" max="4" width="40.75" style="7" customWidth="1"/>
    <col min="5" max="255" width="6.625" style="5" customWidth="1"/>
  </cols>
  <sheetData>
    <row r="1" spans="1:4" ht="36" customHeight="1" x14ac:dyDescent="0.15">
      <c r="A1" s="270" t="s">
        <v>2988</v>
      </c>
      <c r="B1" s="270"/>
      <c r="C1" s="270"/>
      <c r="D1" s="270"/>
    </row>
    <row r="2" spans="1:4" ht="26" customHeight="1" x14ac:dyDescent="0.15">
      <c r="A2" s="245" t="s">
        <v>96</v>
      </c>
      <c r="B2" s="245"/>
      <c r="C2" s="245"/>
      <c r="D2" s="245"/>
    </row>
    <row r="3" spans="1:4" ht="2" customHeight="1" x14ac:dyDescent="0.15">
      <c r="A3" s="23"/>
      <c r="B3" s="205"/>
      <c r="C3" s="206"/>
      <c r="D3" s="206"/>
    </row>
    <row r="4" spans="1:4" ht="2" customHeight="1" x14ac:dyDescent="0.15">
      <c r="A4" s="207"/>
      <c r="B4" s="207"/>
      <c r="C4" s="208"/>
      <c r="D4" s="209"/>
    </row>
    <row r="5" spans="1:4" ht="2" customHeight="1" x14ac:dyDescent="0.15">
      <c r="A5" s="210"/>
      <c r="B5" s="210"/>
      <c r="C5" s="210"/>
      <c r="D5" s="210"/>
    </row>
    <row r="6" spans="1:4" ht="2" customHeight="1" x14ac:dyDescent="0.15">
      <c r="A6" s="211"/>
      <c r="B6" s="211"/>
      <c r="C6" s="211"/>
      <c r="D6" s="211"/>
    </row>
    <row r="7" spans="1:4" ht="2" customHeight="1" x14ac:dyDescent="0.15">
      <c r="A7" s="155"/>
      <c r="B7" s="212"/>
      <c r="C7" s="213"/>
      <c r="D7" s="213"/>
    </row>
    <row r="8" spans="1:4" ht="2" customHeight="1" x14ac:dyDescent="0.15">
      <c r="A8" s="155"/>
      <c r="B8" s="212"/>
      <c r="C8" s="213"/>
      <c r="D8" s="213"/>
    </row>
    <row r="9" spans="1:4" ht="2" customHeight="1" x14ac:dyDescent="0.15">
      <c r="A9" s="155"/>
      <c r="B9" s="212"/>
      <c r="C9" s="213"/>
      <c r="D9" s="213"/>
    </row>
    <row r="10" spans="1:4" ht="2" customHeight="1" x14ac:dyDescent="0.15">
      <c r="A10" s="155"/>
      <c r="B10" s="212"/>
      <c r="C10" s="213"/>
      <c r="D10" s="213"/>
    </row>
    <row r="11" spans="1:4" ht="2" customHeight="1" x14ac:dyDescent="0.15">
      <c r="A11" s="155"/>
      <c r="B11" s="212"/>
      <c r="C11" s="213"/>
      <c r="D11" s="213"/>
    </row>
    <row r="12" spans="1:4" ht="2" customHeight="1" x14ac:dyDescent="0.15">
      <c r="A12" s="155"/>
      <c r="B12" s="212"/>
      <c r="C12" s="213"/>
      <c r="D12" s="213"/>
    </row>
    <row r="13" spans="1:4" ht="2" customHeight="1" x14ac:dyDescent="0.15">
      <c r="A13" s="155"/>
      <c r="B13" s="212"/>
      <c r="C13" s="213"/>
      <c r="D13" s="213"/>
    </row>
    <row r="14" spans="1:4" ht="2" customHeight="1" x14ac:dyDescent="0.15">
      <c r="A14" s="155"/>
      <c r="B14" s="212"/>
      <c r="C14" s="213"/>
      <c r="D14" s="213"/>
    </row>
    <row r="15" spans="1:4" ht="2" customHeight="1" x14ac:dyDescent="0.15">
      <c r="A15" s="155"/>
      <c r="B15" s="212"/>
      <c r="C15" s="213"/>
      <c r="D15" s="213"/>
    </row>
    <row r="16" spans="1:4" ht="2" customHeight="1" x14ac:dyDescent="0.15">
      <c r="A16" s="155"/>
      <c r="B16" s="212"/>
      <c r="C16" s="213"/>
      <c r="D16" s="213"/>
    </row>
    <row r="17" spans="1:4" ht="2" customHeight="1" x14ac:dyDescent="0.15">
      <c r="A17" s="211"/>
      <c r="B17" s="211"/>
      <c r="C17" s="211"/>
      <c r="D17" s="211"/>
    </row>
    <row r="18" spans="1:4" ht="2" customHeight="1" x14ac:dyDescent="0.15">
      <c r="A18" s="155"/>
      <c r="B18" s="212"/>
      <c r="C18" s="213"/>
      <c r="D18" s="213"/>
    </row>
    <row r="19" spans="1:4" ht="2" customHeight="1" x14ac:dyDescent="0.15">
      <c r="A19" s="155"/>
      <c r="B19" s="212"/>
      <c r="C19" s="214"/>
      <c r="D19" s="214"/>
    </row>
    <row r="20" spans="1:4" ht="36" customHeight="1" x14ac:dyDescent="0.15">
      <c r="A20" s="248" t="s">
        <v>11</v>
      </c>
      <c r="B20" s="248"/>
      <c r="C20" s="25"/>
      <c r="D20" s="26"/>
    </row>
    <row r="21" spans="1:4" ht="186" customHeight="1" x14ac:dyDescent="0.15">
      <c r="A21" s="253" t="s">
        <v>2675</v>
      </c>
      <c r="B21" s="253"/>
      <c r="C21" s="253"/>
      <c r="D21" s="253"/>
    </row>
    <row r="22" spans="1:4" ht="37.25" customHeight="1" x14ac:dyDescent="0.15">
      <c r="A22" s="248" t="s">
        <v>12</v>
      </c>
      <c r="B22" s="248"/>
      <c r="C22" s="25" t="s">
        <v>2676</v>
      </c>
      <c r="D22" s="25" t="s">
        <v>2677</v>
      </c>
    </row>
    <row r="23" spans="1:4" ht="56" customHeight="1" x14ac:dyDescent="0.15">
      <c r="A23" s="253" t="s">
        <v>2678</v>
      </c>
      <c r="B23" s="253"/>
      <c r="C23" s="253"/>
      <c r="D23" s="253"/>
    </row>
    <row r="24" spans="1:4" ht="55" customHeight="1" x14ac:dyDescent="0.15">
      <c r="A24" s="30" t="str">
        <f>'HECVAT - Full'!A24</f>
        <v>QUAL-01</v>
      </c>
      <c r="B24" s="30" t="str">
        <f>VLOOKUP(A24,'HECVAT - Full'!A$24:B$312,2,FALSE)</f>
        <v>Does your product process protected health information (PHI) or any data covered by the Health Insurance Portability and Accountability Act?</v>
      </c>
      <c r="C24" s="191" t="s">
        <v>2679</v>
      </c>
      <c r="D24" s="192" t="s">
        <v>2680</v>
      </c>
    </row>
    <row r="25" spans="1:4" ht="90" x14ac:dyDescent="0.15">
      <c r="A25" s="30" t="str">
        <f>'HECVAT - Full'!A25</f>
        <v>QUAL-02</v>
      </c>
      <c r="B25" s="30" t="str">
        <f>VLOOKUP(A25,'HECVAT - Full'!A$24:B$312,2,FALSE)</f>
        <v>Does the vended product host/support a mobile application? (e.g. app)</v>
      </c>
      <c r="C25" s="191" t="s">
        <v>3002</v>
      </c>
      <c r="D25" s="192" t="s">
        <v>3001</v>
      </c>
    </row>
    <row r="26" spans="1:4" ht="84" customHeight="1" x14ac:dyDescent="0.15">
      <c r="A26" s="30" t="str">
        <f>'HECVAT - Full'!A26</f>
        <v>QUAL-03</v>
      </c>
      <c r="B26" s="30" t="str">
        <f>VLOOKUP(A26,'HECVAT - Full'!A$24:B$312,2,FALSE)</f>
        <v>Will institution data be shared with or hosted by any third parties? (e.g. any entity not wholly-owned by your company is considered a third-party)</v>
      </c>
      <c r="C26" s="191" t="s">
        <v>3003</v>
      </c>
      <c r="D26" s="192" t="s">
        <v>2681</v>
      </c>
    </row>
    <row r="27" spans="1:4" ht="64" customHeight="1" x14ac:dyDescent="0.15">
      <c r="A27" s="30" t="str">
        <f>'HECVAT - Full'!A27</f>
        <v>QUAL-04</v>
      </c>
      <c r="B27" s="30" t="str">
        <f>VLOOKUP(A27,'HECVAT - Full'!A$24:B$312,2,FALSE)</f>
        <v>Do you have a Business Continuity Plan (BCP)?</v>
      </c>
      <c r="C27" s="191" t="s">
        <v>2682</v>
      </c>
      <c r="D27" s="192" t="s">
        <v>2683</v>
      </c>
    </row>
    <row r="28" spans="1:4" ht="64" customHeight="1" x14ac:dyDescent="0.15">
      <c r="A28" s="30" t="str">
        <f>'HECVAT - Full'!A28</f>
        <v>QUAL-05</v>
      </c>
      <c r="B28" s="30" t="str">
        <f>VLOOKUP(A28,'HECVAT - Full'!A$24:B$312,2,FALSE)</f>
        <v>Do you have a Disaster Recovery Plan (DRP)?</v>
      </c>
      <c r="C28" s="191" t="s">
        <v>2684</v>
      </c>
      <c r="D28" s="192" t="s">
        <v>2685</v>
      </c>
    </row>
    <row r="29" spans="1:4" ht="54" customHeight="1" x14ac:dyDescent="0.15">
      <c r="A29" s="30" t="str">
        <f>'HECVAT - Full'!A29</f>
        <v>QUAL-06</v>
      </c>
      <c r="B29" s="30" t="str">
        <f>VLOOKUP(A29,'HECVAT - Full'!A$24:B$312,2,FALSE)</f>
        <v>Will data regulated by PCI DSS reside in the vended product?</v>
      </c>
      <c r="C29" s="191" t="s">
        <v>2686</v>
      </c>
      <c r="D29" s="192" t="s">
        <v>2687</v>
      </c>
    </row>
    <row r="30" spans="1:4" ht="112" customHeight="1" x14ac:dyDescent="0.15">
      <c r="A30" s="30" t="str">
        <f>'HECVAT - Full'!A30</f>
        <v>QUAL-07</v>
      </c>
      <c r="B30" s="30" t="str">
        <f>VLOOKUP(A30,'HECVAT - Full'!A$24:B$312,2,FALSE)</f>
        <v>Is your company a consulting firm providing only consultation to the Institution?</v>
      </c>
      <c r="C30" s="191" t="s">
        <v>3004</v>
      </c>
      <c r="D30" s="192" t="s">
        <v>2688</v>
      </c>
    </row>
    <row r="31" spans="1:4" ht="36" customHeight="1" x14ac:dyDescent="0.15">
      <c r="A31" s="248" t="s">
        <v>18</v>
      </c>
      <c r="B31" s="248"/>
      <c r="C31" s="25" t="str">
        <f>$C$22</f>
        <v>Reason for Question</v>
      </c>
      <c r="D31" s="25" t="str">
        <f>$D$22</f>
        <v>Follow-up Inquiries/Responses</v>
      </c>
    </row>
    <row r="32" spans="1:4" ht="48" customHeight="1" x14ac:dyDescent="0.15">
      <c r="A32" s="30" t="str">
        <f>'HECVAT - Full'!A32</f>
        <v>DOCU-01</v>
      </c>
      <c r="B32" s="30" t="str">
        <f>VLOOKUP(A32,'HECVAT - Full'!A$24:B$312,2,FALSE)</f>
        <v>Have you undergone a SSAE 18 audit?</v>
      </c>
      <c r="C32" s="193" t="s">
        <v>2689</v>
      </c>
      <c r="D32" s="194" t="s">
        <v>2690</v>
      </c>
    </row>
    <row r="33" spans="1:4" ht="64" customHeight="1" x14ac:dyDescent="0.15">
      <c r="A33" s="30" t="str">
        <f>'HECVAT - Full'!A33</f>
        <v>DOCU-02</v>
      </c>
      <c r="B33" s="30" t="str">
        <f>VLOOKUP(A33,'HECVAT - Full'!A$24:B$312,2,FALSE)</f>
        <v>Have you completed the Cloud Security Alliance (CSA) self assessment or CAIQ?</v>
      </c>
      <c r="C33" s="193" t="s">
        <v>2691</v>
      </c>
      <c r="D33" s="194" t="s">
        <v>2692</v>
      </c>
    </row>
    <row r="34" spans="1:4" ht="64" customHeight="1" x14ac:dyDescent="0.15">
      <c r="A34" s="30" t="str">
        <f>'HECVAT - Full'!A34</f>
        <v>DOCU-03</v>
      </c>
      <c r="B34" s="30" t="str">
        <f>VLOOKUP(A34,'HECVAT - Full'!A$24:B$312,2,FALSE)</f>
        <v>Have you received the Cloud Security Alliance STAR certification?</v>
      </c>
      <c r="C34" s="193" t="s">
        <v>2693</v>
      </c>
      <c r="D34" s="195" t="s">
        <v>3005</v>
      </c>
    </row>
    <row r="35" spans="1:4" ht="112" customHeight="1" x14ac:dyDescent="0.15">
      <c r="A35" s="30" t="str">
        <f>'HECVAT - Full'!A35</f>
        <v>DOCU-04</v>
      </c>
      <c r="B35" s="30" t="str">
        <f>VLOOKUP(A35,'HECVAT - Full'!A$24:B$312,2,FALSE)</f>
        <v>Do you conform with a specific industry standard security framework? (e.g. NIST Cybersecurity Framework, ISO 27001, etc.)</v>
      </c>
      <c r="C35" s="193" t="s">
        <v>2694</v>
      </c>
      <c r="D35" s="195" t="s">
        <v>2695</v>
      </c>
    </row>
    <row r="36" spans="1:4" ht="48" customHeight="1" x14ac:dyDescent="0.15">
      <c r="A36" s="30" t="str">
        <f>'HECVAT - Full'!A36</f>
        <v>DOCU-05</v>
      </c>
      <c r="B36" s="30" t="str">
        <f>VLOOKUP(A36,'HECVAT - Full'!A$24:B$312,2,FALSE)</f>
        <v>Are you compliant with FISMA standards?</v>
      </c>
      <c r="C36" s="193" t="s">
        <v>2696</v>
      </c>
      <c r="D36" s="194" t="s">
        <v>2697</v>
      </c>
    </row>
    <row r="37" spans="1:4" ht="96" customHeight="1" x14ac:dyDescent="0.15">
      <c r="A37" s="30" t="str">
        <f>'HECVAT - Full'!A37</f>
        <v>DOCU-06</v>
      </c>
      <c r="B37" s="30" t="str">
        <f>VLOOKUP(A37,'HECVAT - Full'!A$24:B$312,2,FALSE)</f>
        <v>Does your organization have a data privacy policy?</v>
      </c>
      <c r="C37" s="193" t="s">
        <v>3006</v>
      </c>
      <c r="D37" s="196" t="s">
        <v>2698</v>
      </c>
    </row>
    <row r="38" spans="1:4" ht="36" customHeight="1" x14ac:dyDescent="0.15">
      <c r="A38" s="248" t="s">
        <v>152</v>
      </c>
      <c r="B38" s="248"/>
      <c r="C38" s="25" t="str">
        <f>$C$22</f>
        <v>Reason for Question</v>
      </c>
      <c r="D38" s="25" t="str">
        <f>$D$22</f>
        <v>Follow-up Inquiries/Responses</v>
      </c>
    </row>
    <row r="39" spans="1:4" ht="64" customHeight="1" x14ac:dyDescent="0.15">
      <c r="A39" s="30" t="str">
        <f>'HECVAT - Full'!A39</f>
        <v>COMP-01</v>
      </c>
      <c r="B39" s="30" t="str">
        <f>VLOOKUP(A39,'HECVAT - Full'!A$24:B$312,2,FALSE)</f>
        <v>Describe your organization’s business background and ownership structure, including all parent and subsidiary relationships.</v>
      </c>
      <c r="C39" s="193" t="s">
        <v>2699</v>
      </c>
      <c r="D39" s="193" t="s">
        <v>2700</v>
      </c>
    </row>
    <row r="40" spans="1:4" ht="84" customHeight="1" x14ac:dyDescent="0.15">
      <c r="A40" s="30" t="str">
        <f>'HECVAT - Full'!A40</f>
        <v>COMP-02</v>
      </c>
      <c r="B40" s="30" t="str">
        <f>VLOOKUP(A40,'HECVAT - Full'!A$24:B$312,2,FALSE)</f>
        <v>Describe how long your organization has conducted business in this product area.</v>
      </c>
      <c r="C40" s="193" t="s">
        <v>2701</v>
      </c>
      <c r="D40" s="193" t="s">
        <v>3007</v>
      </c>
    </row>
    <row r="41" spans="1:4" ht="96" customHeight="1" x14ac:dyDescent="0.15">
      <c r="A41" s="30" t="str">
        <f>'HECVAT - Full'!A41</f>
        <v>COMP-03</v>
      </c>
      <c r="B41" s="30" t="str">
        <f>VLOOKUP(A41,'HECVAT - Full'!A$24:B$312,2,FALSE)</f>
        <v>Do you have existing higher education customers?</v>
      </c>
      <c r="C41" s="193" t="s">
        <v>2702</v>
      </c>
      <c r="D41" s="197" t="s">
        <v>2703</v>
      </c>
    </row>
    <row r="42" spans="1:4" ht="84" customHeight="1" x14ac:dyDescent="0.15">
      <c r="A42" s="30" t="str">
        <f>'HECVAT - Full'!A42</f>
        <v>COMP-04</v>
      </c>
      <c r="B42" s="30" t="str">
        <f>VLOOKUP(A42,'HECVAT - Full'!A$24:B$312,2,FALSE)</f>
        <v>Have you had a significant breach in the last 5 years?</v>
      </c>
      <c r="C42" s="193" t="s">
        <v>2704</v>
      </c>
      <c r="D42" s="197" t="s">
        <v>2705</v>
      </c>
    </row>
    <row r="43" spans="1:4" ht="124" customHeight="1" x14ac:dyDescent="0.15">
      <c r="A43" s="30" t="str">
        <f>'HECVAT - Full'!A43</f>
        <v>COMP-05</v>
      </c>
      <c r="B43" s="30" t="str">
        <f>VLOOKUP(A43,'HECVAT - Full'!A$24:B$312,2,FALSE)</f>
        <v>Do you have a dedicated Information Security staff or office?</v>
      </c>
      <c r="C43" s="193" t="s">
        <v>2706</v>
      </c>
      <c r="D43" s="197" t="s">
        <v>2707</v>
      </c>
    </row>
    <row r="44" spans="1:4" ht="112" customHeight="1" x14ac:dyDescent="0.15">
      <c r="A44" s="30" t="str">
        <f>'HECVAT - Full'!A44</f>
        <v>COMP-06</v>
      </c>
      <c r="B44" s="30" t="str">
        <f>VLOOKUP(A44,'HECVAT - Full'!A$24:B$312,2,FALSE)</f>
        <v>Do you have a dedicated Software and System Development team(s)? (e.g. Customer Support, Implementation, Product Management, etc.)</v>
      </c>
      <c r="C44" s="193" t="s">
        <v>2708</v>
      </c>
      <c r="D44" s="198" t="s">
        <v>2709</v>
      </c>
    </row>
    <row r="45" spans="1:4" ht="112" customHeight="1" x14ac:dyDescent="0.15">
      <c r="A45" s="30" t="str">
        <f>'HECVAT - Full'!A45</f>
        <v>COMP-07</v>
      </c>
      <c r="B45" s="30" t="str">
        <f>VLOOKUP(A45,'HECVAT - Full'!A$24:B$312,2,FALSE)</f>
        <v>Use this area to share information about your environment that will assist those who are assessing your company data security program.</v>
      </c>
      <c r="C45" s="193" t="s">
        <v>3008</v>
      </c>
      <c r="D45" s="193" t="s">
        <v>2710</v>
      </c>
    </row>
    <row r="46" spans="1:4" ht="36" customHeight="1" x14ac:dyDescent="0.15">
      <c r="A46" s="248" t="str">
        <f>IF($C$26="No","Third Parties - Optional based on QUALIFIER response.","Third Parties")</f>
        <v>Third Parties</v>
      </c>
      <c r="B46" s="248"/>
      <c r="C46" s="25" t="str">
        <f>$C$22</f>
        <v>Reason for Question</v>
      </c>
      <c r="D46" s="25" t="str">
        <f>$D$22</f>
        <v>Follow-up Inquiries/Responses</v>
      </c>
    </row>
    <row r="47" spans="1:4" ht="96" customHeight="1" x14ac:dyDescent="0.15">
      <c r="A47" s="30" t="str">
        <f>'HECVAT - Full'!A47</f>
        <v>THRD-01</v>
      </c>
      <c r="B47" s="30" t="str">
        <f>VLOOKUP(A47,'HECVAT - Full'!A$24:B$312,2,FALSE)</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C47" s="191" t="s">
        <v>3009</v>
      </c>
      <c r="D47" s="191" t="s">
        <v>2711</v>
      </c>
    </row>
    <row r="48" spans="1:4" ht="80" customHeight="1" x14ac:dyDescent="0.15">
      <c r="A48" s="30" t="str">
        <f>'HECVAT - Full'!A48</f>
        <v>THRD-02</v>
      </c>
      <c r="B48" s="30" t="str">
        <f>VLOOKUP(A48,'HECVAT - Full'!A$24:B$312,2,FALSE)</f>
        <v>Provide a brief description for why each of these third parties will have access to institution data.</v>
      </c>
      <c r="C48" s="191" t="s">
        <v>2712</v>
      </c>
      <c r="D48" s="191" t="s">
        <v>2711</v>
      </c>
    </row>
    <row r="49" spans="1:255" ht="80" customHeight="1" x14ac:dyDescent="0.15">
      <c r="A49" s="30" t="str">
        <f>'HECVAT - Full'!A49</f>
        <v>THRD-03</v>
      </c>
      <c r="B49" s="30" t="str">
        <f>VLOOKUP(A49,'HECVAT - Full'!A$24:B$312,2,FALSE)</f>
        <v>What legal agreements (i.e. contracts) do you have in place with these third parties that address liability in the event of a data breach?</v>
      </c>
      <c r="C49" s="191" t="s">
        <v>2713</v>
      </c>
      <c r="D49" s="191" t="s">
        <v>2714</v>
      </c>
    </row>
    <row r="50" spans="1:255" ht="80" customHeight="1" x14ac:dyDescent="0.15">
      <c r="A50" s="30" t="str">
        <f>'HECVAT - Full'!A50</f>
        <v>THRD-04</v>
      </c>
      <c r="B50" s="30" t="str">
        <f>VLOOKUP(A50,'HECVAT - Full'!A$24:B$312,2,FALSE)</f>
        <v>Describe or provide references to your third party management strategy or provide additional information that may help analysts better understand your environment and how it relates to third-party solutions.</v>
      </c>
      <c r="C50" s="191" t="s">
        <v>2715</v>
      </c>
      <c r="D50" s="191" t="s">
        <v>2716</v>
      </c>
    </row>
    <row r="51" spans="1:255" ht="36" customHeight="1" x14ac:dyDescent="0.15">
      <c r="A51" s="248" t="str">
        <f>IF($C$30="","Consulting",IF($C$30="Yes","Consulting - All questions after this section are OPTIONAL.","Consulting - Optional based on QUALIFIER response."))</f>
        <v>Consulting - Optional based on QUALIFIER response.</v>
      </c>
      <c r="B51" s="248"/>
      <c r="C51" s="25" t="str">
        <f>$C$22</f>
        <v>Reason for Question</v>
      </c>
      <c r="D51" s="25" t="str">
        <f>$D$22</f>
        <v>Follow-up Inquiries/Responses</v>
      </c>
    </row>
    <row r="52" spans="1:255" ht="150" x14ac:dyDescent="0.15">
      <c r="A52" s="30" t="str">
        <f>'HECVAT - Full'!A52</f>
        <v>CONS-01</v>
      </c>
      <c r="B52" s="30" t="str">
        <f>VLOOKUP(A52,'HECVAT - Full'!A$24:B$312,2,FALSE)</f>
        <v>Will the consulting take place on-premises?</v>
      </c>
      <c r="C52" s="199" t="s">
        <v>3010</v>
      </c>
      <c r="D52" s="200" t="s">
        <v>2717</v>
      </c>
    </row>
    <row r="53" spans="1:255" ht="180" x14ac:dyDescent="0.15">
      <c r="A53" s="30" t="str">
        <f>'HECVAT - Full'!A53</f>
        <v>CONS-02</v>
      </c>
      <c r="B53" s="30" t="str">
        <f>VLOOKUP(A53,'HECVAT - Full'!A$24:B$312,2,FALSE)</f>
        <v>Will the consultant require access to Institution's network resources?</v>
      </c>
      <c r="C53" s="199" t="s">
        <v>2718</v>
      </c>
      <c r="D53" s="200" t="s">
        <v>2719</v>
      </c>
    </row>
    <row r="54" spans="1:255" ht="120" x14ac:dyDescent="0.15">
      <c r="A54" s="30" t="str">
        <f>'HECVAT - Full'!A54</f>
        <v>CONS-03</v>
      </c>
      <c r="B54" s="30" t="str">
        <f>VLOOKUP(A54,'HECVAT - Full'!A$24:B$312,2,FALSE)</f>
        <v>Will the consultant require access to hardware in the Institution's data centers?</v>
      </c>
      <c r="C54" s="199" t="s">
        <v>2720</v>
      </c>
      <c r="D54" s="200" t="s">
        <v>2721</v>
      </c>
    </row>
    <row r="55" spans="1:255" ht="105" x14ac:dyDescent="0.15">
      <c r="A55" s="30" t="str">
        <f>'HECVAT - Full'!A55</f>
        <v>CONS-04</v>
      </c>
      <c r="B55" s="30" t="str">
        <f>VLOOKUP(A55,'HECVAT - Full'!A$24:B$312,2,FALSE)</f>
        <v>Will the consultant require an account within the Institution's domain (@*.edu)?</v>
      </c>
      <c r="C55" s="199" t="s">
        <v>2722</v>
      </c>
      <c r="D55" s="200" t="s">
        <v>2723</v>
      </c>
    </row>
    <row r="56" spans="1:255" ht="135" x14ac:dyDescent="0.15">
      <c r="A56" s="30" t="str">
        <f>'HECVAT - Full'!A56</f>
        <v>CONS-05</v>
      </c>
      <c r="B56" s="30" t="str">
        <f>VLOOKUP(A56,'HECVAT - Full'!A$24:B$312,2,FALSE)</f>
        <v>Has the consultant received training on [sensitive, HIPAA, PCI, etc.] data handling?</v>
      </c>
      <c r="C56" s="199" t="s">
        <v>2724</v>
      </c>
      <c r="D56" s="200" t="s">
        <v>2725</v>
      </c>
    </row>
    <row r="57" spans="1:255" ht="150" x14ac:dyDescent="0.15">
      <c r="A57" s="30" t="str">
        <f>'HECVAT - Full'!A57</f>
        <v>CONS-06</v>
      </c>
      <c r="B57" s="30" t="str">
        <f>VLOOKUP(A57,'HECVAT - Full'!A$24:B$312,2,FALSE)</f>
        <v>Will any data be transferred to the consultant's possession?</v>
      </c>
      <c r="C57" s="199" t="s">
        <v>3011</v>
      </c>
      <c r="D57" s="200" t="s">
        <v>3012</v>
      </c>
    </row>
    <row r="58" spans="1:255" s="3" customFormat="1" ht="60" x14ac:dyDescent="0.2">
      <c r="A58" s="30" t="str">
        <f>'HECVAT - Full'!A58</f>
        <v>CONS-07</v>
      </c>
      <c r="B58" s="30" t="str">
        <f>VLOOKUP(A58,'HECVAT - Full'!A$24:B$312,2,FALSE)</f>
        <v>Is it encrypted (at rest) while in the consultant's possession?</v>
      </c>
      <c r="C58" s="193" t="s">
        <v>2726</v>
      </c>
      <c r="D58" s="198" t="s">
        <v>2727</v>
      </c>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row>
    <row r="59" spans="1:255" ht="105" x14ac:dyDescent="0.15">
      <c r="A59" s="30" t="str">
        <f>'HECVAT - Full'!A59</f>
        <v>CONS-08</v>
      </c>
      <c r="B59" s="30" t="str">
        <f>VLOOKUP(A59,'HECVAT - Full'!A$24:B$312,2,FALSE)</f>
        <v>Will the consultant need remote access to the Institution's network or systems?</v>
      </c>
      <c r="C59" s="193" t="s">
        <v>2728</v>
      </c>
      <c r="D59" s="197" t="s">
        <v>2729</v>
      </c>
    </row>
    <row r="60" spans="1:255" s="3" customFormat="1" ht="105" x14ac:dyDescent="0.2">
      <c r="A60" s="30" t="str">
        <f>'HECVAT - Full'!A60</f>
        <v>CONS-09</v>
      </c>
      <c r="B60" s="30" t="str">
        <f>VLOOKUP(A60,'HECVAT - Full'!A$24:B$312,2,FALSE)</f>
        <v>Can we restrict that access based on source IP address?</v>
      </c>
      <c r="C60" s="199" t="s">
        <v>2730</v>
      </c>
      <c r="D60" s="200" t="s">
        <v>2731</v>
      </c>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row>
    <row r="61" spans="1:255" ht="36" customHeight="1" x14ac:dyDescent="0.15">
      <c r="A61" s="248" t="str">
        <f>IF($C$30="","Application/Service Security",IF($C$30="Yes","App/Service Security - Optional based on QUALIFIER response.","Application/Service Security"))</f>
        <v>Application/Service Security</v>
      </c>
      <c r="B61" s="248"/>
      <c r="C61" s="25" t="str">
        <f>$C$22</f>
        <v>Reason for Question</v>
      </c>
      <c r="D61" s="25" t="str">
        <f>$D$22</f>
        <v>Follow-up Inquiries/Responses</v>
      </c>
    </row>
    <row r="62" spans="1:255" ht="120" x14ac:dyDescent="0.15">
      <c r="A62" s="30" t="str">
        <f>'HECVAT - Full'!A62</f>
        <v>APPL-01</v>
      </c>
      <c r="B62" s="30" t="str">
        <f>VLOOKUP(A62,'HECVAT - Full'!A$24:B$312,2,FALSE)</f>
        <v>Do you support role-based access control (RBAC) for end-users?</v>
      </c>
      <c r="C62" s="193" t="s">
        <v>3013</v>
      </c>
      <c r="D62" s="196" t="s">
        <v>2732</v>
      </c>
    </row>
    <row r="63" spans="1:255" ht="112" customHeight="1" x14ac:dyDescent="0.15">
      <c r="A63" s="30" t="str">
        <f>'HECVAT - Full'!A63</f>
        <v>APPL-02</v>
      </c>
      <c r="B63" s="30" t="str">
        <f>VLOOKUP(A63,'HECVAT - Full'!A$24:B$312,2,FALSE)</f>
        <v>Do you support role-based access control (RBAC) for system administrators?</v>
      </c>
      <c r="C63" s="193" t="s">
        <v>3063</v>
      </c>
      <c r="D63" s="196" t="s">
        <v>2733</v>
      </c>
    </row>
    <row r="64" spans="1:255" ht="112" customHeight="1" x14ac:dyDescent="0.15">
      <c r="A64" s="30" t="str">
        <f>'HECVAT - Full'!A64</f>
        <v>APPL-03</v>
      </c>
      <c r="B64" s="30" t="str">
        <f>VLOOKUP(A64,'HECVAT - Full'!A$24:B$312,2,FALSE)</f>
        <v>Can employees access customer data remotely?</v>
      </c>
      <c r="C64" s="193" t="s">
        <v>2728</v>
      </c>
      <c r="D64" s="197" t="s">
        <v>2729</v>
      </c>
    </row>
    <row r="65" spans="1:255" ht="112" customHeight="1" x14ac:dyDescent="0.15">
      <c r="A65" s="30" t="str">
        <f>'HECVAT - Full'!A65</f>
        <v>APPL-04</v>
      </c>
      <c r="B65" s="30" t="str">
        <f>VLOOKUP(A65,'HECVAT - Full'!A$24:B$312,2,FALSE)</f>
        <v>Can you provide overall system and/or application architecture diagrams including a full description of the data communications architecture for all components of the system?</v>
      </c>
      <c r="C65" s="193" t="s">
        <v>2734</v>
      </c>
      <c r="D65" s="197" t="s">
        <v>3014</v>
      </c>
    </row>
    <row r="66" spans="1:255" ht="112" customHeight="1" x14ac:dyDescent="0.15">
      <c r="A66" s="30" t="str">
        <f>'HECVAT - Full'!A66</f>
        <v>APPL-05</v>
      </c>
      <c r="B66" s="30" t="str">
        <f>VLOOKUP(A66,'HECVAT - Full'!A$24:B$312,2,FALSE)</f>
        <v xml:space="preserve">Does the system provide data input validation and error messages? </v>
      </c>
      <c r="C66" s="193" t="s">
        <v>2735</v>
      </c>
      <c r="D66" s="198" t="s">
        <v>2736</v>
      </c>
    </row>
    <row r="67" spans="1:255" ht="136" customHeight="1" x14ac:dyDescent="0.15">
      <c r="A67" s="30" t="str">
        <f>'HECVAT - Full'!A67</f>
        <v>APPL-06</v>
      </c>
      <c r="B67" s="30" t="str">
        <f>VLOOKUP(A67,'HECVAT - Full'!A$24:B$312,2,FALSE)</f>
        <v xml:space="preserve">Do you employ a single-tenant environment? </v>
      </c>
      <c r="C67" s="193" t="s">
        <v>2737</v>
      </c>
      <c r="D67" s="198" t="s">
        <v>3015</v>
      </c>
    </row>
    <row r="68" spans="1:255" s="3" customFormat="1" ht="91.5" customHeight="1" x14ac:dyDescent="0.2">
      <c r="A68" s="30" t="str">
        <f>'HECVAT - Full'!A68</f>
        <v>APPL-07</v>
      </c>
      <c r="B68" s="30" t="str">
        <f>VLOOKUP(A68,'HECVAT - Full'!A$24:B$312,2,FALSE)</f>
        <v>What operating system(s) is/are leveraged by the system(s)/application(s) that will have access to institution's data?</v>
      </c>
      <c r="C68" s="191" t="s">
        <v>2738</v>
      </c>
      <c r="D68" s="191" t="s">
        <v>2739</v>
      </c>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row>
    <row r="69" spans="1:255" ht="84" customHeight="1" x14ac:dyDescent="0.15">
      <c r="A69" s="30" t="str">
        <f>'HECVAT - Full'!A69</f>
        <v>APPL-08</v>
      </c>
      <c r="B69" s="30" t="str">
        <f>VLOOKUP(A69,'HECVAT - Full'!A$24:B$312,2,FALSE)</f>
        <v>Have you or any third party you contract with that may have access or allow access to the institution's data experienced a breach?</v>
      </c>
      <c r="C69" s="193" t="s">
        <v>2704</v>
      </c>
      <c r="D69" s="197" t="s">
        <v>2705</v>
      </c>
    </row>
    <row r="70" spans="1:255" ht="120" x14ac:dyDescent="0.15">
      <c r="A70" s="30" t="str">
        <f>'HECVAT - Full'!A70</f>
        <v>APPL-09</v>
      </c>
      <c r="B70" s="30" t="str">
        <f>VLOOKUP(A70,'HECVAT - Full'!A$24:B$312,2,FALSE)</f>
        <v xml:space="preserve">Describe or provide a reference to additional software/products necessary to implement a functional system on either the backend or user-interface side of the system. </v>
      </c>
      <c r="C70" s="191" t="s">
        <v>3055</v>
      </c>
      <c r="D70" s="191" t="s">
        <v>2740</v>
      </c>
    </row>
    <row r="71" spans="1:255" ht="105" x14ac:dyDescent="0.15">
      <c r="A71" s="30" t="str">
        <f>'HECVAT - Full'!A71</f>
        <v>APPL-10</v>
      </c>
      <c r="B71" s="30" t="str">
        <f>VLOOKUP(A71,'HECVAT - Full'!A$24:B$312,2,FALSE)</f>
        <v xml:space="preserve">Describe or provide a reference to the overall system and/or application architecture(s), including appropriate diagrams. Include a full description of the data communications architecture for all components of the system. </v>
      </c>
      <c r="C71" s="191" t="s">
        <v>2741</v>
      </c>
      <c r="D71" s="191" t="s">
        <v>3056</v>
      </c>
    </row>
    <row r="72" spans="1:255" ht="67.5" customHeight="1" x14ac:dyDescent="0.15">
      <c r="A72" s="30" t="str">
        <f>'HECVAT - Full'!A72</f>
        <v>APPL-11</v>
      </c>
      <c r="B72" s="30" t="str">
        <f>VLOOKUP(A72,'HECVAT - Full'!A$24:B$312,2,FALSE)</f>
        <v>Are databases used in the system segregated from front-end systems? (e.g. web and application servers)</v>
      </c>
      <c r="C72" s="191" t="s">
        <v>2742</v>
      </c>
      <c r="D72" s="31" t="s">
        <v>2743</v>
      </c>
    </row>
    <row r="73" spans="1:255" ht="114.75" customHeight="1" x14ac:dyDescent="0.15">
      <c r="A73" s="30" t="str">
        <f>'HECVAT - Full'!A73</f>
        <v>APPL-12</v>
      </c>
      <c r="B73" s="30" t="str">
        <f>VLOOKUP(A73,'HECVAT - Full'!A$24:B$312,2,FALSE)</f>
        <v xml:space="preserve">Describe or provide a reference to all web-enabled features and functionality of the system (i.e. accessed via a web-based interface). </v>
      </c>
      <c r="C73" s="191" t="s">
        <v>3057</v>
      </c>
      <c r="D73" s="191" t="s">
        <v>2744</v>
      </c>
    </row>
    <row r="74" spans="1:255" ht="64.5" customHeight="1" x14ac:dyDescent="0.15">
      <c r="A74" s="30" t="str">
        <f>'HECVAT - Full'!A74</f>
        <v>APPL-13</v>
      </c>
      <c r="B74" s="30" t="str">
        <f>VLOOKUP(A74,'HECVAT - Full'!A$24:B$312,2,FALSE)</f>
        <v>Are there any OS and/or web-browser combinations that are not currently supported?</v>
      </c>
      <c r="C74" s="191" t="s">
        <v>3016</v>
      </c>
      <c r="D74" s="31" t="s">
        <v>2745</v>
      </c>
    </row>
    <row r="75" spans="1:255" ht="63" customHeight="1" x14ac:dyDescent="0.15">
      <c r="A75" s="30" t="str">
        <f>'HECVAT - Full'!A75</f>
        <v>APPL-14</v>
      </c>
      <c r="B75" s="30" t="str">
        <f>VLOOKUP(A75,'HECVAT - Full'!A$24:B$312,2,FALSE)</f>
        <v xml:space="preserve">Can your system take advantage of mobile and/or GPS enabled mobile devices?  </v>
      </c>
      <c r="C75" s="191" t="s">
        <v>2746</v>
      </c>
      <c r="D75" s="31" t="s">
        <v>2747</v>
      </c>
    </row>
    <row r="76" spans="1:255" ht="135" x14ac:dyDescent="0.15">
      <c r="A76" s="30" t="str">
        <f>'HECVAT - Full'!A76</f>
        <v>APPL-15</v>
      </c>
      <c r="B76" s="30" t="str">
        <f>VLOOKUP(A76,'HECVAT - Full'!A$24:B$312,2,FALSE)</f>
        <v>Describe or provide a reference to the facilities available in the system to provide separation of duties between security administration and system administration functions.</v>
      </c>
      <c r="C76" s="193" t="s">
        <v>3058</v>
      </c>
      <c r="D76" s="196" t="s">
        <v>2733</v>
      </c>
    </row>
    <row r="77" spans="1:255" ht="105" x14ac:dyDescent="0.15">
      <c r="A77" s="30" t="str">
        <f>'HECVAT - Full'!A77</f>
        <v>APPL-16</v>
      </c>
      <c r="B77" s="30" t="str">
        <f>VLOOKUP(A77,'HECVAT - Full'!A$24:B$312,2,FALSE)</f>
        <v>Describe or provide a reference that details how administrator access is handled (e.g. provisioning, principle of least privilege, deprovisioning, etc.)</v>
      </c>
      <c r="C77" s="191" t="s">
        <v>2748</v>
      </c>
      <c r="D77" s="31" t="s">
        <v>2749</v>
      </c>
    </row>
    <row r="78" spans="1:255" ht="65" customHeight="1" x14ac:dyDescent="0.15">
      <c r="A78" s="30" t="str">
        <f>'HECVAT - Full'!A78</f>
        <v>APPL-17</v>
      </c>
      <c r="B78" s="30" t="str">
        <f>VLOOKUP(A78,'HECVAT - Full'!A$24:B$312,2,FALSE)</f>
        <v>Describe or provide references explaining how tertiary services are redundant (i.e. DNS, ISP, etc.).</v>
      </c>
      <c r="C78" s="191" t="s">
        <v>2750</v>
      </c>
      <c r="D78" s="191" t="s">
        <v>2751</v>
      </c>
    </row>
    <row r="79" spans="1:255" ht="36" customHeight="1" x14ac:dyDescent="0.15">
      <c r="A79" s="248" t="str">
        <f>IF($C$30="","Authentication, Authorization, and Accounting",IF($C$30="Yes","AAA - Optional based on QUALIFIER response.","Authentication, Authorization, and Accounting"))</f>
        <v>Authentication, Authorization, and Accounting</v>
      </c>
      <c r="B79" s="248"/>
      <c r="C79" s="25" t="str">
        <f>$C$22</f>
        <v>Reason for Question</v>
      </c>
      <c r="D79" s="25" t="str">
        <f>$D$22</f>
        <v>Follow-up Inquiries/Responses</v>
      </c>
    </row>
    <row r="80" spans="1:255" ht="112" customHeight="1" x14ac:dyDescent="0.15">
      <c r="A80" s="30" t="str">
        <f>'HECVAT - Full'!A80</f>
        <v>AAAI-01</v>
      </c>
      <c r="B80" s="30" t="str">
        <f>VLOOKUP(A80,'HECVAT - Full'!A$24:B$312,2,FALSE)</f>
        <v>Can you enforce password/passphrase aging requirements?</v>
      </c>
      <c r="C80" s="193" t="s">
        <v>2752</v>
      </c>
      <c r="D80" s="198" t="s">
        <v>2753</v>
      </c>
    </row>
    <row r="81" spans="1:4" ht="60" x14ac:dyDescent="0.15">
      <c r="A81" s="30" t="str">
        <f>'HECVAT - Full'!A81</f>
        <v>AAAI-02</v>
      </c>
      <c r="B81" s="30" t="str">
        <f>VLOOKUP(A81,'HECVAT - Full'!A$24:B$312,2,FALSE)</f>
        <v>Can you enforce password/passphrase complexity requirements [provided by the institution]?</v>
      </c>
      <c r="C81" s="191" t="s">
        <v>2754</v>
      </c>
      <c r="D81" s="31" t="s">
        <v>2755</v>
      </c>
    </row>
    <row r="82" spans="1:4" ht="60" x14ac:dyDescent="0.15">
      <c r="A82" s="30" t="str">
        <f>'HECVAT - Full'!A82</f>
        <v>AAAI-03</v>
      </c>
      <c r="B82" s="30" t="str">
        <f>VLOOKUP(A82,'HECVAT - Full'!A$24:B$312,2,FALSE)</f>
        <v>Does the system have password complexity or length limitations and/or restrictions?</v>
      </c>
      <c r="C82" s="191" t="s">
        <v>2754</v>
      </c>
      <c r="D82" s="31" t="s">
        <v>2756</v>
      </c>
    </row>
    <row r="83" spans="1:4" ht="60" x14ac:dyDescent="0.15">
      <c r="A83" s="30" t="str">
        <f>'HECVAT - Full'!A83</f>
        <v>AAAI-04</v>
      </c>
      <c r="B83" s="30" t="str">
        <f>VLOOKUP(A83,'HECVAT - Full'!A$24:B$312,2,FALSE)</f>
        <v>Do you have documented password/passphrase reset procedures that are currently implemented in the system and/or customer support?</v>
      </c>
      <c r="C83" s="191" t="s">
        <v>2757</v>
      </c>
      <c r="D83" s="201" t="s">
        <v>2758</v>
      </c>
    </row>
    <row r="84" spans="1:4" ht="112" customHeight="1" x14ac:dyDescent="0.15">
      <c r="A84" s="30" t="str">
        <f>'HECVAT - Full'!A84</f>
        <v>AAAI-05</v>
      </c>
      <c r="B84" s="30" t="str">
        <f>VLOOKUP(A84,'HECVAT - Full'!A$24:B$312,2,FALSE)</f>
        <v>Does your web-based interface support authentication, including standards-based single-sign-on? (e.g. InCommon)</v>
      </c>
      <c r="C84" s="193" t="s">
        <v>3017</v>
      </c>
      <c r="D84" s="193" t="s">
        <v>2759</v>
      </c>
    </row>
    <row r="85" spans="1:4" ht="75" x14ac:dyDescent="0.15">
      <c r="A85" s="30" t="str">
        <f>'HECVAT - Full'!A85</f>
        <v>AAAI-06</v>
      </c>
      <c r="B85" s="30" t="str">
        <f>VLOOKUP(A85,'HECVAT - Full'!A$24:B$312,2,FALSE)</f>
        <v>Are there any passwords/passphrases hard coded into your systems or products?</v>
      </c>
      <c r="C85" s="191" t="s">
        <v>2760</v>
      </c>
      <c r="D85" s="31" t="s">
        <v>2761</v>
      </c>
    </row>
    <row r="86" spans="1:4" ht="75" x14ac:dyDescent="0.15">
      <c r="A86" s="30" t="str">
        <f>'HECVAT - Full'!A86</f>
        <v>AAAI-07</v>
      </c>
      <c r="B86" s="30" t="str">
        <f>VLOOKUP(A86,'HECVAT - Full'!A$24:B$312,2,FALSE)</f>
        <v>Are user account passwords/passphrases visible in administration modules?</v>
      </c>
      <c r="C86" s="191" t="s">
        <v>2762</v>
      </c>
      <c r="D86" s="31" t="s">
        <v>2763</v>
      </c>
    </row>
    <row r="87" spans="1:4" ht="45" x14ac:dyDescent="0.15">
      <c r="A87" s="30" t="str">
        <f>'HECVAT - Full'!A87</f>
        <v>AAAI-08</v>
      </c>
      <c r="B87" s="30" t="str">
        <f>VLOOKUP(A87,'HECVAT - Full'!A$24:B$312,2,FALSE)</f>
        <v>Are user account passwords/passphrases stored encrypted?</v>
      </c>
      <c r="C87" s="191" t="s">
        <v>2764</v>
      </c>
      <c r="D87" s="31" t="s">
        <v>3018</v>
      </c>
    </row>
    <row r="88" spans="1:4" ht="62.25" customHeight="1" x14ac:dyDescent="0.15">
      <c r="A88" s="30" t="str">
        <f>'HECVAT - Full'!A88</f>
        <v>AAAI-09</v>
      </c>
      <c r="B88" s="30" t="str">
        <f>VLOOKUP(A88,'HECVAT - Full'!A$24:B$312,2,FALSE)</f>
        <v>Does your application and/or user-frontend/portal support multi-factor authentication? (e.g. Duo, Google Authenticator, OTP, etc.)</v>
      </c>
      <c r="C88" s="191" t="s">
        <v>2765</v>
      </c>
      <c r="D88" s="31" t="s">
        <v>2766</v>
      </c>
    </row>
    <row r="89" spans="1:4" ht="84" customHeight="1" x14ac:dyDescent="0.15">
      <c r="A89" s="30" t="str">
        <f>'HECVAT - Full'!A89</f>
        <v>AAAI-10</v>
      </c>
      <c r="B89" s="30" t="str">
        <f>VLOOKUP(A89,'HECVAT - Full'!A$24:B$312,2,FALSE)</f>
        <v>Does your application support integration with other authentication and authorization systems?  List which ones (such as Active Directory, Kerberos and what version) in Additional Info?</v>
      </c>
      <c r="C89" s="193" t="s">
        <v>3017</v>
      </c>
      <c r="D89" s="193" t="s">
        <v>2767</v>
      </c>
    </row>
    <row r="90" spans="1:4" ht="75" x14ac:dyDescent="0.15">
      <c r="A90" s="30" t="str">
        <f>'HECVAT - Full'!A90</f>
        <v>AAAI-11</v>
      </c>
      <c r="B90" s="30" t="str">
        <f>VLOOKUP(A90,'HECVAT - Full'!A$24:B$312,2,FALSE)</f>
        <v>Will any external authentication or authorization system be utilized by an application with access to the institution's data?</v>
      </c>
      <c r="C90" s="31" t="s">
        <v>2768</v>
      </c>
      <c r="D90" s="31" t="s">
        <v>2769</v>
      </c>
    </row>
    <row r="91" spans="1:4" ht="96" customHeight="1" x14ac:dyDescent="0.15">
      <c r="A91" s="30" t="str">
        <f>'HECVAT - Full'!A91</f>
        <v>AAAI-12</v>
      </c>
      <c r="B91" s="30" t="str">
        <f>VLOOKUP(A91,'HECVAT - Full'!A$24:B$312,2,FALSE)</f>
        <v>Does the system (servers/infrastructure) support external authentication services (e.g. Active Directory, LDAP) in place of local authentication?</v>
      </c>
      <c r="C91" s="193" t="s">
        <v>3019</v>
      </c>
      <c r="D91" s="198" t="s">
        <v>3059</v>
      </c>
    </row>
    <row r="92" spans="1:4" ht="63.75" customHeight="1" x14ac:dyDescent="0.15">
      <c r="A92" s="30" t="str">
        <f>'HECVAT - Full'!A92</f>
        <v>AAAI-13</v>
      </c>
      <c r="B92" s="30" t="str">
        <f>VLOOKUP(A92,'HECVAT - Full'!A$24:B$312,2,FALSE)</f>
        <v>Does the system operate in a mixed authentication mode (i.e. external and local authentication)?</v>
      </c>
      <c r="C92" s="31" t="s">
        <v>2770</v>
      </c>
      <c r="D92" s="31" t="s">
        <v>2771</v>
      </c>
    </row>
    <row r="93" spans="1:4" ht="63" customHeight="1" x14ac:dyDescent="0.15">
      <c r="A93" s="30" t="str">
        <f>'HECVAT - Full'!A93</f>
        <v>AAAI-14</v>
      </c>
      <c r="B93" s="30" t="str">
        <f>VLOOKUP(A93,'HECVAT - Full'!A$24:B$312,2,FALSE)</f>
        <v>Will any external authentication or authorization system be utilized by a system with access to institution data?</v>
      </c>
      <c r="C93" s="31" t="s">
        <v>2770</v>
      </c>
      <c r="D93" s="31" t="s">
        <v>2771</v>
      </c>
    </row>
    <row r="94" spans="1:4" ht="96" customHeight="1" x14ac:dyDescent="0.15">
      <c r="A94" s="30" t="str">
        <f>'HECVAT - Full'!A94</f>
        <v>AAAI-15</v>
      </c>
      <c r="B94" s="30" t="str">
        <f>VLOOKUP(A94,'HECVAT - Full'!A$24:B$312,2,FALSE)</f>
        <v>Are audit logs available that include AT LEAST all of the following; login, logout, actions performed, and source IP address?</v>
      </c>
      <c r="C94" s="193" t="s">
        <v>2772</v>
      </c>
      <c r="D94" s="197" t="s">
        <v>2773</v>
      </c>
    </row>
    <row r="95" spans="1:4" ht="120" x14ac:dyDescent="0.15">
      <c r="A95" s="30" t="str">
        <f>'HECVAT - Full'!A95</f>
        <v>AAAI-16</v>
      </c>
      <c r="B95" s="30" t="str">
        <f>VLOOKUP(A95,'HECVAT - Full'!A$24:B$312,2,FALSE)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95" s="193" t="s">
        <v>3060</v>
      </c>
      <c r="D95" s="197" t="s">
        <v>2773</v>
      </c>
    </row>
    <row r="96" spans="1:4" ht="89.25" customHeight="1" x14ac:dyDescent="0.15">
      <c r="A96" s="30" t="str">
        <f>'HECVAT - Full'!A96</f>
        <v>AAAI-17</v>
      </c>
      <c r="B96" s="30" t="str">
        <f>VLOOKUP(A96,'HECVAT - Full'!A$24:B$312,2,FALSE)</f>
        <v>Describe or provide a reference to the retention period for those logs, how logs are protected, and whether they are accessible to the customer (and if so, how).</v>
      </c>
      <c r="C96" s="191" t="s">
        <v>2774</v>
      </c>
      <c r="D96" s="198" t="s">
        <v>2775</v>
      </c>
    </row>
    <row r="97" spans="1:4" ht="36" customHeight="1" x14ac:dyDescent="0.15">
      <c r="A97" s="248" t="str">
        <f>IF(OR($C$27="No",$C$30="Yes"),"BCP - Respond to as many questions below as possible.","Business Continuity Plan")</f>
        <v>Business Continuity Plan</v>
      </c>
      <c r="B97" s="248"/>
      <c r="C97" s="25" t="str">
        <f>$C$22</f>
        <v>Reason for Question</v>
      </c>
      <c r="D97" s="25" t="str">
        <f>$D$22</f>
        <v>Follow-up Inquiries/Responses</v>
      </c>
    </row>
    <row r="98" spans="1:4" ht="120" x14ac:dyDescent="0.15">
      <c r="A98" s="30" t="str">
        <f>'HECVAT - Full'!A98</f>
        <v>BCPL-01</v>
      </c>
      <c r="B98" s="30" t="str">
        <f>VLOOKUP(A98,'HECVAT - Full'!A$24:B$312,2,FALSE)</f>
        <v>Describe or provide a reference to your Business Continuity Plan (BCP).</v>
      </c>
      <c r="C98" s="193" t="s">
        <v>3020</v>
      </c>
      <c r="D98" s="197" t="s">
        <v>2776</v>
      </c>
    </row>
    <row r="99" spans="1:4" ht="47" customHeight="1" x14ac:dyDescent="0.15">
      <c r="A99" s="30" t="str">
        <f>'HECVAT - Full'!A99</f>
        <v>BCPL-02</v>
      </c>
      <c r="B99" s="30" t="str">
        <f>VLOOKUP(A99,'HECVAT - Full'!A$24:B$312,2,FALSE)</f>
        <v>May the Institution review your BCP and supporting documentation?</v>
      </c>
      <c r="C99" s="191" t="s">
        <v>3021</v>
      </c>
      <c r="D99" s="31" t="s">
        <v>2777</v>
      </c>
    </row>
    <row r="100" spans="1:4" ht="60" x14ac:dyDescent="0.15">
      <c r="A100" s="30" t="str">
        <f>'HECVAT - Full'!A100</f>
        <v>BCPL-03</v>
      </c>
      <c r="B100" s="30" t="str">
        <f>VLOOKUP(A100,'HECVAT - Full'!A$24:B$312,2,FALSE)</f>
        <v>Is an owner assigned who is responsible for the maintenance and review of the Business Continuity Plan?</v>
      </c>
      <c r="C100" s="191" t="s">
        <v>3022</v>
      </c>
      <c r="D100" s="198" t="s">
        <v>2778</v>
      </c>
    </row>
    <row r="101" spans="1:4" ht="60" x14ac:dyDescent="0.15">
      <c r="A101" s="30" t="str">
        <f>'HECVAT - Full'!A101</f>
        <v>BCPL-04</v>
      </c>
      <c r="B101" s="30" t="str">
        <f>VLOOKUP(A101,'HECVAT - Full'!A$24:B$312,2,FALSE)</f>
        <v>Is there a defined problem/issue escalation plan in your BCP for impacted clients?</v>
      </c>
      <c r="C101" s="193" t="s">
        <v>2779</v>
      </c>
      <c r="D101" s="197" t="s">
        <v>2780</v>
      </c>
    </row>
    <row r="102" spans="1:4" ht="64" customHeight="1" x14ac:dyDescent="0.15">
      <c r="A102" s="30" t="str">
        <f>'HECVAT - Full'!A102</f>
        <v>BCPL-05</v>
      </c>
      <c r="B102" s="30" t="str">
        <f>VLOOKUP(A102,'HECVAT - Full'!A$24:B$312,2,FALSE)</f>
        <v>Is there a documented communication plan in your BCP for impacted clients?</v>
      </c>
      <c r="C102" s="193" t="s">
        <v>2779</v>
      </c>
      <c r="D102" s="197" t="s">
        <v>2780</v>
      </c>
    </row>
    <row r="103" spans="1:4" ht="96" customHeight="1" x14ac:dyDescent="0.15">
      <c r="A103" s="30" t="str">
        <f>'HECVAT - Full'!A103</f>
        <v>BCPL-06</v>
      </c>
      <c r="B103" s="30" t="str">
        <f>VLOOKUP(A103,'HECVAT - Full'!A$24:B$312,2,FALSE)</f>
        <v xml:space="preserve">Are all components of the BCP reviewed at least annually and updated as needed to reflect change? </v>
      </c>
      <c r="C103" s="193" t="s">
        <v>2781</v>
      </c>
      <c r="D103" s="197" t="s">
        <v>2782</v>
      </c>
    </row>
    <row r="104" spans="1:4" ht="60" x14ac:dyDescent="0.15">
      <c r="A104" s="30" t="str">
        <f>'HECVAT - Full'!A104</f>
        <v>BCPL-07</v>
      </c>
      <c r="B104" s="30" t="str">
        <f>VLOOKUP(A104,'HECVAT - Full'!A$24:B$312,2,FALSE)</f>
        <v xml:space="preserve">Has your BCP been tested in the last year? </v>
      </c>
      <c r="C104" s="193" t="s">
        <v>3023</v>
      </c>
      <c r="D104" s="197" t="s">
        <v>2782</v>
      </c>
    </row>
    <row r="105" spans="1:4" ht="75" x14ac:dyDescent="0.15">
      <c r="A105" s="30" t="str">
        <f>'HECVAT - Full'!A105</f>
        <v>BCPL-08</v>
      </c>
      <c r="B105" s="30" t="str">
        <f>VLOOKUP(A105,'HECVAT - Full'!A$24:B$312,2,FALSE)</f>
        <v>Does your organization conduct training and awareness activities to validate its employees understanding of their roles and responsibilities during a crisis?</v>
      </c>
      <c r="C105" s="191" t="s">
        <v>3024</v>
      </c>
      <c r="D105" s="31" t="s">
        <v>2783</v>
      </c>
    </row>
    <row r="106" spans="1:4" ht="90" x14ac:dyDescent="0.15">
      <c r="A106" s="30" t="str">
        <f>'HECVAT - Full'!A106</f>
        <v>BCPL-09</v>
      </c>
      <c r="B106" s="30" t="str">
        <f>VLOOKUP(A106,'HECVAT - Full'!A$24:B$312,2,FALSE)</f>
        <v>Are specific crisis management roles and responsibilities defined and documented?</v>
      </c>
      <c r="C106" s="191" t="s">
        <v>2784</v>
      </c>
      <c r="D106" s="31" t="s">
        <v>2785</v>
      </c>
    </row>
    <row r="107" spans="1:4" ht="90" x14ac:dyDescent="0.15">
      <c r="A107" s="30" t="str">
        <f>'HECVAT - Full'!A107</f>
        <v>BCPL-10</v>
      </c>
      <c r="B107" s="30" t="str">
        <f>VLOOKUP(A107,'HECVAT - Full'!A$24:B$312,2,FALSE)</f>
        <v>Does your organization have an alternative business site or a contracted Business Recovery provider?</v>
      </c>
      <c r="C107" s="191" t="s">
        <v>2786</v>
      </c>
      <c r="D107" s="31" t="s">
        <v>2787</v>
      </c>
    </row>
    <row r="108" spans="1:4" ht="75" x14ac:dyDescent="0.15">
      <c r="A108" s="30" t="str">
        <f>'HECVAT - Full'!A108</f>
        <v>BCPL-11</v>
      </c>
      <c r="B108" s="30" t="str">
        <f>VLOOKUP(A108,'HECVAT - Full'!A$24:B$312,2,FALSE)</f>
        <v>Does your organization conduct an annual test of relocating to an alternate site for business recovery purposes?</v>
      </c>
      <c r="C108" s="193" t="s">
        <v>3025</v>
      </c>
      <c r="D108" s="197" t="s">
        <v>2782</v>
      </c>
    </row>
    <row r="109" spans="1:4" ht="90" x14ac:dyDescent="0.15">
      <c r="A109" s="30" t="str">
        <f>'HECVAT - Full'!A109</f>
        <v>BCPL-12</v>
      </c>
      <c r="B109" s="30" t="str">
        <f>VLOOKUP(A109,'HECVAT - Full'!A$24:B$312,2,FALSE)</f>
        <v>Is this product a core service of your organization, and as such, the top priority during business continuity planning?</v>
      </c>
      <c r="C109" s="191" t="s">
        <v>2788</v>
      </c>
      <c r="D109" s="31" t="s">
        <v>2789</v>
      </c>
    </row>
    <row r="110" spans="1:4" ht="36" customHeight="1" x14ac:dyDescent="0.15">
      <c r="A110" s="248" t="str">
        <f>IF($C$30="","Change Management",IF($C$30="Yes","Change Management - Optional based on QUALIFIER response.","Change Management"))</f>
        <v>Change Management</v>
      </c>
      <c r="B110" s="248"/>
      <c r="C110" s="25" t="str">
        <f>$C$22</f>
        <v>Reason for Question</v>
      </c>
      <c r="D110" s="25" t="str">
        <f>$D$22</f>
        <v>Follow-up Inquiries/Responses</v>
      </c>
    </row>
    <row r="111" spans="1:4" ht="75" x14ac:dyDescent="0.15">
      <c r="A111" s="30" t="str">
        <f>'HECVAT - Full'!A111</f>
        <v>CHNG-01</v>
      </c>
      <c r="B111" s="30" t="str">
        <f>VLOOKUP(A111,'HECVAT - Full'!A$24:B$312,2,FALSE)</f>
        <v xml:space="preserve">Do you have a documented and currently followed change management process (CMP)? </v>
      </c>
      <c r="C111" s="193" t="s">
        <v>2790</v>
      </c>
      <c r="D111" s="197" t="s">
        <v>2791</v>
      </c>
    </row>
    <row r="112" spans="1:4" ht="80" customHeight="1" x14ac:dyDescent="0.15">
      <c r="A112" s="30" t="str">
        <f>'HECVAT - Full'!A112</f>
        <v>CHNG-02</v>
      </c>
      <c r="B112" s="30" t="str">
        <f>VLOOKUP(A112,'HECVAT - Full'!A$24:B$312,2,FALSE)</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C112" s="191" t="s">
        <v>2792</v>
      </c>
      <c r="D112" s="191" t="s">
        <v>2793</v>
      </c>
    </row>
    <row r="113" spans="1:255" ht="72" customHeight="1" x14ac:dyDescent="0.15">
      <c r="A113" s="30" t="str">
        <f>'HECVAT - Full'!A113</f>
        <v>CHNG-03</v>
      </c>
      <c r="B113" s="30" t="str">
        <f>VLOOKUP(A113,'HECVAT - Full'!A$24:B$312,2,FALSE)</f>
        <v>Will the Institution be notified of major changes to your environment that could impact the Institution's security posture?</v>
      </c>
      <c r="C113" s="193" t="s">
        <v>2794</v>
      </c>
      <c r="D113" s="197" t="s">
        <v>2780</v>
      </c>
    </row>
    <row r="114" spans="1:255" ht="120" x14ac:dyDescent="0.15">
      <c r="A114" s="30" t="str">
        <f>'HECVAT - Full'!A114</f>
        <v>CHNG-04</v>
      </c>
      <c r="B114" s="30" t="str">
        <f>VLOOKUP(A114,'HECVAT - Full'!A$24:B$312,2,FALSE)</f>
        <v>Do clients have the option to not participate in or postpone an upgrade to a new release?</v>
      </c>
      <c r="C114" s="191" t="s">
        <v>3026</v>
      </c>
      <c r="D114" s="191" t="s">
        <v>2795</v>
      </c>
    </row>
    <row r="115" spans="1:255" ht="64.25" customHeight="1" x14ac:dyDescent="0.15">
      <c r="A115" s="30" t="str">
        <f>'HECVAT - Full'!A115</f>
        <v>CHNG-05</v>
      </c>
      <c r="B115" s="30" t="str">
        <f>VLOOKUP(A115,'HECVAT - Full'!A$24:B$312,2,FALSE)</f>
        <v>Describe or provide a reference to your solution support strategy in relation to maintaining software currency. (i.e. how many concurrent versions are you willing to run and support?)</v>
      </c>
      <c r="C115" s="191" t="s">
        <v>2796</v>
      </c>
      <c r="D115" s="191" t="s">
        <v>2797</v>
      </c>
    </row>
    <row r="116" spans="1:255" ht="79.5" customHeight="1" x14ac:dyDescent="0.15">
      <c r="A116" s="30" t="str">
        <f>'HECVAT - Full'!A116</f>
        <v>CHNG-06</v>
      </c>
      <c r="B116" s="30" t="str">
        <f>VLOOKUP(A116,'HECVAT - Full'!A$24:B$312,2,FALSE)</f>
        <v>Identify the most current version of the software. Detail the percentage of live customers that are utilizing the proposed version of the software as well as each version of the software currently in use.</v>
      </c>
      <c r="C116" s="191" t="s">
        <v>2798</v>
      </c>
      <c r="D116" s="191" t="s">
        <v>2797</v>
      </c>
    </row>
    <row r="117" spans="1:255" ht="92.25" customHeight="1" x14ac:dyDescent="0.15">
      <c r="A117" s="30" t="str">
        <f>'HECVAT - Full'!A117</f>
        <v>CHNG-07</v>
      </c>
      <c r="B117" s="30" t="str">
        <f>VLOOKUP(A117,'HECVAT - Full'!A$24:B$312,2,FALSE)</f>
        <v>Does the system support client customizations from one release to another?</v>
      </c>
      <c r="C117" s="191" t="s">
        <v>2799</v>
      </c>
      <c r="D117" s="191" t="s">
        <v>3027</v>
      </c>
    </row>
    <row r="118" spans="1:255" ht="64.25" customHeight="1" x14ac:dyDescent="0.15">
      <c r="A118" s="30" t="str">
        <f>'HECVAT - Full'!A118</f>
        <v>CHNG-08</v>
      </c>
      <c r="B118" s="30" t="str">
        <f>VLOOKUP(A118,'HECVAT - Full'!A$24:B$312,2,FALSE)</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C118" s="191" t="s">
        <v>2800</v>
      </c>
      <c r="D118" s="191" t="s">
        <v>2801</v>
      </c>
    </row>
    <row r="119" spans="1:255" ht="64.25" customHeight="1" x14ac:dyDescent="0.15">
      <c r="A119" s="30" t="str">
        <f>'HECVAT - Full'!A119</f>
        <v>CHNG-09</v>
      </c>
      <c r="B119" s="30" t="str">
        <f>VLOOKUP(A119,'HECVAT - Full'!A$24:B$312,2,FALSE)</f>
        <v>Do you have a release schedule for product updates?</v>
      </c>
      <c r="C119" s="191" t="s">
        <v>2802</v>
      </c>
      <c r="D119" s="191" t="s">
        <v>2803</v>
      </c>
    </row>
    <row r="120" spans="1:255" ht="64.25" customHeight="1" x14ac:dyDescent="0.15">
      <c r="A120" s="30" t="str">
        <f>'HECVAT - Full'!A120</f>
        <v>CHNG-10</v>
      </c>
      <c r="B120" s="30" t="str">
        <f>VLOOKUP(A120,'HECVAT - Full'!A$24:B$312,2,FALSE)</f>
        <v>Do you have a technology roadmap, for the next 2 years, for enhancements and bug fixes for the product/service being assessed?</v>
      </c>
      <c r="C120" s="191" t="s">
        <v>2804</v>
      </c>
      <c r="D120" s="191" t="s">
        <v>2805</v>
      </c>
    </row>
    <row r="121" spans="1:255" ht="120" x14ac:dyDescent="0.15">
      <c r="A121" s="30" t="str">
        <f>'HECVAT - Full'!A121</f>
        <v>CHNG-11</v>
      </c>
      <c r="B121" s="30" t="str">
        <f>VLOOKUP(A121,'HECVAT - Full'!A$24:B$312,2,FALSE)</f>
        <v>Is Institution involvement (i.e. technically or organizationally) required during product updates?</v>
      </c>
      <c r="C121" s="191" t="s">
        <v>3028</v>
      </c>
      <c r="D121" s="191" t="s">
        <v>2806</v>
      </c>
    </row>
    <row r="122" spans="1:255" ht="64.25" customHeight="1" x14ac:dyDescent="0.15">
      <c r="A122" s="30" t="str">
        <f>'HECVAT - Full'!A122</f>
        <v>CHNG-12</v>
      </c>
      <c r="B122" s="30" t="str">
        <f>VLOOKUP(A122,'HECVAT - Full'!A$24:B$312,2,FALSE)</f>
        <v>Do you have policy and procedure, currently implemented, managing how critical patches are applied to all systems and applications?</v>
      </c>
      <c r="C122" s="191" t="s">
        <v>2807</v>
      </c>
      <c r="D122" s="191" t="s">
        <v>2808</v>
      </c>
    </row>
    <row r="123" spans="1:255" ht="96" customHeight="1" x14ac:dyDescent="0.15">
      <c r="A123" s="30" t="str">
        <f>'HECVAT - Full'!A123</f>
        <v>CHNG-13</v>
      </c>
      <c r="B123" s="30" t="str">
        <f>VLOOKUP(A123,'HECVAT - Full'!A$24:B$312,2,FALSE)</f>
        <v>Do you have policy and procedure, currently implemented, guiding how security risks are mitigated until patches can be applied?</v>
      </c>
      <c r="C123" s="193" t="s">
        <v>3029</v>
      </c>
      <c r="D123" s="197" t="s">
        <v>2809</v>
      </c>
    </row>
    <row r="124" spans="1:255" ht="73.5" customHeight="1" x14ac:dyDescent="0.15">
      <c r="A124" s="30" t="str">
        <f>'HECVAT - Full'!A124</f>
        <v>CHNG-14</v>
      </c>
      <c r="B124" s="30" t="str">
        <f>VLOOKUP(A124,'HECVAT - Full'!A$24:B$312,2,FALSE)</f>
        <v>Are upgrades or system changes installed during off-peak hours or in a manner that does not impact the customer?</v>
      </c>
      <c r="C124" s="191" t="s">
        <v>2810</v>
      </c>
      <c r="D124" s="191" t="s">
        <v>2793</v>
      </c>
    </row>
    <row r="125" spans="1:255" ht="80" customHeight="1" x14ac:dyDescent="0.15">
      <c r="A125" s="30" t="str">
        <f>'HECVAT - Full'!A125</f>
        <v>CHNG-15</v>
      </c>
      <c r="B125" s="30" t="str">
        <f>VLOOKUP(A125,'HECVAT - Full'!A$24:B$312,2,FALSE)</f>
        <v>Do procedures exist to provide that emergency changes are documented and authorized (including after the fact approval)?</v>
      </c>
      <c r="C125" s="193" t="s">
        <v>2811</v>
      </c>
      <c r="D125" s="193" t="s">
        <v>2812</v>
      </c>
    </row>
    <row r="126" spans="1:255" ht="36" customHeight="1" x14ac:dyDescent="0.2">
      <c r="A126" s="248" t="str">
        <f>IF($C$30="","Data",IF($C$30="Yes","Data - Optional based on QUALIFIER response.","Data"))</f>
        <v>Data</v>
      </c>
      <c r="B126" s="248"/>
      <c r="C126" s="25" t="str">
        <f>$C$22</f>
        <v>Reason for Question</v>
      </c>
      <c r="D126" s="25" t="str">
        <f>$D$22</f>
        <v>Follow-up Inquiries/Responses</v>
      </c>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row>
    <row r="127" spans="1:255" ht="135" x14ac:dyDescent="0.2">
      <c r="A127" s="30" t="str">
        <f>'HECVAT - Full'!A127</f>
        <v>DATA-01</v>
      </c>
      <c r="B127" s="30" t="str">
        <f>VLOOKUP(A127,'HECVAT - Full'!A$24:B$312,2,FALSE)</f>
        <v>Do you physically and logically separate Institution's data from that of other customers?</v>
      </c>
      <c r="C127" s="193" t="s">
        <v>2737</v>
      </c>
      <c r="D127" s="198" t="s">
        <v>2813</v>
      </c>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row>
    <row r="128" spans="1:255" ht="74.25" customHeight="1" x14ac:dyDescent="0.2">
      <c r="A128" s="30" t="str">
        <f>'HECVAT - Full'!A128</f>
        <v>DATA-02</v>
      </c>
      <c r="B128" s="30" t="str">
        <f>VLOOKUP(A128,'HECVAT - Full'!A$24:B$312,2,FALSE)</f>
        <v>Will Institution's data be stored on any devices (database servers, file servers, SAN, NAS, …) configured with non-RFC 1918/4193 (i.e. publicly routable) IP addresses?</v>
      </c>
      <c r="C128" s="202" t="s">
        <v>2814</v>
      </c>
      <c r="D128" s="203" t="s">
        <v>2815</v>
      </c>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row>
    <row r="129" spans="1:255" ht="68" customHeight="1" x14ac:dyDescent="0.2">
      <c r="A129" s="30" t="str">
        <f>'HECVAT - Full'!A129</f>
        <v>DATA-03</v>
      </c>
      <c r="B129" s="30" t="str">
        <f>VLOOKUP(A129,'HECVAT - Full'!A$24:B$312,2,FALSE)</f>
        <v>Is sensitive data encrypted in transport? (e.g. system-to-client)</v>
      </c>
      <c r="C129" s="193" t="s">
        <v>2816</v>
      </c>
      <c r="D129" s="198" t="s">
        <v>2817</v>
      </c>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row>
    <row r="130" spans="1:255" ht="68" customHeight="1" x14ac:dyDescent="0.2">
      <c r="A130" s="30" t="str">
        <f>'HECVAT - Full'!A130</f>
        <v>DATA-04</v>
      </c>
      <c r="B130" s="30" t="str">
        <f>VLOOKUP(A130,'HECVAT - Full'!A$24:B$312,2,FALSE)</f>
        <v>Is sensitive data encrypted in storage (e.g. disk encryption, at-rest)?</v>
      </c>
      <c r="C130" s="193" t="s">
        <v>2726</v>
      </c>
      <c r="D130" s="198" t="s">
        <v>2818</v>
      </c>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row>
    <row r="131" spans="1:255" ht="90" x14ac:dyDescent="0.2">
      <c r="A131" s="30" t="str">
        <f>'HECVAT - Full'!A131</f>
        <v>DATA-05</v>
      </c>
      <c r="B131" s="30" t="str">
        <f>VLOOKUP(A131,'HECVAT - Full'!A$24:B$312,2,FALSE)</f>
        <v>Do you employ or allow any cryptographic modules that do not conform to the Federal Information Processing Standards (FIPS PUB 140-2)?</v>
      </c>
      <c r="C131" s="191" t="s">
        <v>2819</v>
      </c>
      <c r="D131" s="31" t="s">
        <v>2820</v>
      </c>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row>
    <row r="132" spans="1:255" ht="105" x14ac:dyDescent="0.2">
      <c r="A132" s="30" t="str">
        <f>'HECVAT - Full'!A132</f>
        <v>DATA-06</v>
      </c>
      <c r="B132" s="30" t="str">
        <f>VLOOKUP(A132,'HECVAT - Full'!A$24:B$312,2,FALSE)</f>
        <v>Does your system employ encryption technologies when transmitting sensitive information over TCP/IP networks (e.g., SSH, SSL/TLS, VPN)? (e.g. system-to-system and system-to-client)</v>
      </c>
      <c r="C132" s="202" t="s">
        <v>2821</v>
      </c>
      <c r="D132" s="203" t="s">
        <v>2822</v>
      </c>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row>
    <row r="133" spans="1:255" ht="90" x14ac:dyDescent="0.2">
      <c r="A133" s="30" t="str">
        <f>'HECVAT - Full'!A133</f>
        <v>DATA-07</v>
      </c>
      <c r="B133" s="30" t="str">
        <f>VLOOKUP(A133,'HECVAT - Full'!A$24:B$312,2,FALSE)</f>
        <v>List all locations (i.e. city + datacenter name) where the institution's data will be stored?</v>
      </c>
      <c r="C133" s="193" t="s">
        <v>2823</v>
      </c>
      <c r="D133" s="198" t="s">
        <v>2824</v>
      </c>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row>
    <row r="134" spans="1:255" ht="76.5" customHeight="1" x14ac:dyDescent="0.2">
      <c r="A134" s="30" t="str">
        <f>'HECVAT - Full'!A134</f>
        <v>DATA-08</v>
      </c>
      <c r="B134" s="30" t="str">
        <f>VLOOKUP(A134,'HECVAT - Full'!A$24:B$312,2,FALSE)</f>
        <v>At the completion of this contract, will data be returned to the institution?</v>
      </c>
      <c r="C134" s="202" t="s">
        <v>3030</v>
      </c>
      <c r="D134" s="203" t="s">
        <v>2825</v>
      </c>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row>
    <row r="135" spans="1:255" ht="75" x14ac:dyDescent="0.2">
      <c r="A135" s="30" t="str">
        <f>'HECVAT - Full'!A135</f>
        <v>DATA-09</v>
      </c>
      <c r="B135" s="30" t="str">
        <f>VLOOKUP(A135,'HECVAT - Full'!A$24:B$312,2,FALSE)</f>
        <v>Will the institution's data be available within the system for a period of time at the completion of this contract?</v>
      </c>
      <c r="C135" s="202" t="s">
        <v>3030</v>
      </c>
      <c r="D135" s="203" t="s">
        <v>2825</v>
      </c>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row>
    <row r="136" spans="1:255" ht="75" x14ac:dyDescent="0.2">
      <c r="A136" s="30" t="str">
        <f>'HECVAT - Full'!A136</f>
        <v>DATA-10</v>
      </c>
      <c r="B136" s="30" t="str">
        <f>VLOOKUP(A136,'HECVAT - Full'!A$24:B$312,2,FALSE)</f>
        <v>Can the institution extract a full backup of data?</v>
      </c>
      <c r="C136" s="202" t="s">
        <v>3031</v>
      </c>
      <c r="D136" s="203" t="s">
        <v>2825</v>
      </c>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row>
    <row r="137" spans="1:255" ht="92.25" customHeight="1" x14ac:dyDescent="0.2">
      <c r="A137" s="30" t="str">
        <f>'HECVAT - Full'!A137</f>
        <v>DATA-11</v>
      </c>
      <c r="B137" s="30" t="str">
        <f>VLOOKUP(A137,'HECVAT - Full'!A$24:B$312,2,FALSE)</f>
        <v>Are ownership rights to all data, inputs, outputs, and metadata retained by the institution?</v>
      </c>
      <c r="C137" s="202" t="s">
        <v>2826</v>
      </c>
      <c r="D137" s="203" t="s">
        <v>2827</v>
      </c>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row>
    <row r="138" spans="1:255" ht="63.75" customHeight="1" x14ac:dyDescent="0.2">
      <c r="A138" s="30" t="str">
        <f>'HECVAT - Full'!A138</f>
        <v>DATA-12</v>
      </c>
      <c r="B138" s="30" t="str">
        <f>VLOOKUP(A138,'HECVAT - Full'!A$24:B$312,2,FALSE)</f>
        <v>Are these rights retained even through a provider acquisition or bankruptcy event?</v>
      </c>
      <c r="C138" s="202" t="s">
        <v>2828</v>
      </c>
      <c r="D138" s="203" t="s">
        <v>2827</v>
      </c>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row>
    <row r="139" spans="1:255" ht="64.5" customHeight="1" x14ac:dyDescent="0.2">
      <c r="A139" s="30" t="str">
        <f>'HECVAT - Full'!A139</f>
        <v>DATA-13</v>
      </c>
      <c r="B139" s="30" t="str">
        <f>VLOOKUP(A139,'HECVAT - Full'!A$24:B$312,2,FALSE)</f>
        <v>In the event of imminent bankruptcy, closing of business, or retirement of service, will you provide 90 days for customers to get their data out of the system and migrate applications?</v>
      </c>
      <c r="C139" s="202" t="s">
        <v>2828</v>
      </c>
      <c r="D139" s="203" t="s">
        <v>2827</v>
      </c>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row>
    <row r="140" spans="1:255" ht="63" customHeight="1" x14ac:dyDescent="0.2">
      <c r="A140" s="30" t="str">
        <f>'HECVAT - Full'!A140</f>
        <v>DATA-14</v>
      </c>
      <c r="B140" s="30" t="str">
        <f>VLOOKUP(A140,'HECVAT - Full'!A$24:B$312,2,FALSE)</f>
        <v xml:space="preserve">Describe or provide a reference to the backup processes for the servers on which the service and/or data resides. </v>
      </c>
      <c r="C140" s="202" t="s">
        <v>2829</v>
      </c>
      <c r="D140" s="203" t="s">
        <v>2830</v>
      </c>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row>
    <row r="141" spans="1:255" ht="80.25" customHeight="1" x14ac:dyDescent="0.2">
      <c r="A141" s="30" t="str">
        <f>'HECVAT - Full'!A141</f>
        <v>DATA-15</v>
      </c>
      <c r="B141" s="30" t="str">
        <f>VLOOKUP(A141,'HECVAT - Full'!A$24:B$312,2,FALSE)</f>
        <v>Are backup copies made according to pre-defined schedules and securely stored and protected?</v>
      </c>
      <c r="C141" s="202" t="s">
        <v>2831</v>
      </c>
      <c r="D141" s="203" t="s">
        <v>2832</v>
      </c>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row>
    <row r="142" spans="1:255" ht="64.5" customHeight="1" x14ac:dyDescent="0.2">
      <c r="A142" s="30" t="str">
        <f>'HECVAT - Full'!A142</f>
        <v>DATA-16</v>
      </c>
      <c r="B142" s="30" t="str">
        <f>VLOOKUP(A142,'HECVAT - Full'!A$24:B$312,2,FALSE)</f>
        <v>How long are data backups stored?</v>
      </c>
      <c r="C142" s="202" t="s">
        <v>2833</v>
      </c>
      <c r="D142" s="203" t="s">
        <v>2834</v>
      </c>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row>
    <row r="143" spans="1:255" ht="75" x14ac:dyDescent="0.2">
      <c r="A143" s="30" t="str">
        <f>'HECVAT - Full'!A143</f>
        <v>DATA-17</v>
      </c>
      <c r="B143" s="30" t="str">
        <f>VLOOKUP(A143,'HECVAT - Full'!A$24:B$312,2,FALSE)</f>
        <v>Are data backups encrypted?</v>
      </c>
      <c r="C143" s="193" t="s">
        <v>2835</v>
      </c>
      <c r="D143" s="198" t="s">
        <v>2836</v>
      </c>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row>
    <row r="144" spans="1:255" ht="105" x14ac:dyDescent="0.2">
      <c r="A144" s="30" t="str">
        <f>'HECVAT - Full'!A144</f>
        <v>DATA-18</v>
      </c>
      <c r="B144" s="30" t="str">
        <f>VLOOKUP(A144,'HECVAT - Full'!A$24:B$312,2,FALSE)</f>
        <v>Do you have a cryptographic key management process (generation, exchange, storage, safeguards, use, vetting, and replacement), that is documented and currently implemented, for all system components? (e.g. database, system, web, etc.)</v>
      </c>
      <c r="C144" s="202" t="s">
        <v>3032</v>
      </c>
      <c r="D144" s="191" t="s">
        <v>2837</v>
      </c>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row>
    <row r="145" spans="1:255" ht="63.75" customHeight="1" x14ac:dyDescent="0.2">
      <c r="A145" s="30" t="str">
        <f>'HECVAT - Full'!A145</f>
        <v>DATA-19</v>
      </c>
      <c r="B145" s="30" t="str">
        <f>VLOOKUP(A145,'HECVAT - Full'!A$24:B$312,2,FALSE)</f>
        <v>Do current backups include all operating system software, utilities, security software, application software, and data files necessary for recovery?</v>
      </c>
      <c r="C145" s="202" t="s">
        <v>2838</v>
      </c>
      <c r="D145" s="198" t="s">
        <v>2839</v>
      </c>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row>
    <row r="146" spans="1:255" ht="75" x14ac:dyDescent="0.2">
      <c r="A146" s="30" t="str">
        <f>'HECVAT - Full'!A146</f>
        <v>DATA-20</v>
      </c>
      <c r="B146" s="30" t="str">
        <f>VLOOKUP(A146,'HECVAT - Full'!A$24:B$312,2,FALSE)</f>
        <v>Are you performing off site backups? (i.e. digitally moved off site)</v>
      </c>
      <c r="C146" s="202" t="s">
        <v>3061</v>
      </c>
      <c r="D146" s="198" t="s">
        <v>2840</v>
      </c>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row>
    <row r="147" spans="1:255" ht="60" x14ac:dyDescent="0.2">
      <c r="A147" s="30" t="str">
        <f>'HECVAT - Full'!A147</f>
        <v>DATA-21</v>
      </c>
      <c r="B147" s="30" t="str">
        <f>VLOOKUP(A147,'HECVAT - Full'!A$24:B$312,2,FALSE)</f>
        <v>Are physical backups taken off site? (i.e. physically moved off site)</v>
      </c>
      <c r="C147" s="202" t="s">
        <v>2841</v>
      </c>
      <c r="D147" s="198" t="s">
        <v>2842</v>
      </c>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row>
    <row r="148" spans="1:255" ht="90" x14ac:dyDescent="0.2">
      <c r="A148" s="30" t="str">
        <f>'HECVAT - Full'!A148</f>
        <v>DATA-22</v>
      </c>
      <c r="B148" s="30" t="str">
        <f>VLOOKUP(A148,'HECVAT - Full'!A$24:B$312,2,FALSE)</f>
        <v>Do backups containing the institution's data ever leave the Institution's Data Zone either physically or via network routing?</v>
      </c>
      <c r="C148" s="193" t="s">
        <v>2843</v>
      </c>
      <c r="D148" s="198" t="s">
        <v>2844</v>
      </c>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row>
    <row r="149" spans="1:255" ht="84" customHeight="1" x14ac:dyDescent="0.2">
      <c r="A149" s="30" t="str">
        <f>'HECVAT - Full'!A149</f>
        <v>DATA-23</v>
      </c>
      <c r="B149" s="30" t="str">
        <f>VLOOKUP(A149,'HECVAT - Full'!A$24:B$312,2,FALSE)</f>
        <v>Do you have a media handling process, that is documented and currently implemented, including end-of-life, repurposing, and data sanitization procedures?</v>
      </c>
      <c r="C149" s="193" t="s">
        <v>2845</v>
      </c>
      <c r="D149" s="197" t="s">
        <v>2846</v>
      </c>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row>
    <row r="150" spans="1:255" ht="75" x14ac:dyDescent="0.2">
      <c r="A150" s="30" t="str">
        <f>'HECVAT - Full'!A150</f>
        <v>DATA-24</v>
      </c>
      <c r="B150" s="30" t="str">
        <f>VLOOKUP(A150,'HECVAT - Full'!A$24:B$312,2,FALSE)</f>
        <v>Does the process described in DATA-23 adhere to DoD 5220.22-M and/or NIST SP 800-88 standards?</v>
      </c>
      <c r="C150" s="193" t="s">
        <v>2845</v>
      </c>
      <c r="D150" s="203" t="s">
        <v>2847</v>
      </c>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row>
    <row r="151" spans="1:255" ht="64.5" customHeight="1" x14ac:dyDescent="0.2">
      <c r="A151" s="30" t="str">
        <f>'HECVAT - Full'!A151</f>
        <v>DATA-25</v>
      </c>
      <c r="B151" s="30" t="str">
        <f>VLOOKUP(A151,'HECVAT - Full'!A$24:B$312,2,FALSE)</f>
        <v>Do procedures exist to ensure that retention and destruction of data meets established business and regulatory requirements?</v>
      </c>
      <c r="C151" s="202" t="s">
        <v>2833</v>
      </c>
      <c r="D151" s="203" t="s">
        <v>2848</v>
      </c>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row>
    <row r="152" spans="1:255" ht="75" x14ac:dyDescent="0.2">
      <c r="A152" s="30" t="str">
        <f>'HECVAT - Full'!A152</f>
        <v>DATA-26</v>
      </c>
      <c r="B152" s="30" t="str">
        <f>VLOOKUP(A152,'HECVAT - Full'!A$24:B$312,2,FALSE)</f>
        <v>Is media used for long-term retention of business data and archival purposes stored in a secure, environmentally protected area?</v>
      </c>
      <c r="C152" s="193" t="s">
        <v>2845</v>
      </c>
      <c r="D152" s="197" t="s">
        <v>2846</v>
      </c>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row>
    <row r="153" spans="1:255" ht="48" customHeight="1" x14ac:dyDescent="0.2">
      <c r="A153" s="30" t="str">
        <f>'HECVAT - Full'!A153</f>
        <v>DATA-27</v>
      </c>
      <c r="B153" s="30" t="str">
        <f>VLOOKUP(A153,'HECVAT - Full'!A$24:B$312,2,FALSE)</f>
        <v>Will you handle data in a FERPA compliant manner?</v>
      </c>
      <c r="C153" s="193" t="s">
        <v>2849</v>
      </c>
      <c r="D153" s="203" t="s">
        <v>2850</v>
      </c>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row>
    <row r="154" spans="1:255" ht="96" customHeight="1" x14ac:dyDescent="0.2">
      <c r="A154" s="30" t="str">
        <f>'HECVAT - Full'!A154</f>
        <v>DATA-28</v>
      </c>
      <c r="B154" s="30" t="str">
        <f>VLOOKUP(A154,'HECVAT - Full'!A$24:B$312,2,FALSE)</f>
        <v>Is any institution data visible in system administration modules/tools?</v>
      </c>
      <c r="C154" s="193" t="s">
        <v>3062</v>
      </c>
      <c r="D154" s="198" t="s">
        <v>2851</v>
      </c>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row>
    <row r="155" spans="1:255" ht="36" customHeight="1" x14ac:dyDescent="0.2">
      <c r="A155" s="248" t="str">
        <f>IF($C$30="","Database",IF($C$30="Yes","Database - Optional based on QUALIFIER response.","Database"))</f>
        <v>Database</v>
      </c>
      <c r="B155" s="248"/>
      <c r="C155" s="25" t="str">
        <f>$C$22</f>
        <v>Reason for Question</v>
      </c>
      <c r="D155" s="25" t="str">
        <f>$D$22</f>
        <v>Follow-up Inquiries/Responses</v>
      </c>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row>
    <row r="156" spans="1:255" ht="105" x14ac:dyDescent="0.2">
      <c r="A156" s="30" t="str">
        <f>'HECVAT - Full'!A156</f>
        <v>DBAS-01</v>
      </c>
      <c r="B156" s="30" t="str">
        <f>VLOOKUP(A156,'HECVAT - Full'!A$24:B$312,2,FALSE)</f>
        <v>Does the database support encryption of specified data elements in storage?</v>
      </c>
      <c r="C156" s="193" t="s">
        <v>3033</v>
      </c>
      <c r="D156" s="198" t="s">
        <v>2852</v>
      </c>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row>
    <row r="157" spans="1:255" ht="105" x14ac:dyDescent="0.2">
      <c r="A157" s="30" t="str">
        <f>'HECVAT - Full'!A157</f>
        <v>DBAS-02</v>
      </c>
      <c r="B157" s="30" t="str">
        <f>VLOOKUP(A157,'HECVAT - Full'!A$24:B$312,2,FALSE)</f>
        <v>Do you currently use encryption in your database(s)?</v>
      </c>
      <c r="C157" s="193" t="s">
        <v>2853</v>
      </c>
      <c r="D157" s="198" t="s">
        <v>2854</v>
      </c>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row>
    <row r="158" spans="1:255" ht="36" customHeight="1" x14ac:dyDescent="0.2">
      <c r="A158" s="248" t="str">
        <f>IF($C$30="","Datacenter",IF($C$30="Yes","Datacenter - Optional based on QUALIFIER response.","Datacenter"))</f>
        <v>Datacenter</v>
      </c>
      <c r="B158" s="248"/>
      <c r="C158" s="25" t="str">
        <f>$C$22</f>
        <v>Reason for Question</v>
      </c>
      <c r="D158" s="25" t="str">
        <f>$D$22</f>
        <v>Follow-up Inquiries/Responses</v>
      </c>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row>
    <row r="159" spans="1:255" ht="64" customHeight="1" x14ac:dyDescent="0.2">
      <c r="A159" s="30" t="str">
        <f>'HECVAT - Full'!A159</f>
        <v>DCTR-01</v>
      </c>
      <c r="B159" s="30" t="str">
        <f>VLOOKUP(A159,'HECVAT - Full'!A$24:B$312,2,FALSE)</f>
        <v>Does your company own the physical data center where the Institution's data will reside?</v>
      </c>
      <c r="C159" s="193" t="s">
        <v>2855</v>
      </c>
      <c r="D159" s="198" t="s">
        <v>2856</v>
      </c>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row>
    <row r="160" spans="1:255" ht="180" x14ac:dyDescent="0.2">
      <c r="A160" s="30" t="str">
        <f>'HECVAT - Full'!A160</f>
        <v>DCTR-02</v>
      </c>
      <c r="B160" s="30" t="str">
        <f>VLOOKUP(A160,'HECVAT - Full'!A$24:B$312,2,FALSE)</f>
        <v>Does the hosting provider have a SOC 2 Type 2 report available?</v>
      </c>
      <c r="C160" s="193" t="s">
        <v>2857</v>
      </c>
      <c r="D160" s="198" t="s">
        <v>2858</v>
      </c>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row>
    <row r="161" spans="1:255" ht="79.5" customHeight="1" x14ac:dyDescent="0.2">
      <c r="A161" s="30" t="str">
        <f>'HECVAT - Full'!A161</f>
        <v>DCTR-03</v>
      </c>
      <c r="B161" s="30" t="str">
        <f>VLOOKUP(A161,'HECVAT - Full'!A$24:B$312,2,FALSE)</f>
        <v>Are the data centers staffed 24 hours a day, seven days a week (i.e., 24x7x365)?</v>
      </c>
      <c r="C161" s="191" t="s">
        <v>2859</v>
      </c>
      <c r="D161" s="31" t="s">
        <v>2860</v>
      </c>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row>
    <row r="162" spans="1:255" ht="64.5" customHeight="1" x14ac:dyDescent="0.2">
      <c r="A162" s="30" t="str">
        <f>'HECVAT - Full'!A162</f>
        <v>DCTR-04</v>
      </c>
      <c r="B162" s="30" t="str">
        <f>VLOOKUP(A162,'HECVAT - Full'!A$24:B$312,2,FALSE)</f>
        <v>Do any of your servers reside in a co-located data center?</v>
      </c>
      <c r="C162" s="191" t="s">
        <v>2861</v>
      </c>
      <c r="D162" s="31" t="s">
        <v>2862</v>
      </c>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row>
    <row r="163" spans="1:255" ht="92.25" customHeight="1" x14ac:dyDescent="0.2">
      <c r="A163" s="30" t="str">
        <f>'HECVAT - Full'!A163</f>
        <v>DCTR-05</v>
      </c>
      <c r="B163" s="30" t="str">
        <f>VLOOKUP(A163,'HECVAT - Full'!A$24:B$312,2,FALSE)</f>
        <v>Are your servers separated from other companies via a physical barrier, such as a cage or hardened walls?</v>
      </c>
      <c r="C163" s="193" t="s">
        <v>2863</v>
      </c>
      <c r="D163" s="198" t="s">
        <v>2864</v>
      </c>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row>
    <row r="164" spans="1:255" ht="92.25" customHeight="1" x14ac:dyDescent="0.2">
      <c r="A164" s="30" t="str">
        <f>'HECVAT - Full'!A164</f>
        <v>DCTR-06</v>
      </c>
      <c r="B164" s="30" t="str">
        <f>VLOOKUP(A164,'HECVAT - Full'!A$24:B$312,2,FALSE)</f>
        <v>Does a physical barrier fully enclose the physical space preventing unauthorized physical contact with any of your devices?</v>
      </c>
      <c r="C164" s="193" t="s">
        <v>2863</v>
      </c>
      <c r="D164" s="198" t="s">
        <v>2864</v>
      </c>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row>
    <row r="165" spans="1:255" ht="105" x14ac:dyDescent="0.2">
      <c r="A165" s="30" t="str">
        <f>'HECVAT - Full'!A165</f>
        <v>DCTR-07</v>
      </c>
      <c r="B165" s="30" t="str">
        <f>VLOOKUP(A165,'HECVAT - Full'!A$24:B$312,2,FALSE)</f>
        <v>Select the option that best describes the network segment that servers are connected to.</v>
      </c>
      <c r="C165" s="191" t="s">
        <v>2865</v>
      </c>
      <c r="D165" s="31" t="s">
        <v>2866</v>
      </c>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row>
    <row r="166" spans="1:255" ht="90" x14ac:dyDescent="0.2">
      <c r="A166" s="30" t="str">
        <f>'HECVAT - Full'!A166</f>
        <v>DCTR-08</v>
      </c>
      <c r="B166" s="30" t="str">
        <f>VLOOKUP(A166,'HECVAT - Full'!A$24:B$312,2,FALSE)</f>
        <v>Does this data center operate outside of the Institution's Data Zone?</v>
      </c>
      <c r="C166" s="193" t="s">
        <v>2843</v>
      </c>
      <c r="D166" s="198" t="s">
        <v>2867</v>
      </c>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row>
    <row r="167" spans="1:255" ht="90" x14ac:dyDescent="0.2">
      <c r="A167" s="30" t="str">
        <f>'HECVAT - Full'!A167</f>
        <v>DCTR-09</v>
      </c>
      <c r="B167" s="30" t="str">
        <f>VLOOKUP(A167,'HECVAT - Full'!A$24:B$312,2,FALSE)</f>
        <v>Will any institution data leave the Institution's Data Zone?</v>
      </c>
      <c r="C167" s="193" t="s">
        <v>2843</v>
      </c>
      <c r="D167" s="198" t="s">
        <v>2844</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row>
    <row r="168" spans="1:255" ht="90" x14ac:dyDescent="0.2">
      <c r="A168" s="30" t="str">
        <f>'HECVAT - Full'!A168</f>
        <v>DCTR-10</v>
      </c>
      <c r="B168" s="30" t="str">
        <f>VLOOKUP(A168,'HECVAT - Full'!A$24:B$312,2,FALSE)</f>
        <v xml:space="preserve">List all datacenters and the cities, states (provinces), and countries where the Institution's data will be stored (including within the Institution's Data Zone).   </v>
      </c>
      <c r="C168" s="193" t="s">
        <v>2843</v>
      </c>
      <c r="D168" s="198" t="s">
        <v>2867</v>
      </c>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row>
    <row r="169" spans="1:255" ht="60" x14ac:dyDescent="0.2">
      <c r="A169" s="30" t="str">
        <f>'HECVAT - Full'!A169</f>
        <v>DCTR-11</v>
      </c>
      <c r="B169" s="30" t="str">
        <f>VLOOKUP(A169,'HECVAT - Full'!A$24:B$312,2,FALSE)</f>
        <v>Are your primary and secondary data centers geographically diverse?</v>
      </c>
      <c r="C169" s="191" t="s">
        <v>2868</v>
      </c>
      <c r="D169" s="31" t="s">
        <v>2869</v>
      </c>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row>
    <row r="170" spans="1:255" ht="90" x14ac:dyDescent="0.2">
      <c r="A170" s="30" t="str">
        <f>'HECVAT - Full'!A170</f>
        <v>DCTR-12</v>
      </c>
      <c r="B170" s="30" t="str">
        <f>VLOOKUP(A170,'HECVAT - Full'!A$24:B$312,2,FALSE)</f>
        <v>If outsourced or co-located, is there a contract in place to prevent data from leaving the Institution's Data Zone?</v>
      </c>
      <c r="C170" s="193" t="s">
        <v>2843</v>
      </c>
      <c r="D170" s="198" t="s">
        <v>2870</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row>
    <row r="171" spans="1:255" ht="64.25" customHeight="1" x14ac:dyDescent="0.2">
      <c r="A171" s="30" t="str">
        <f>'HECVAT - Full'!A171</f>
        <v>DCTR-13</v>
      </c>
      <c r="B171" s="30" t="str">
        <f>VLOOKUP(A171,'HECVAT - Full'!A$24:B$312,2,FALSE)</f>
        <v>What Tier Level is your data center (per levels defined by the Uptime Institute)?</v>
      </c>
      <c r="C171" s="193" t="s">
        <v>3034</v>
      </c>
      <c r="D171" s="198" t="s">
        <v>2871</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row>
    <row r="172" spans="1:255" s="3" customFormat="1" ht="48" customHeight="1" x14ac:dyDescent="0.2">
      <c r="A172" s="30" t="str">
        <f>'HECVAT - Full'!A172</f>
        <v>DCTR-14</v>
      </c>
      <c r="B172" s="30" t="str">
        <f>VLOOKUP(A172,'HECVAT - Full'!A$24:B$312,2,FALSE)</f>
        <v>Is the service hosted in a high availability environment?</v>
      </c>
      <c r="C172" s="191" t="s">
        <v>2872</v>
      </c>
      <c r="D172" s="31" t="s">
        <v>2873</v>
      </c>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c r="IF172" s="6"/>
      <c r="IG172" s="6"/>
      <c r="IH172" s="6"/>
      <c r="II172" s="6"/>
      <c r="IJ172" s="6"/>
      <c r="IK172" s="6"/>
      <c r="IL172" s="6"/>
      <c r="IM172" s="6"/>
      <c r="IN172" s="6"/>
      <c r="IO172" s="6"/>
      <c r="IP172" s="6"/>
      <c r="IQ172" s="6"/>
      <c r="IR172" s="6"/>
      <c r="IS172" s="6"/>
      <c r="IT172" s="6"/>
      <c r="IU172" s="6"/>
    </row>
    <row r="173" spans="1:255" ht="48" customHeight="1" x14ac:dyDescent="0.2">
      <c r="A173" s="30" t="str">
        <f>'HECVAT - Full'!A173</f>
        <v>DCTR-15</v>
      </c>
      <c r="B173" s="30" t="str">
        <f>VLOOKUP(A173,'HECVAT - Full'!A$24:B$312,2,FALSE)</f>
        <v xml:space="preserve">Is redundant power available for all datacenters where institution data will reside? </v>
      </c>
      <c r="C173" s="191" t="s">
        <v>2872</v>
      </c>
      <c r="D173" s="31" t="s">
        <v>2873</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row>
    <row r="174" spans="1:255" ht="75" x14ac:dyDescent="0.2">
      <c r="A174" s="30" t="str">
        <f>'HECVAT - Full'!A174</f>
        <v>DCTR-16</v>
      </c>
      <c r="B174" s="30" t="str">
        <f>VLOOKUP(A174,'HECVAT - Full'!A$24:B$312,2,FALSE)</f>
        <v>Are redundant power strategies tested?</v>
      </c>
      <c r="C174" s="191" t="s">
        <v>2874</v>
      </c>
      <c r="D174" s="198" t="s">
        <v>2875</v>
      </c>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row>
    <row r="175" spans="1:255" ht="80.25" customHeight="1" x14ac:dyDescent="0.2">
      <c r="A175" s="30" t="str">
        <f>'HECVAT - Full'!A175</f>
        <v>DCTR-17</v>
      </c>
      <c r="B175" s="30" t="str">
        <f>VLOOKUP(A175,'HECVAT - Full'!A$24:B$312,2,FALSE)</f>
        <v>Describe or provide a reference to the availability of cooling and fire suppression systems in all datacenters where institution data will reside.</v>
      </c>
      <c r="C175" s="191" t="s">
        <v>2876</v>
      </c>
      <c r="D175" s="198" t="s">
        <v>2877</v>
      </c>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row>
    <row r="176" spans="1:255" ht="48" customHeight="1" x14ac:dyDescent="0.2">
      <c r="A176" s="30" t="str">
        <f>'HECVAT - Full'!A176</f>
        <v>DCTR-18</v>
      </c>
      <c r="B176" s="30" t="str">
        <f>VLOOKUP(A176,'HECVAT - Full'!A$24:B$312,2,FALSE)</f>
        <v xml:space="preserve">State how many Internet Service Providers (ISPs) provide connectivity to each datacenter where the institution's data will reside. </v>
      </c>
      <c r="C176" s="191" t="s">
        <v>2872</v>
      </c>
      <c r="D176" s="31" t="s">
        <v>2873</v>
      </c>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row>
    <row r="177" spans="1:255" ht="48" customHeight="1" x14ac:dyDescent="0.2">
      <c r="A177" s="30" t="str">
        <f>'HECVAT - Full'!A177</f>
        <v>DCTR-19</v>
      </c>
      <c r="B177" s="30" t="str">
        <f>VLOOKUP(A177,'HECVAT - Full'!A$24:B$312,2,FALSE)</f>
        <v>Does every datacenter where the Institution's data will reside have multiple telephone company or network provider entrances to the facility?</v>
      </c>
      <c r="C177" s="191" t="s">
        <v>2872</v>
      </c>
      <c r="D177" s="31" t="s">
        <v>2873</v>
      </c>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row>
    <row r="178" spans="1:255" ht="36" customHeight="1" x14ac:dyDescent="0.2">
      <c r="A178" s="248" t="str">
        <f>IF(OR($C$28="No",$C$30="Yes"),"DRP - Respond to as many questions below as possible.","Disaster Recovery Plan")</f>
        <v>Disaster Recovery Plan</v>
      </c>
      <c r="B178" s="248"/>
      <c r="C178" s="25" t="str">
        <f>$C$22</f>
        <v>Reason for Question</v>
      </c>
      <c r="D178" s="25" t="str">
        <f>$D$22</f>
        <v>Follow-up Inquiries/Responses</v>
      </c>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row>
    <row r="179" spans="1:255" ht="111.75" customHeight="1" x14ac:dyDescent="0.2">
      <c r="A179" s="30" t="str">
        <f>'HECVAT - Full'!A179</f>
        <v>DRPL-01</v>
      </c>
      <c r="B179" s="30" t="str">
        <f>VLOOKUP(A179,'HECVAT - Full'!A$24:B$312,2,FALSE)</f>
        <v>Describe or provide a reference to your Disaster Recovery Plan (DRP).</v>
      </c>
      <c r="C179" s="193" t="s">
        <v>3035</v>
      </c>
      <c r="D179" s="204" t="s">
        <v>2878</v>
      </c>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row>
    <row r="180" spans="1:255" ht="64.5" customHeight="1" x14ac:dyDescent="0.2">
      <c r="A180" s="30" t="str">
        <f>'HECVAT - Full'!A180</f>
        <v>DRPL-02</v>
      </c>
      <c r="B180" s="30" t="str">
        <f>VLOOKUP(A180,'HECVAT - Full'!A$24:B$312,2,FALSE)</f>
        <v>Is an owner assigned who is responsible for the maintenance and review of the DRP?</v>
      </c>
      <c r="C180" s="191" t="s">
        <v>3036</v>
      </c>
      <c r="D180" s="198" t="s">
        <v>2879</v>
      </c>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row>
    <row r="181" spans="1:255" ht="60" x14ac:dyDescent="0.2">
      <c r="A181" s="30" t="str">
        <f>'HECVAT - Full'!A181</f>
        <v>DRPL-03</v>
      </c>
      <c r="B181" s="30" t="str">
        <f>VLOOKUP(A181,'HECVAT - Full'!A$24:B$312,2,FALSE)</f>
        <v>Can the Institution review your DRP and supporting documentation?</v>
      </c>
      <c r="C181" s="191" t="s">
        <v>3037</v>
      </c>
      <c r="D181" s="31" t="s">
        <v>2880</v>
      </c>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row>
    <row r="182" spans="1:255" ht="90" x14ac:dyDescent="0.2">
      <c r="A182" s="30" t="str">
        <f>'HECVAT - Full'!A182</f>
        <v>DRPL-04</v>
      </c>
      <c r="B182" s="30" t="str">
        <f>VLOOKUP(A182,'HECVAT - Full'!A$24:B$312,2,FALSE)</f>
        <v>Are any disaster recovery locations outside the Institution's Data Zone?</v>
      </c>
      <c r="C182" s="193" t="s">
        <v>2843</v>
      </c>
      <c r="D182" s="198" t="s">
        <v>2844</v>
      </c>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row>
    <row r="183" spans="1:255" ht="84.75" customHeight="1" x14ac:dyDescent="0.2">
      <c r="A183" s="30" t="str">
        <f>'HECVAT - Full'!A183</f>
        <v>DRPL-05</v>
      </c>
      <c r="B183" s="30" t="str">
        <f>VLOOKUP(A183,'HECVAT - Full'!A$24:B$312,2,FALSE)</f>
        <v>Does your organization have a disaster recovery site or a contracted Disaster Recovery provider?</v>
      </c>
      <c r="C183" s="191" t="s">
        <v>2881</v>
      </c>
      <c r="D183" s="31" t="s">
        <v>2882</v>
      </c>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row>
    <row r="184" spans="1:255" ht="75" x14ac:dyDescent="0.2">
      <c r="A184" s="30" t="str">
        <f>'HECVAT - Full'!A184</f>
        <v>DRPL-06</v>
      </c>
      <c r="B184" s="30" t="str">
        <f>VLOOKUP(A184,'HECVAT - Full'!A$24:B$312,2,FALSE)</f>
        <v>Does your organization conduct an annual test of relocating to this site for disaster recovery purposes?</v>
      </c>
      <c r="C184" s="193" t="s">
        <v>3038</v>
      </c>
      <c r="D184" s="204" t="s">
        <v>2883</v>
      </c>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row>
    <row r="185" spans="1:255" ht="60" x14ac:dyDescent="0.2">
      <c r="A185" s="30" t="str">
        <f>'HECVAT - Full'!A185</f>
        <v>DRPL-07</v>
      </c>
      <c r="B185" s="30" t="str">
        <f>VLOOKUP(A185,'HECVAT - Full'!A$24:B$312,2,FALSE)</f>
        <v>Is there a defined problem/issue escalation plan in your DRP for impacted clients?</v>
      </c>
      <c r="C185" s="193" t="s">
        <v>2779</v>
      </c>
      <c r="D185" s="197" t="s">
        <v>2780</v>
      </c>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row>
    <row r="186" spans="1:255" ht="60" x14ac:dyDescent="0.2">
      <c r="A186" s="30" t="str">
        <f>'HECVAT - Full'!A186</f>
        <v>DRPL-08</v>
      </c>
      <c r="B186" s="30" t="str">
        <f>VLOOKUP(A186,'HECVAT - Full'!A$24:B$312,2,FALSE)</f>
        <v>Is there a documented communication plan in your DRP for impacted clients?</v>
      </c>
      <c r="C186" s="193" t="s">
        <v>2779</v>
      </c>
      <c r="D186" s="197" t="s">
        <v>2780</v>
      </c>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row>
    <row r="187" spans="1:255" ht="83.25" customHeight="1" x14ac:dyDescent="0.2">
      <c r="A187" s="30" t="str">
        <f>'HECVAT - Full'!A187</f>
        <v>DRPL-09</v>
      </c>
      <c r="B187" s="30" t="str">
        <f>VLOOKUP(A187,'HECVAT - Full'!A$24:B$312,2,FALSE)</f>
        <v>Describe or provide a reference to how your disaster recovery plan is tested? (i.e. scope of DR tests, end-to-end testing, etc.)</v>
      </c>
      <c r="C187" s="193" t="s">
        <v>3039</v>
      </c>
      <c r="D187" s="204" t="s">
        <v>2883</v>
      </c>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row>
    <row r="188" spans="1:255" ht="83.25" customHeight="1" x14ac:dyDescent="0.2">
      <c r="A188" s="30" t="str">
        <f>'HECVAT - Full'!A188</f>
        <v>DRPL-10</v>
      </c>
      <c r="B188" s="30" t="str">
        <f>VLOOKUP(A188,'HECVAT - Full'!A$24:B$312,2,FALSE)</f>
        <v>Has the Disaster Recovery Plan been tested in the last year?  Please provide a summary of the results in Additional Information (including actual recovery time).</v>
      </c>
      <c r="C188" s="193" t="s">
        <v>3038</v>
      </c>
      <c r="D188" s="204" t="s">
        <v>2883</v>
      </c>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row>
    <row r="189" spans="1:255" ht="64.25" customHeight="1" x14ac:dyDescent="0.2">
      <c r="A189" s="30" t="str">
        <f>'HECVAT - Full'!A189</f>
        <v>DRPL-11</v>
      </c>
      <c r="B189" s="30" t="str">
        <f>VLOOKUP(A189,'HECVAT - Full'!A$24:B$312,2,FALSE)</f>
        <v>Do the documented test results identify your organizations actual recovery time capabilities for technology and facilities?</v>
      </c>
      <c r="C189" s="191" t="s">
        <v>2884</v>
      </c>
      <c r="D189" s="31" t="s">
        <v>2885</v>
      </c>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row>
    <row r="190" spans="1:255" ht="84" customHeight="1" x14ac:dyDescent="0.2">
      <c r="A190" s="30" t="str">
        <f>'HECVAT - Full'!A190</f>
        <v>DRPL-12</v>
      </c>
      <c r="B190" s="30" t="str">
        <f>VLOOKUP(A190,'HECVAT - Full'!A$24:B$312,2,FALSE)</f>
        <v xml:space="preserve">Are all components of the DRP reviewed at least annually and updated as needed to reflect change? </v>
      </c>
      <c r="C190" s="193" t="s">
        <v>3038</v>
      </c>
      <c r="D190" s="204" t="s">
        <v>2883</v>
      </c>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row>
    <row r="191" spans="1:255" ht="82.5" customHeight="1" x14ac:dyDescent="0.2">
      <c r="A191" s="30" t="str">
        <f>'HECVAT - Full'!A191</f>
        <v>DRPL-13</v>
      </c>
      <c r="B191" s="30" t="str">
        <f>VLOOKUP(A191,'HECVAT - Full'!A$24:B$312,2,FALSE)</f>
        <v>Do you carry cyber-risk insurance to protect against unforeseen service outages, data that is lost or stolen, and security incidents?</v>
      </c>
      <c r="C191" s="191" t="s">
        <v>2886</v>
      </c>
      <c r="D191" s="31" t="s">
        <v>2887</v>
      </c>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row>
    <row r="192" spans="1:255" ht="36" customHeight="1" x14ac:dyDescent="0.2">
      <c r="A192" s="248" t="str">
        <f>IF($C$30="","Firewalls, IDS, IPS, and Networking",IF($C$30="Yes","FW/IDPS/Networks - Optional based on QUALIFIER response.","Firewalls, IDS, IPS, and Networking"))</f>
        <v>Firewalls, IDS, IPS, and Networking</v>
      </c>
      <c r="B192" s="248"/>
      <c r="C192" s="25" t="str">
        <f>$C$22</f>
        <v>Reason for Question</v>
      </c>
      <c r="D192" s="25" t="str">
        <f>$D$22</f>
        <v>Follow-up Inquiries/Responses</v>
      </c>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row>
    <row r="193" spans="1:255" ht="120" x14ac:dyDescent="0.2">
      <c r="A193" s="30" t="str">
        <f>'HECVAT - Full'!A193</f>
        <v>FIDP-01</v>
      </c>
      <c r="B193" s="30" t="str">
        <f>VLOOKUP(A193,'HECVAT - Full'!A$24:B$312,2,FALSE)</f>
        <v>Are you utilizing a web application firewall (WAF)?</v>
      </c>
      <c r="C193" s="193" t="s">
        <v>2888</v>
      </c>
      <c r="D193" s="198" t="s">
        <v>2889</v>
      </c>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row>
    <row r="194" spans="1:255" ht="120" x14ac:dyDescent="0.2">
      <c r="A194" s="30" t="str">
        <f>'HECVAT - Full'!A194</f>
        <v>FIDP-02</v>
      </c>
      <c r="B194" s="30" t="str">
        <f>VLOOKUP(A194,'HECVAT - Full'!A$24:B$312,2,FALSE)</f>
        <v>Are you utilizing a stateful packet inspection (SPI) firewall?</v>
      </c>
      <c r="C194" s="193" t="s">
        <v>2888</v>
      </c>
      <c r="D194" s="198" t="s">
        <v>2889</v>
      </c>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row>
    <row r="195" spans="1:255" ht="75" customHeight="1" x14ac:dyDescent="0.2">
      <c r="A195" s="30" t="str">
        <f>'HECVAT - Full'!A195</f>
        <v>FIDP-03</v>
      </c>
      <c r="B195" s="30" t="str">
        <f>VLOOKUP(A195,'HECVAT - Full'!A$24:B$312,2,FALSE)</f>
        <v>State and describe who has the authority to change firewall rules?</v>
      </c>
      <c r="C195" s="191" t="s">
        <v>2890</v>
      </c>
      <c r="D195" s="191" t="s">
        <v>3040</v>
      </c>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row>
    <row r="196" spans="1:255" ht="96" customHeight="1" x14ac:dyDescent="0.2">
      <c r="A196" s="30" t="str">
        <f>'HECVAT - Full'!A196</f>
        <v>FIDP-04</v>
      </c>
      <c r="B196" s="30" t="str">
        <f>VLOOKUP(A196,'HECVAT - Full'!A$24:B$312,2,FALSE)</f>
        <v>Do you have a documented policy for firewall change requests?</v>
      </c>
      <c r="C196" s="193" t="s">
        <v>2891</v>
      </c>
      <c r="D196" s="198" t="s">
        <v>2892</v>
      </c>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row>
    <row r="197" spans="1:255" ht="86.25" customHeight="1" x14ac:dyDescent="0.2">
      <c r="A197" s="30" t="str">
        <f>'HECVAT - Full'!A197</f>
        <v>FIDP-05</v>
      </c>
      <c r="B197" s="30" t="str">
        <f>VLOOKUP(A197,'HECVAT - Full'!A$24:B$312,2,FALSE)</f>
        <v>Have you implemented an Intrusion Detection System (network-based)?</v>
      </c>
      <c r="C197" s="191" t="s">
        <v>2893</v>
      </c>
      <c r="D197" s="31" t="s">
        <v>2894</v>
      </c>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row>
    <row r="198" spans="1:255" ht="90" x14ac:dyDescent="0.2">
      <c r="A198" s="30" t="str">
        <f>'HECVAT - Full'!A198</f>
        <v>FIDP-06</v>
      </c>
      <c r="B198" s="30" t="str">
        <f>VLOOKUP(A198,'HECVAT - Full'!A$24:B$312,2,FALSE)</f>
        <v>Have you implemented an Intrusion Prevention System (network-based)?</v>
      </c>
      <c r="C198" s="191" t="s">
        <v>2895</v>
      </c>
      <c r="D198" s="31" t="s">
        <v>2896</v>
      </c>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row>
    <row r="199" spans="1:255" ht="84.75" customHeight="1" x14ac:dyDescent="0.2">
      <c r="A199" s="30" t="str">
        <f>'HECVAT - Full'!A199</f>
        <v>FIDP-07</v>
      </c>
      <c r="B199" s="30" t="str">
        <f>VLOOKUP(A199,'HECVAT - Full'!A$24:B$312,2,FALSE)</f>
        <v>Do you employ host-based intrusion detection?</v>
      </c>
      <c r="C199" s="191" t="s">
        <v>2893</v>
      </c>
      <c r="D199" s="31" t="s">
        <v>2897</v>
      </c>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row>
    <row r="200" spans="1:255" ht="84.75" customHeight="1" x14ac:dyDescent="0.2">
      <c r="A200" s="30" t="str">
        <f>'HECVAT - Full'!A200</f>
        <v>FIDP-08</v>
      </c>
      <c r="B200" s="30" t="str">
        <f>VLOOKUP(A200,'HECVAT - Full'!A$24:B$312,2,FALSE)</f>
        <v>Do you employ host-based intrusion prevention?</v>
      </c>
      <c r="C200" s="191" t="s">
        <v>2895</v>
      </c>
      <c r="D200" s="31" t="s">
        <v>2898</v>
      </c>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row>
    <row r="201" spans="1:255" ht="105" x14ac:dyDescent="0.2">
      <c r="A201" s="30" t="str">
        <f>'HECVAT - Full'!A201</f>
        <v>FIDP-09</v>
      </c>
      <c r="B201" s="30" t="str">
        <f>VLOOKUP(A201,'HECVAT - Full'!A$24:B$312,2,FALSE)</f>
        <v>Are you employing any next-generation persistent threat (NGPT) monitoring?</v>
      </c>
      <c r="C201" s="193" t="s">
        <v>2899</v>
      </c>
      <c r="D201" s="198" t="s">
        <v>2900</v>
      </c>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row>
    <row r="202" spans="1:255" ht="96" customHeight="1" x14ac:dyDescent="0.2">
      <c r="A202" s="30" t="str">
        <f>'HECVAT - Full'!A202</f>
        <v>FIDP-10</v>
      </c>
      <c r="B202" s="30" t="str">
        <f>VLOOKUP(A202,'HECVAT - Full'!A$24:B$312,2,FALSE)</f>
        <v>Do you monitor for intrusions on a 24x7x365 basis?</v>
      </c>
      <c r="C202" s="193" t="s">
        <v>2901</v>
      </c>
      <c r="D202" s="198" t="s">
        <v>2902</v>
      </c>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row>
    <row r="203" spans="1:255" ht="84" customHeight="1" x14ac:dyDescent="0.2">
      <c r="A203" s="30" t="str">
        <f>'HECVAT - Full'!A203</f>
        <v>FIDP-11</v>
      </c>
      <c r="B203" s="30" t="str">
        <f>VLOOKUP(A203,'HECVAT - Full'!A$24:B$312,2,FALSE)</f>
        <v>Is intrusion monitoring performed internally or by a third-party service?</v>
      </c>
      <c r="C203" s="191" t="s">
        <v>2903</v>
      </c>
      <c r="D203" s="191" t="s">
        <v>2904</v>
      </c>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row>
    <row r="204" spans="1:255" ht="102.75" customHeight="1" x14ac:dyDescent="0.2">
      <c r="A204" s="30" t="str">
        <f>'HECVAT - Full'!A204</f>
        <v>FIDP-12</v>
      </c>
      <c r="B204" s="30" t="str">
        <f>VLOOKUP(A204,'HECVAT - Full'!A$24:B$312,2,FALSE)</f>
        <v>Are audit logs available for all changes to the network, firewall, IDS, and IPS systems?</v>
      </c>
      <c r="C204" s="193" t="s">
        <v>2905</v>
      </c>
      <c r="D204" s="197" t="s">
        <v>2906</v>
      </c>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row>
    <row r="205" spans="1:255" ht="36" customHeight="1" x14ac:dyDescent="0.2">
      <c r="A205" s="248" t="str">
        <f>IF(OR($C$25="No",$C$30="Yes"),"Mobile Applications - Optional based on QUALIFIER response.","Mobile Applications")</f>
        <v>Mobile Applications</v>
      </c>
      <c r="B205" s="248"/>
      <c r="C205" s="25" t="str">
        <f>$C$22</f>
        <v>Reason for Question</v>
      </c>
      <c r="D205" s="25" t="str">
        <f>$D$22</f>
        <v>Follow-up Inquiries/Responses</v>
      </c>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row>
    <row r="206" spans="1:255" ht="64.5" customHeight="1" x14ac:dyDescent="0.2">
      <c r="A206" s="30" t="str">
        <f>'HECVAT - Full'!A206</f>
        <v>MAPP-01</v>
      </c>
      <c r="B206" s="30" t="str">
        <f>VLOOKUP(A206,'HECVAT - Full'!A$24:B$312,2,FALSE)</f>
        <v>On which mobile operating systems is your software or service supported?</v>
      </c>
      <c r="C206" s="191" t="s">
        <v>2907</v>
      </c>
      <c r="D206" s="191" t="s">
        <v>2908</v>
      </c>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row>
    <row r="207" spans="1:255" ht="82.5" customHeight="1" x14ac:dyDescent="0.2">
      <c r="A207" s="30" t="str">
        <f>'HECVAT - Full'!A207</f>
        <v>MAPP-02</v>
      </c>
      <c r="B207" s="30" t="str">
        <f>VLOOKUP(A207,'HECVAT - Full'!A$24:B$312,2,FALSE)</f>
        <v>Describe or provide a reference to the application's architecture and functionality.</v>
      </c>
      <c r="C207" s="191" t="s">
        <v>2909</v>
      </c>
      <c r="D207" s="191" t="s">
        <v>2910</v>
      </c>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row>
    <row r="208" spans="1:255" ht="72.75" customHeight="1" x14ac:dyDescent="0.2">
      <c r="A208" s="30" t="str">
        <f>'HECVAT - Full'!A208</f>
        <v>MAPP-03</v>
      </c>
      <c r="B208" s="30" t="str">
        <f>VLOOKUP(A208,'HECVAT - Full'!A$24:B$312,2,FALSE)</f>
        <v>Is the application available from a trusted source (e.g., iTunes App Store, Android Market, BB World)?</v>
      </c>
      <c r="C208" s="191" t="s">
        <v>2911</v>
      </c>
      <c r="D208" s="31" t="s">
        <v>2912</v>
      </c>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row>
    <row r="209" spans="1:255" ht="60" x14ac:dyDescent="0.2">
      <c r="A209" s="30" t="str">
        <f>'HECVAT - Full'!A209</f>
        <v>MAPP-04</v>
      </c>
      <c r="B209" s="30" t="str">
        <f>VLOOKUP(A209,'HECVAT - Full'!A$24:B$312,2,FALSE)</f>
        <v>Does the application store, process, or transmit critical data?</v>
      </c>
      <c r="C209" s="191" t="s">
        <v>2913</v>
      </c>
      <c r="D209" s="31" t="s">
        <v>2914</v>
      </c>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row>
    <row r="210" spans="1:255" ht="64.5" customHeight="1" x14ac:dyDescent="0.2">
      <c r="A210" s="30" t="str">
        <f>'HECVAT - Full'!A210</f>
        <v>MAPP-05</v>
      </c>
      <c r="B210" s="30" t="str">
        <f>VLOOKUP(A210,'HECVAT - Full'!A$24:B$312,2,FALSE)</f>
        <v>Is Institution's data encrypted in transport?</v>
      </c>
      <c r="C210" s="193" t="s">
        <v>2915</v>
      </c>
      <c r="D210" s="198" t="s">
        <v>2916</v>
      </c>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row>
    <row r="211" spans="1:255" ht="64.5" customHeight="1" x14ac:dyDescent="0.2">
      <c r="A211" s="30" t="str">
        <f>'HECVAT - Full'!A211</f>
        <v>MAPP-06</v>
      </c>
      <c r="B211" s="30" t="str">
        <f>VLOOKUP(A211,'HECVAT - Full'!A$24:B$312,2,FALSE)</f>
        <v>Is Institution's data encrypted in storage? (e.g. disk encryption, at-rest)</v>
      </c>
      <c r="C211" s="193" t="s">
        <v>2726</v>
      </c>
      <c r="D211" s="198" t="s">
        <v>2818</v>
      </c>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row>
    <row r="212" spans="1:255" ht="105" x14ac:dyDescent="0.2">
      <c r="A212" s="30" t="str">
        <f>'HECVAT - Full'!A212</f>
        <v>MAPP-07</v>
      </c>
      <c r="B212" s="30" t="str">
        <f>VLOOKUP(A212,'HECVAT - Full'!A$24:B$312,2,FALSE)</f>
        <v>Does the mobile application support Kerberos, CAS, or Active Directory authentication?</v>
      </c>
      <c r="C212" s="193" t="s">
        <v>3017</v>
      </c>
      <c r="D212" s="193" t="s">
        <v>2759</v>
      </c>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row>
    <row r="213" spans="1:255" ht="75" x14ac:dyDescent="0.2">
      <c r="A213" s="30" t="str">
        <f>'HECVAT - Full'!A213</f>
        <v>MAPP-08</v>
      </c>
      <c r="B213" s="30" t="str">
        <f>VLOOKUP(A213,'HECVAT - Full'!A$24:B$312,2,FALSE)</f>
        <v>Will any of these systems be implemented on systems hosting the Institution's data?</v>
      </c>
      <c r="C213" s="31" t="s">
        <v>2768</v>
      </c>
      <c r="D213" s="31" t="s">
        <v>2769</v>
      </c>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row>
    <row r="214" spans="1:255" ht="84.75" customHeight="1" x14ac:dyDescent="0.2">
      <c r="A214" s="30" t="str">
        <f>'HECVAT - Full'!A214</f>
        <v>MAPP-09</v>
      </c>
      <c r="B214" s="30" t="str">
        <f>VLOOKUP(A214,'HECVAT - Full'!A$24:B$312,2,FALSE)</f>
        <v>Does the application adhere to secure coding practices (e.g. OWASP, etc.)?</v>
      </c>
      <c r="C214" s="193" t="s">
        <v>3041</v>
      </c>
      <c r="D214" s="196" t="s">
        <v>2917</v>
      </c>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row>
    <row r="215" spans="1:255" ht="120" x14ac:dyDescent="0.2">
      <c r="A215" s="30" t="str">
        <f>'HECVAT - Full'!A215</f>
        <v>MAPP-10</v>
      </c>
      <c r="B215" s="30" t="str">
        <f>VLOOKUP(A215,'HECVAT - Full'!A$24:B$312,2,FALSE)</f>
        <v>Has the application been tested for vulnerabilities by a third party?</v>
      </c>
      <c r="C215" s="193" t="s">
        <v>3042</v>
      </c>
      <c r="D215" s="197" t="s">
        <v>3043</v>
      </c>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row>
    <row r="216" spans="1:255" ht="120" x14ac:dyDescent="0.2">
      <c r="A216" s="30" t="str">
        <f>'HECVAT - Full'!A216</f>
        <v>MAPP-11</v>
      </c>
      <c r="B216" s="30" t="str">
        <f>VLOOKUP(A216,'HECVAT - Full'!A$24:B$312,2,FALSE)</f>
        <v>State the party that performed the vulnerability test and the date it was conducted?</v>
      </c>
      <c r="C216" s="193" t="s">
        <v>3042</v>
      </c>
      <c r="D216" s="197" t="s">
        <v>3044</v>
      </c>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row>
    <row r="217" spans="1:255" ht="36" customHeight="1" x14ac:dyDescent="0.2">
      <c r="A217" s="248" t="str">
        <f>IF($C$30="","Physical Security",IF($C$30="Yes","Physical Security - Optional based on QUALIFIER response.","Physical Security"))</f>
        <v>Physical Security</v>
      </c>
      <c r="B217" s="248"/>
      <c r="C217" s="25" t="str">
        <f>$C$22</f>
        <v>Reason for Question</v>
      </c>
      <c r="D217" s="25" t="str">
        <f>$D$22</f>
        <v>Follow-up Inquiries/Responses</v>
      </c>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row>
    <row r="218" spans="1:255" s="18" customFormat="1" ht="96" customHeight="1" x14ac:dyDescent="0.2">
      <c r="A218" s="30" t="str">
        <f>'HECVAT - Full'!A218</f>
        <v>PHYS-01</v>
      </c>
      <c r="B218" s="30" t="str">
        <f>VLOOKUP(A218,'HECVAT - Full'!A$24:B$312,2,FALSE)</f>
        <v>Does your organization have physical security controls and policies in place?</v>
      </c>
      <c r="C218" s="193" t="s">
        <v>3045</v>
      </c>
      <c r="D218" s="196" t="s">
        <v>2918</v>
      </c>
    </row>
    <row r="219" spans="1:255" ht="105" x14ac:dyDescent="0.2">
      <c r="A219" s="30" t="str">
        <f>'HECVAT - Full'!A219</f>
        <v>PHYS-02</v>
      </c>
      <c r="B219" s="30" t="str">
        <f>VLOOKUP(A219,'HECVAT - Full'!A$24:B$312,2,FALSE)</f>
        <v>Are employees allowed to take home Institution's data in any form?</v>
      </c>
      <c r="C219" s="193" t="s">
        <v>2919</v>
      </c>
      <c r="D219" s="198" t="s">
        <v>2920</v>
      </c>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row>
    <row r="220" spans="1:255" ht="48" customHeight="1" x14ac:dyDescent="0.2">
      <c r="A220" s="30" t="str">
        <f>'HECVAT - Full'!A220</f>
        <v>PHYS-03</v>
      </c>
      <c r="B220" s="30" t="str">
        <f>VLOOKUP(A220,'HECVAT - Full'!A$24:B$312,2,FALSE)</f>
        <v>Are video monitoring feeds retained?</v>
      </c>
      <c r="C220" s="191" t="s">
        <v>2921</v>
      </c>
      <c r="D220" s="31" t="s">
        <v>2922</v>
      </c>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row>
    <row r="221" spans="1:255" ht="48" customHeight="1" x14ac:dyDescent="0.2">
      <c r="A221" s="30" t="str">
        <f>'HECVAT - Full'!A221</f>
        <v>PHYS-04</v>
      </c>
      <c r="B221" s="30" t="str">
        <f>VLOOKUP(A221,'HECVAT - Full'!A$24:B$312,2,FALSE)</f>
        <v>Are video feeds monitored by datacenter staff?</v>
      </c>
      <c r="C221" s="191" t="s">
        <v>2921</v>
      </c>
      <c r="D221" s="31" t="s">
        <v>2923</v>
      </c>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row>
    <row r="222" spans="1:255" ht="84" customHeight="1" x14ac:dyDescent="0.2">
      <c r="A222" s="30" t="str">
        <f>'HECVAT - Full'!A222</f>
        <v>PHYS-05</v>
      </c>
      <c r="B222" s="30" t="str">
        <f>VLOOKUP(A222,'HECVAT - Full'!A$24:B$312,2,FALSE)</f>
        <v>Are individuals required to sign in/out for installation and removal of equipment?</v>
      </c>
      <c r="C222" s="193" t="s">
        <v>2924</v>
      </c>
      <c r="D222" s="197" t="s">
        <v>2846</v>
      </c>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row>
    <row r="223" spans="1:255" ht="36" customHeight="1" x14ac:dyDescent="0.2">
      <c r="A223" s="248" t="str">
        <f>IF($C$30="","Policies, Procedures, and Processes",IF($C$30="Yes","Pol/Pro/Proc - Optional based on QUALIFIER response.","Policies, Procedures, and Processes"))</f>
        <v>Policies, Procedures, and Processes</v>
      </c>
      <c r="B223" s="248"/>
      <c r="C223" s="25" t="str">
        <f>$C$22</f>
        <v>Reason for Question</v>
      </c>
      <c r="D223" s="25" t="str">
        <f>$D$22</f>
        <v>Follow-up Inquiries/Responses</v>
      </c>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row>
    <row r="224" spans="1:255" ht="120" x14ac:dyDescent="0.2">
      <c r="A224" s="30" t="str">
        <f>'HECVAT - Full'!A224</f>
        <v>PPPR-01</v>
      </c>
      <c r="B224" s="30" t="str">
        <f>VLOOKUP(A224,'HECVAT - Full'!A$24:B$312,2,FALSE)</f>
        <v>Can you share the organization chart, mission statement, and policies for your information security unit?</v>
      </c>
      <c r="C224" s="193" t="s">
        <v>2925</v>
      </c>
      <c r="D224" s="197" t="s">
        <v>2926</v>
      </c>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row>
    <row r="225" spans="1:255" ht="75" x14ac:dyDescent="0.2">
      <c r="A225" s="30" t="str">
        <f>'HECVAT - Full'!A225</f>
        <v>PPPR-02</v>
      </c>
      <c r="B225" s="30" t="str">
        <f>VLOOKUP(A225,'HECVAT - Full'!A$24:B$312,2,FALSE)</f>
        <v>Do you have a documented patch management process?</v>
      </c>
      <c r="C225" s="193" t="s">
        <v>2927</v>
      </c>
      <c r="D225" s="193" t="s">
        <v>2928</v>
      </c>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row>
    <row r="226" spans="1:255" ht="90" x14ac:dyDescent="0.2">
      <c r="A226" s="30" t="str">
        <f>'HECVAT - Full'!A226</f>
        <v>PPPR-03</v>
      </c>
      <c r="B226" s="30" t="str">
        <f>VLOOKUP(A226,'HECVAT - Full'!A$24:B$312,2,FALSE)</f>
        <v>Can you accommodate encryption requirements using open standards?</v>
      </c>
      <c r="C226" s="191" t="s">
        <v>2819</v>
      </c>
      <c r="D226" s="31" t="s">
        <v>2820</v>
      </c>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row>
    <row r="227" spans="1:255" ht="84.75" customHeight="1" x14ac:dyDescent="0.2">
      <c r="A227" s="30" t="str">
        <f>'HECVAT - Full'!A227</f>
        <v>PPPR-04</v>
      </c>
      <c r="B227" s="30" t="str">
        <f>VLOOKUP(A227,'HECVAT - Full'!A$24:B$312,2,FALSE)</f>
        <v>Have your developers been trained in secure coding techniques?</v>
      </c>
      <c r="C227" s="193" t="s">
        <v>3041</v>
      </c>
      <c r="D227" s="196" t="s">
        <v>2917</v>
      </c>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row>
    <row r="228" spans="1:255" ht="84.75" customHeight="1" x14ac:dyDescent="0.2">
      <c r="A228" s="30" t="str">
        <f>'HECVAT - Full'!A228</f>
        <v>PPPR-05</v>
      </c>
      <c r="B228" s="30" t="str">
        <f>VLOOKUP(A228,'HECVAT - Full'!A$24:B$312,2,FALSE)</f>
        <v>Was your application developed using secure coding techniques?</v>
      </c>
      <c r="C228" s="193" t="s">
        <v>3041</v>
      </c>
      <c r="D228" s="196" t="s">
        <v>2917</v>
      </c>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row>
    <row r="229" spans="1:255" ht="120.75" customHeight="1" x14ac:dyDescent="0.2">
      <c r="A229" s="30" t="str">
        <f>'HECVAT - Full'!A229</f>
        <v>PPPR-06</v>
      </c>
      <c r="B229" s="30" t="str">
        <f>VLOOKUP(A229,'HECVAT - Full'!A$24:B$312,2,FALSE)</f>
        <v>Do you subject your code to static code analysis and/or static application security testing prior to release?</v>
      </c>
      <c r="C229" s="191" t="s">
        <v>2929</v>
      </c>
      <c r="D229" s="196" t="s">
        <v>2930</v>
      </c>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row>
    <row r="230" spans="1:255" ht="84" customHeight="1" x14ac:dyDescent="0.2">
      <c r="A230" s="30" t="str">
        <f>'HECVAT - Full'!A230</f>
        <v>PPPR-07</v>
      </c>
      <c r="B230" s="30" t="str">
        <f>VLOOKUP(A230,'HECVAT - Full'!A$24:B$312,2,FALSE)</f>
        <v>Do you have software testing processes (dynamic or static) that are established and followed?</v>
      </c>
      <c r="C230" s="191" t="s">
        <v>2931</v>
      </c>
      <c r="D230" s="196" t="s">
        <v>2932</v>
      </c>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row>
    <row r="231" spans="1:255" ht="84" customHeight="1" x14ac:dyDescent="0.2">
      <c r="A231" s="30" t="str">
        <f>'HECVAT - Full'!A231</f>
        <v>PPPR-08</v>
      </c>
      <c r="B231" s="30" t="str">
        <f>VLOOKUP(A231,'HECVAT - Full'!A$24:B$312,2,FALSE)</f>
        <v>Are information security principles designed into the product lifecycle?</v>
      </c>
      <c r="C231" s="193" t="s">
        <v>3041</v>
      </c>
      <c r="D231" s="196" t="s">
        <v>2917</v>
      </c>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row>
    <row r="232" spans="1:255" ht="96" customHeight="1" x14ac:dyDescent="0.2">
      <c r="A232" s="30" t="str">
        <f>'HECVAT - Full'!A232</f>
        <v>PPPR-09</v>
      </c>
      <c r="B232" s="30" t="str">
        <f>VLOOKUP(A232,'HECVAT - Full'!A$24:B$312,2,FALSE)</f>
        <v>Do you have a documented systems development life cycle (SDLC)?</v>
      </c>
      <c r="C232" s="191" t="s">
        <v>2933</v>
      </c>
      <c r="D232" s="31" t="s">
        <v>2934</v>
      </c>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row>
    <row r="233" spans="1:255" ht="135" x14ac:dyDescent="0.2">
      <c r="A233" s="30" t="str">
        <f>'HECVAT - Full'!A233</f>
        <v>PPPR-10</v>
      </c>
      <c r="B233" s="30" t="str">
        <f>VLOOKUP(A233,'HECVAT - Full'!A$24:B$312,2,FALSE)</f>
        <v>Do you have a formal incident response plan?</v>
      </c>
      <c r="C233" s="193" t="s">
        <v>2935</v>
      </c>
      <c r="D233" s="196" t="s">
        <v>2936</v>
      </c>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row>
    <row r="234" spans="1:255" ht="63.75" customHeight="1" x14ac:dyDescent="0.2">
      <c r="A234" s="30" t="str">
        <f>'HECVAT - Full'!A234</f>
        <v>PPPR-11</v>
      </c>
      <c r="B234" s="30" t="str">
        <f>VLOOKUP(A234,'HECVAT - Full'!A$24:B$312,2,FALSE)</f>
        <v>Will you comply with applicable breach notification laws?</v>
      </c>
      <c r="C234" s="191" t="s">
        <v>2937</v>
      </c>
      <c r="D234" s="31" t="s">
        <v>2938</v>
      </c>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row>
    <row r="235" spans="1:255" ht="63.75" customHeight="1" x14ac:dyDescent="0.2">
      <c r="A235" s="30" t="str">
        <f>'HECVAT - Full'!A235</f>
        <v>PPPR-12</v>
      </c>
      <c r="B235" s="30" t="str">
        <f>VLOOKUP(A235,'HECVAT - Full'!A$24:B$312,2,FALSE)</f>
        <v>Will you comply with the Institution's IT policies with regards to user privacy and data protection?</v>
      </c>
      <c r="C235" s="191" t="s">
        <v>2939</v>
      </c>
      <c r="D235" s="31" t="s">
        <v>2940</v>
      </c>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row>
    <row r="236" spans="1:255" ht="63" customHeight="1" x14ac:dyDescent="0.2">
      <c r="A236" s="30" t="str">
        <f>'HECVAT - Full'!A236</f>
        <v>PPPR-13</v>
      </c>
      <c r="B236" s="30" t="str">
        <f>VLOOKUP(A236,'HECVAT - Full'!A$24:B$312,2,FALSE)</f>
        <v>Is your company subject to Institution's Data Zone laws and regulations?</v>
      </c>
      <c r="C236" s="191" t="s">
        <v>2937</v>
      </c>
      <c r="D236" s="31" t="s">
        <v>2938</v>
      </c>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row>
    <row r="237" spans="1:255" ht="90" customHeight="1" x14ac:dyDescent="0.2">
      <c r="A237" s="30" t="str">
        <f>'HECVAT - Full'!A237</f>
        <v>PPPR-14</v>
      </c>
      <c r="B237" s="30" t="str">
        <f>VLOOKUP(A237,'HECVAT - Full'!A$24:B$312,2,FALSE)</f>
        <v>Do you perform background screenings or multi-state background checks on all employees prior to their first day of work?</v>
      </c>
      <c r="C237" s="191" t="s">
        <v>2941</v>
      </c>
      <c r="D237" s="31" t="s">
        <v>2942</v>
      </c>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row>
    <row r="238" spans="1:255" ht="75" x14ac:dyDescent="0.2">
      <c r="A238" s="30" t="str">
        <f>'HECVAT - Full'!A238</f>
        <v>PPPR-15</v>
      </c>
      <c r="B238" s="30" t="str">
        <f>VLOOKUP(A238,'HECVAT - Full'!A$24:B$312,2,FALSE)</f>
        <v xml:space="preserve">Do you require new employees to fill out agreements and review policies?  </v>
      </c>
      <c r="C238" s="191" t="s">
        <v>2943</v>
      </c>
      <c r="D238" s="31" t="s">
        <v>2944</v>
      </c>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row>
    <row r="239" spans="1:255" ht="105" x14ac:dyDescent="0.2">
      <c r="A239" s="30" t="str">
        <f>'HECVAT - Full'!A239</f>
        <v>PPPR-16</v>
      </c>
      <c r="B239" s="30" t="str">
        <f>VLOOKUP(A239,'HECVAT - Full'!A$24:B$312,2,FALSE)</f>
        <v>Do you have documented information security policy?</v>
      </c>
      <c r="C239" s="193" t="s">
        <v>2945</v>
      </c>
      <c r="D239" s="196" t="s">
        <v>2946</v>
      </c>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row>
    <row r="240" spans="1:255" ht="90" x14ac:dyDescent="0.2">
      <c r="A240" s="30" t="str">
        <f>'HECVAT - Full'!A240</f>
        <v>PPPR-17</v>
      </c>
      <c r="B240" s="30" t="str">
        <f>VLOOKUP(A240,'HECVAT - Full'!A$24:B$312,2,FALSE)</f>
        <v>Do you have an information security awareness program?</v>
      </c>
      <c r="C240" s="191" t="s">
        <v>2947</v>
      </c>
      <c r="D240" s="31" t="s">
        <v>2948</v>
      </c>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row>
    <row r="241" spans="1:255" ht="90" x14ac:dyDescent="0.2">
      <c r="A241" s="30" t="str">
        <f>'HECVAT - Full'!A241</f>
        <v>PPPR-18</v>
      </c>
      <c r="B241" s="30" t="str">
        <f>VLOOKUP(A241,'HECVAT - Full'!A$24:B$312,2,FALSE)</f>
        <v>Is security awareness training mandatory for all employees?</v>
      </c>
      <c r="C241" s="191" t="s">
        <v>2947</v>
      </c>
      <c r="D241" s="31" t="s">
        <v>2948</v>
      </c>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row>
    <row r="242" spans="1:255" ht="105" x14ac:dyDescent="0.2">
      <c r="A242" s="30" t="str">
        <f>'HECVAT - Full'!A242</f>
        <v>PPPR-19</v>
      </c>
      <c r="B242" s="30" t="str">
        <f>VLOOKUP(A242,'HECVAT - Full'!A$24:B$312,2,FALSE)</f>
        <v>Do you have process and procedure(s) documented, and currently followed, that require a review and update of the access-list(s) for privileged accounts?</v>
      </c>
      <c r="C242" s="191" t="s">
        <v>2748</v>
      </c>
      <c r="D242" s="31" t="s">
        <v>2749</v>
      </c>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row>
    <row r="243" spans="1:255" ht="64.25" customHeight="1" x14ac:dyDescent="0.2">
      <c r="A243" s="30" t="str">
        <f>'HECVAT - Full'!A243</f>
        <v>PPPR-20</v>
      </c>
      <c r="B243" s="30" t="str">
        <f>VLOOKUP(A243,'HECVAT - Full'!A$24:B$312,2,FALSE)</f>
        <v>Do you have documented, and currently implemented, internal audit processes and procedures?</v>
      </c>
      <c r="C243" s="191" t="s">
        <v>2949</v>
      </c>
      <c r="D243" s="31" t="s">
        <v>2950</v>
      </c>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row>
    <row r="244" spans="1:255" ht="36" customHeight="1" x14ac:dyDescent="0.2">
      <c r="A244" s="248" t="str">
        <f>IF($C$30="","Product Evaluation",IF($C$30="Yes","Product Evaluation - Optional based on QUALIFIER response.","Product Evaluation"))</f>
        <v>Product Evaluation</v>
      </c>
      <c r="B244" s="248"/>
      <c r="C244" s="25" t="str">
        <f>$C$22</f>
        <v>Reason for Question</v>
      </c>
      <c r="D244" s="25" t="str">
        <f>$D$22</f>
        <v>Follow-up Inquiries/Responses</v>
      </c>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row>
    <row r="245" spans="1:255" ht="102" customHeight="1" x14ac:dyDescent="0.2">
      <c r="A245" s="30" t="str">
        <f>'HECVAT - Full'!A245</f>
        <v>PROD-01</v>
      </c>
      <c r="B245" s="30" t="str">
        <f>VLOOKUP(A245,'HECVAT - Full'!A$24:B$312,2,FALSE)</f>
        <v>Do you incorporate customer feedback into security feature requests?</v>
      </c>
      <c r="C245" s="191" t="s">
        <v>2951</v>
      </c>
      <c r="D245" s="31" t="s">
        <v>2952</v>
      </c>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row>
    <row r="246" spans="1:255" ht="64.5" customHeight="1" x14ac:dyDescent="0.2">
      <c r="A246" s="30" t="str">
        <f>'HECVAT - Full'!A246</f>
        <v>PROD-02</v>
      </c>
      <c r="B246" s="30" t="str">
        <f>VLOOKUP(A246,'HECVAT - Full'!A$24:B$312,2,FALSE)</f>
        <v>Can you provide an evaluation site to the institution for testing?</v>
      </c>
      <c r="C246" s="191" t="s">
        <v>2953</v>
      </c>
      <c r="D246" s="31" t="s">
        <v>2954</v>
      </c>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row>
    <row r="247" spans="1:255" ht="36" customHeight="1" x14ac:dyDescent="0.2">
      <c r="A247" s="248" t="str">
        <f>IF($C$30="","Quality Assurance",IF($C$30="Yes","Quality Assurance - Optional based on QUALIFIER response.","Quality Assurance"))</f>
        <v>Quality Assurance</v>
      </c>
      <c r="B247" s="248"/>
      <c r="C247" s="25" t="str">
        <f>$C$22</f>
        <v>Reason for Question</v>
      </c>
      <c r="D247" s="25" t="str">
        <f>$D$22</f>
        <v>Follow-up Inquiries/Responses</v>
      </c>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row>
    <row r="248" spans="1:255" ht="72" customHeight="1" x14ac:dyDescent="0.2">
      <c r="A248" s="30" t="str">
        <f>'HECVAT - Full'!A248</f>
        <v>QLAS-01</v>
      </c>
      <c r="B248" s="30" t="str">
        <f>VLOOKUP(A248,'HECVAT - Full'!A$24:B$312,2,FALSE)</f>
        <v>Provide a general summary of your Quality Assurance program.</v>
      </c>
      <c r="C248" s="191" t="s">
        <v>3046</v>
      </c>
      <c r="D248" s="191" t="s">
        <v>2955</v>
      </c>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row>
    <row r="249" spans="1:255" ht="48" customHeight="1" x14ac:dyDescent="0.2">
      <c r="A249" s="30" t="str">
        <f>'HECVAT - Full'!A249</f>
        <v>QLAS-02</v>
      </c>
      <c r="B249" s="30" t="str">
        <f>VLOOKUP(A249,'HECVAT - Full'!A$24:B$312,2,FALSE)</f>
        <v>Do you comply with ISO 9001?</v>
      </c>
      <c r="C249" s="193" t="s">
        <v>2956</v>
      </c>
      <c r="D249" s="194" t="s">
        <v>2957</v>
      </c>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row>
    <row r="250" spans="1:255" ht="84" customHeight="1" x14ac:dyDescent="0.2">
      <c r="A250" s="30" t="str">
        <f>'HECVAT - Full'!A250</f>
        <v>QLAS-03</v>
      </c>
      <c r="B250" s="30" t="str">
        <f>VLOOKUP(A250,'HECVAT - Full'!A$24:B$312,2,FALSE)</f>
        <v>Will your company provide quality and performance metrics in relation to the scope of services and performance expectations for the services you are offering?</v>
      </c>
      <c r="C250" s="191" t="s">
        <v>2958</v>
      </c>
      <c r="D250" s="194" t="s">
        <v>2959</v>
      </c>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row>
    <row r="251" spans="1:255" ht="96" customHeight="1" x14ac:dyDescent="0.2">
      <c r="A251" s="30" t="str">
        <f>'HECVAT - Full'!A251</f>
        <v>QLAS-04</v>
      </c>
      <c r="B251" s="30" t="str">
        <f>VLOOKUP(A251,'HECVAT - Full'!A$24:B$312,2,FALSE)</f>
        <v>Have you supplied products and/or services to the Institution (or its Campuses) in the last five years?</v>
      </c>
      <c r="C251" s="191" t="s">
        <v>2960</v>
      </c>
      <c r="D251" s="194" t="s">
        <v>2961</v>
      </c>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row>
    <row r="252" spans="1:255" ht="48" customHeight="1" x14ac:dyDescent="0.2">
      <c r="A252" s="30" t="str">
        <f>'HECVAT - Full'!A252</f>
        <v>QLAS-05</v>
      </c>
      <c r="B252" s="30" t="str">
        <f>VLOOKUP(A252,'HECVAT - Full'!A$24:B$312,2,FALSE)</f>
        <v>Do you have a program to keep your customers abreast of higher education and/or industry issues?</v>
      </c>
      <c r="C252" s="191" t="s">
        <v>2962</v>
      </c>
      <c r="D252" s="31" t="s">
        <v>2963</v>
      </c>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row>
    <row r="253" spans="1:255" ht="36" customHeight="1" x14ac:dyDescent="0.2">
      <c r="A253" s="248" t="str">
        <f>IF($C$30="","Systems Management &amp; Configuration",IF($C$30="Yes","System Mgmt/Config - Optional based on QUALIFIER response.","Systems Management &amp; Configuration"))</f>
        <v>Systems Management &amp; Configuration</v>
      </c>
      <c r="B253" s="248"/>
      <c r="C253" s="25" t="str">
        <f>$C$22</f>
        <v>Reason for Question</v>
      </c>
      <c r="D253" s="25" t="str">
        <f>$D$22</f>
        <v>Follow-up Inquiries/Responses</v>
      </c>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row>
    <row r="254" spans="1:255" ht="124" customHeight="1" x14ac:dyDescent="0.2">
      <c r="A254" s="30" t="str">
        <f>'HECVAT - Full'!A254</f>
        <v>SYST-01</v>
      </c>
      <c r="B254" s="30" t="str">
        <f>VLOOKUP(A254,'HECVAT - Full'!A$24:B$312,2,FALSE)</f>
        <v>Are systems that support this service managed via a separate management network?</v>
      </c>
      <c r="C254" s="193" t="s">
        <v>2964</v>
      </c>
      <c r="D254" s="196" t="s">
        <v>2965</v>
      </c>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row>
    <row r="255" spans="1:255" ht="118.5" customHeight="1" x14ac:dyDescent="0.2">
      <c r="A255" s="30" t="str">
        <f>'HECVAT - Full'!A255</f>
        <v>SYST-02</v>
      </c>
      <c r="B255" s="30" t="str">
        <f>VLOOKUP(A255,'HECVAT - Full'!A$24:B$312,2,FALSE)</f>
        <v>Do you have an implemented system configuration management process? (e.g. secure "gold" images, etc.)</v>
      </c>
      <c r="C255" s="191" t="s">
        <v>2966</v>
      </c>
      <c r="D255" s="31" t="s">
        <v>3047</v>
      </c>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row>
    <row r="256" spans="1:255" ht="75" customHeight="1" x14ac:dyDescent="0.2">
      <c r="A256" s="30" t="str">
        <f>'HECVAT - Full'!A256</f>
        <v>SYST-03</v>
      </c>
      <c r="B256" s="30" t="str">
        <f>VLOOKUP(A256,'HECVAT - Full'!A$24:B$312,2,FALSE)</f>
        <v>Are employee mobile devices managed by your company's Mobile Device Management (MDM) platform?</v>
      </c>
      <c r="C256" s="191" t="s">
        <v>2967</v>
      </c>
      <c r="D256" s="31" t="s">
        <v>2968</v>
      </c>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row>
    <row r="257" spans="1:255" ht="96" customHeight="1" x14ac:dyDescent="0.2">
      <c r="A257" s="30" t="str">
        <f>'HECVAT - Full'!A257</f>
        <v>SYST-04</v>
      </c>
      <c r="B257" s="30" t="str">
        <f>VLOOKUP(A257,'HECVAT - Full'!A$24:B$312,2,FALSE)</f>
        <v>Do you have a systems management and configuration strategy that encompasses servers, appliances, and mobile devices (company and employee owned)?</v>
      </c>
      <c r="C257" s="193" t="s">
        <v>2969</v>
      </c>
      <c r="D257" s="193" t="s">
        <v>2970</v>
      </c>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row>
    <row r="258" spans="1:255" ht="36" customHeight="1" x14ac:dyDescent="0.2">
      <c r="A258" s="248" t="str">
        <f>IF($C$30="","Vulnerability Scanning",IF($C$30="Yes","Vulnerability Scanning - Optional based on QUALIFIER response.","Vulnerability Scanning"))</f>
        <v>Vulnerability Scanning</v>
      </c>
      <c r="B258" s="248"/>
      <c r="C258" s="25" t="str">
        <f>$C$22</f>
        <v>Reason for Question</v>
      </c>
      <c r="D258" s="25" t="str">
        <f>$D$22</f>
        <v>Follow-up Inquiries/Responses</v>
      </c>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row>
    <row r="259" spans="1:255" ht="120" x14ac:dyDescent="0.2">
      <c r="A259" s="30" t="str">
        <f>'HECVAT - Full'!A259</f>
        <v>VULN-01</v>
      </c>
      <c r="B259" s="30" t="str">
        <f>VLOOKUP(A259,'HECVAT - Full'!A$24:B$312,2,FALSE)</f>
        <v>Are your applications scanned externally for vulnerabilities?</v>
      </c>
      <c r="C259" s="193" t="s">
        <v>3042</v>
      </c>
      <c r="D259" s="197" t="s">
        <v>3043</v>
      </c>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row>
    <row r="260" spans="1:255" ht="120" x14ac:dyDescent="0.2">
      <c r="A260" s="30" t="str">
        <f>'HECVAT - Full'!A260</f>
        <v>VULN-02</v>
      </c>
      <c r="B260" s="30" t="str">
        <f>VLOOKUP(A260,'HECVAT - Full'!A$24:B$312,2,FALSE)</f>
        <v>Have your applications had an external vulnerability assessment in the last year?</v>
      </c>
      <c r="C260" s="193" t="s">
        <v>3042</v>
      </c>
      <c r="D260" s="197" t="s">
        <v>3044</v>
      </c>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row>
    <row r="261" spans="1:255" ht="105" x14ac:dyDescent="0.2">
      <c r="A261" s="30" t="str">
        <f>'HECVAT - Full'!A261</f>
        <v>VULN-03</v>
      </c>
      <c r="B261" s="30" t="str">
        <f>VLOOKUP(A261,'HECVAT - Full'!A$24:B$312,2,FALSE)</f>
        <v>Are your applications scanned for vulnerabilities prior to new releases?</v>
      </c>
      <c r="C261" s="193" t="s">
        <v>3048</v>
      </c>
      <c r="D261" s="196" t="s">
        <v>2971</v>
      </c>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row>
    <row r="262" spans="1:255" ht="120" x14ac:dyDescent="0.2">
      <c r="A262" s="30" t="str">
        <f>'HECVAT - Full'!A262</f>
        <v>VULN-04</v>
      </c>
      <c r="B262" s="30" t="str">
        <f>VLOOKUP(A262,'HECVAT - Full'!A$24:B$312,2,FALSE)</f>
        <v>Are your systems scanned externally for vulnerabilities?</v>
      </c>
      <c r="C262" s="193" t="s">
        <v>3049</v>
      </c>
      <c r="D262" s="197" t="s">
        <v>3044</v>
      </c>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row>
    <row r="263" spans="1:255" ht="120" x14ac:dyDescent="0.2">
      <c r="A263" s="30" t="str">
        <f>'HECVAT - Full'!A263</f>
        <v>VULN-05</v>
      </c>
      <c r="B263" s="30" t="str">
        <f>VLOOKUP(A263,'HECVAT - Full'!A$24:B$312,2,FALSE)</f>
        <v>Have your systems had an external vulnerability assessment in the last year?</v>
      </c>
      <c r="C263" s="193" t="s">
        <v>3049</v>
      </c>
      <c r="D263" s="197" t="s">
        <v>3044</v>
      </c>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row>
    <row r="264" spans="1:255" ht="105" x14ac:dyDescent="0.2">
      <c r="A264" s="30" t="str">
        <f>'HECVAT - Full'!A264</f>
        <v>VULN-06</v>
      </c>
      <c r="B264" s="30" t="str">
        <f>VLOOKUP(A264,'HECVAT - Full'!A$24:B$312,2,FALSE)</f>
        <v>Describe or provide a reference to the tool(s) used to scan for vulnerabilities in your applications and systems.</v>
      </c>
      <c r="C264" s="191" t="s">
        <v>2972</v>
      </c>
      <c r="D264" s="191" t="s">
        <v>3050</v>
      </c>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row>
    <row r="265" spans="1:255" ht="60" x14ac:dyDescent="0.2">
      <c r="A265" s="30" t="str">
        <f>'HECVAT - Full'!A265</f>
        <v>VULN-07</v>
      </c>
      <c r="B265" s="30" t="str">
        <f>VLOOKUP(A265,'HECVAT - Full'!A$24:B$312,2,FALSE)</f>
        <v>Will you provide results of security scans to the Institution?</v>
      </c>
      <c r="C265" s="191" t="s">
        <v>3051</v>
      </c>
      <c r="D265" s="31" t="s">
        <v>2973</v>
      </c>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row>
    <row r="266" spans="1:255" ht="135" x14ac:dyDescent="0.2">
      <c r="A266" s="30" t="str">
        <f>'HECVAT - Full'!A266</f>
        <v>VULN-08</v>
      </c>
      <c r="B266" s="30" t="str">
        <f>VLOOKUP(A266,'HECVAT - Full'!A$24:B$312,2,FALSE)</f>
        <v>Describe or provide a reference to how you monitor for and protect against common web application security vulnerabilities (e.g. SQL injection, XSS, XSRF, etc.).</v>
      </c>
      <c r="C266" s="193" t="s">
        <v>3052</v>
      </c>
      <c r="D266" s="196" t="s">
        <v>2974</v>
      </c>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row>
    <row r="267" spans="1:255" ht="75.75" customHeight="1" x14ac:dyDescent="0.2">
      <c r="A267" s="30" t="str">
        <f>'HECVAT - Full'!A267</f>
        <v>VULN-09</v>
      </c>
      <c r="B267" s="30" t="str">
        <f>VLOOKUP(A267,'HECVAT - Full'!A$24:B$312,2,FALSE)</f>
        <v>Will you allow the institution to perform its own security testing of your systems and/or application provided that testing is performed at a mutually agreed upon time and date?</v>
      </c>
      <c r="C267" s="191" t="s">
        <v>2975</v>
      </c>
      <c r="D267" s="31" t="s">
        <v>2976</v>
      </c>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row>
    <row r="268" spans="1:255" ht="36" customHeight="1" x14ac:dyDescent="0.2">
      <c r="A268" s="248" t="str">
        <f>IF(OR($C$24="No",$C$30="Yes"),"HIPAA - Optional based on QUALIFIER response.","HIPAA")</f>
        <v>HIPAA</v>
      </c>
      <c r="B268" s="248"/>
      <c r="C268" s="25" t="str">
        <f>$C$22</f>
        <v>Reason for Question</v>
      </c>
      <c r="D268" s="25" t="str">
        <f>$D$22</f>
        <v>Follow-up Inquiries/Responses</v>
      </c>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row>
    <row r="269" spans="1:255" ht="65" customHeight="1" x14ac:dyDescent="0.2">
      <c r="A269" s="30" t="str">
        <f>'HECVAT - Full'!A269</f>
        <v>HIPA-01</v>
      </c>
      <c r="B269" s="30" t="str">
        <f>VLOOKUP(A269,'HECVAT - Full'!A$24:B$312,2,FALSE)</f>
        <v>Do your workforce members receive regular training related to the HIPAA Privacy and Security Rules and the HITECH Act?</v>
      </c>
      <c r="C269" s="191" t="s">
        <v>601</v>
      </c>
      <c r="D269" s="31" t="s">
        <v>2977</v>
      </c>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row>
    <row r="270" spans="1:255" ht="48" customHeight="1" x14ac:dyDescent="0.2">
      <c r="A270" s="30" t="str">
        <f>'HECVAT - Full'!A270</f>
        <v>HIPA-02</v>
      </c>
      <c r="B270" s="30" t="str">
        <f>VLOOKUP(A270,'HECVAT - Full'!A$24:B$312,2,FALSE)</f>
        <v>Do you monitor or receive information regarding changes in HIPAA regulations?</v>
      </c>
      <c r="C270" s="191" t="s">
        <v>602</v>
      </c>
      <c r="D270" s="31" t="s">
        <v>2977</v>
      </c>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row>
    <row r="271" spans="1:255" ht="48" customHeight="1" x14ac:dyDescent="0.2">
      <c r="A271" s="30" t="str">
        <f>'HECVAT - Full'!A271</f>
        <v>HIPA-03</v>
      </c>
      <c r="B271" s="30" t="str">
        <f>VLOOKUP(A271,'HECVAT - Full'!A$24:B$312,2,FALSE)</f>
        <v>Has your organization designated HIPAA Privacy and Security officers as required by the Rules?</v>
      </c>
      <c r="C271" s="191" t="s">
        <v>603</v>
      </c>
      <c r="D271" s="31" t="s">
        <v>2977</v>
      </c>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row>
    <row r="272" spans="1:255" ht="48" customHeight="1" x14ac:dyDescent="0.2">
      <c r="A272" s="30" t="str">
        <f>'HECVAT - Full'!A272</f>
        <v>HIPA-04</v>
      </c>
      <c r="B272" s="30" t="str">
        <f>VLOOKUP(A272,'HECVAT - Full'!A$24:B$312,2,FALSE)</f>
        <v>Do you comply with the requirements of the Health Information Technology for Economic and Clinical Health Act (HITECH)?</v>
      </c>
      <c r="C272" s="191" t="s">
        <v>2978</v>
      </c>
      <c r="D272" s="31" t="s">
        <v>2977</v>
      </c>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row>
    <row r="273" spans="1:255" ht="48" customHeight="1" x14ac:dyDescent="0.2">
      <c r="A273" s="30" t="str">
        <f>'HECVAT - Full'!A273</f>
        <v>HIPA-05</v>
      </c>
      <c r="B273" s="30" t="str">
        <f>VLOOKUP(A273,'HECVAT - Full'!A$24:B$312,2,FALSE)</f>
        <v>Do you have an incident response process and reporting in place to investigate any potential incidents and report actual incidents?</v>
      </c>
      <c r="C273" s="191" t="s">
        <v>604</v>
      </c>
      <c r="D273" s="31" t="s">
        <v>2977</v>
      </c>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row>
    <row r="274" spans="1:255" ht="48" customHeight="1" x14ac:dyDescent="0.2">
      <c r="A274" s="30" t="str">
        <f>'HECVAT - Full'!A274</f>
        <v>HIPA-06</v>
      </c>
      <c r="B274" s="30" t="str">
        <f>VLOOKUP(A274,'HECVAT - Full'!A$24:B$312,2,FALSE)</f>
        <v>Do you have a plan to comply with the Breach Notification requirements if there is a breach of data?</v>
      </c>
      <c r="C274" s="191" t="s">
        <v>690</v>
      </c>
      <c r="D274" s="31" t="s">
        <v>2977</v>
      </c>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row>
    <row r="275" spans="1:255" ht="48" customHeight="1" x14ac:dyDescent="0.2">
      <c r="A275" s="30" t="str">
        <f>'HECVAT - Full'!A275</f>
        <v>HIPA-07</v>
      </c>
      <c r="B275" s="30" t="str">
        <f>VLOOKUP(A275,'HECVAT - Full'!A$24:B$312,2,FALSE)</f>
        <v>Have you conducted a risk analysis as required under the Security Rule?</v>
      </c>
      <c r="C275" s="191" t="s">
        <v>599</v>
      </c>
      <c r="D275" s="31" t="s">
        <v>2977</v>
      </c>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row>
    <row r="276" spans="1:255" ht="48" customHeight="1" x14ac:dyDescent="0.2">
      <c r="A276" s="30" t="str">
        <f>'HECVAT - Full'!A276</f>
        <v>HIPA-08</v>
      </c>
      <c r="B276" s="30" t="str">
        <f>VLOOKUP(A276,'HECVAT - Full'!A$24:B$312,2,FALSE)</f>
        <v>Have you identified areas of risks?</v>
      </c>
      <c r="C276" s="191" t="s">
        <v>611</v>
      </c>
      <c r="D276" s="31" t="s">
        <v>2977</v>
      </c>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row>
    <row r="277" spans="1:255" ht="48" customHeight="1" x14ac:dyDescent="0.2">
      <c r="A277" s="30" t="str">
        <f>'HECVAT - Full'!A277</f>
        <v>HIPA-09</v>
      </c>
      <c r="B277" s="30" t="str">
        <f>VLOOKUP(A277,'HECVAT - Full'!A$24:B$312,2,FALSE)</f>
        <v>Have you taken actions to mitigate the identified risks?</v>
      </c>
      <c r="C277" s="191" t="s">
        <v>600</v>
      </c>
      <c r="D277" s="31" t="s">
        <v>2977</v>
      </c>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row>
    <row r="278" spans="1:255" ht="48" customHeight="1" x14ac:dyDescent="0.2">
      <c r="A278" s="30" t="str">
        <f>'HECVAT - Full'!A278</f>
        <v>HIPA-10</v>
      </c>
      <c r="B278" s="30" t="str">
        <f>VLOOKUP(A278,'HECVAT - Full'!A$24:B$312,2,FALSE)</f>
        <v>Does your application require user and system administrator password changes at a frequency no greater than 90 days?</v>
      </c>
      <c r="C278" s="191" t="s">
        <v>605</v>
      </c>
      <c r="D278" s="31" t="s">
        <v>2977</v>
      </c>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row>
    <row r="279" spans="1:255" ht="48" customHeight="1" x14ac:dyDescent="0.2">
      <c r="A279" s="30" t="str">
        <f>'HECVAT - Full'!A279</f>
        <v>HIPA-11</v>
      </c>
      <c r="B279" s="30" t="str">
        <f>VLOOKUP(A279,'HECVAT - Full'!A$24:B$312,2,FALSE)</f>
        <v>Does your application require a user to set their own password after an administrator reset or on first use of the account?</v>
      </c>
      <c r="C279" s="191" t="s">
        <v>605</v>
      </c>
      <c r="D279" s="31" t="s">
        <v>2977</v>
      </c>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row>
    <row r="280" spans="1:255" ht="48" customHeight="1" x14ac:dyDescent="0.2">
      <c r="A280" s="30" t="str">
        <f>'HECVAT - Full'!A280</f>
        <v>HIPA-12</v>
      </c>
      <c r="B280" s="30" t="str">
        <f>VLOOKUP(A280,'HECVAT - Full'!A$24:B$312,2,FALSE)</f>
        <v xml:space="preserve">Does your application lock-out an account after a number of failed login attempts? </v>
      </c>
      <c r="C280" s="191" t="s">
        <v>612</v>
      </c>
      <c r="D280" s="31" t="s">
        <v>2977</v>
      </c>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row>
    <row r="281" spans="1:255" ht="48" customHeight="1" x14ac:dyDescent="0.2">
      <c r="A281" s="30" t="str">
        <f>'HECVAT - Full'!A281</f>
        <v>HIPA-13</v>
      </c>
      <c r="B281" s="30" t="str">
        <f>VLOOKUP(A281,'HECVAT - Full'!A$24:B$312,2,FALSE)</f>
        <v>Does your application automatically lock or log-out an account after a period of inactivity?</v>
      </c>
      <c r="C281" s="191" t="s">
        <v>613</v>
      </c>
      <c r="D281" s="31" t="s">
        <v>2977</v>
      </c>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row>
    <row r="282" spans="1:255" ht="48" customHeight="1" x14ac:dyDescent="0.2">
      <c r="A282" s="30" t="str">
        <f>'HECVAT - Full'!A282</f>
        <v>HIPA-14</v>
      </c>
      <c r="B282" s="30" t="str">
        <f>VLOOKUP(A282,'HECVAT - Full'!A$24:B$312,2,FALSE)</f>
        <v>Are passwords visible in plain text, whether when stored or entered, including service level accounts (i.e. database accounts, etc.)?</v>
      </c>
      <c r="C282" s="191" t="s">
        <v>696</v>
      </c>
      <c r="D282" s="31" t="s">
        <v>2977</v>
      </c>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row>
    <row r="283" spans="1:255" ht="48" customHeight="1" x14ac:dyDescent="0.2">
      <c r="A283" s="30" t="str">
        <f>'HECVAT - Full'!A283</f>
        <v>HIPA-15</v>
      </c>
      <c r="B283" s="30" t="str">
        <f>VLOOKUP(A283,'HECVAT - Full'!A$24:B$312,2,FALSE)</f>
        <v>If the application is institution-hosted, can all service level and administrative account passwords be changed by the institution?</v>
      </c>
      <c r="C283" s="191" t="s">
        <v>696</v>
      </c>
      <c r="D283" s="31" t="s">
        <v>2977</v>
      </c>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row>
    <row r="284" spans="1:255" ht="48" customHeight="1" x14ac:dyDescent="0.2">
      <c r="A284" s="30" t="str">
        <f>'HECVAT - Full'!A284</f>
        <v>HIPA-16</v>
      </c>
      <c r="B284" s="30" t="str">
        <f>VLOOKUP(A284,'HECVAT - Full'!A$24:B$312,2,FALSE)</f>
        <v>Does your application provide the ability to define user access levels?</v>
      </c>
      <c r="C284" s="191" t="s">
        <v>693</v>
      </c>
      <c r="D284" s="31" t="s">
        <v>2977</v>
      </c>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row>
    <row r="285" spans="1:255" ht="48" customHeight="1" x14ac:dyDescent="0.2">
      <c r="A285" s="30" t="str">
        <f>'HECVAT - Full'!A285</f>
        <v>HIPA-17</v>
      </c>
      <c r="B285" s="30" t="str">
        <f>VLOOKUP(A285,'HECVAT - Full'!A$24:B$312,2,FALSE)</f>
        <v>Does your application support varying levels of access to administrative tasks defined individually per user?</v>
      </c>
      <c r="C285" s="191" t="s">
        <v>691</v>
      </c>
      <c r="D285" s="31" t="s">
        <v>2977</v>
      </c>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row>
    <row r="286" spans="1:255" ht="48" customHeight="1" x14ac:dyDescent="0.2">
      <c r="A286" s="30" t="str">
        <f>'HECVAT - Full'!A286</f>
        <v>HIPA-18</v>
      </c>
      <c r="B286" s="30" t="str">
        <f>VLOOKUP(A286,'HECVAT - Full'!A$24:B$312,2,FALSE)</f>
        <v>Does your application support varying levels of access to records based on user ID?</v>
      </c>
      <c r="C286" s="191" t="s">
        <v>692</v>
      </c>
      <c r="D286" s="31" t="s">
        <v>2977</v>
      </c>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row>
    <row r="287" spans="1:255" ht="47" customHeight="1" x14ac:dyDescent="0.2">
      <c r="A287" s="30" t="str">
        <f>'HECVAT - Full'!A287</f>
        <v>HIPA-19</v>
      </c>
      <c r="B287" s="30" t="str">
        <f>VLOOKUP(A287,'HECVAT - Full'!A$24:B$312,2,FALSE)</f>
        <v>Is there a limit to the number of groups a user can be assigned?</v>
      </c>
      <c r="C287" s="191" t="s">
        <v>695</v>
      </c>
      <c r="D287" s="31" t="s">
        <v>2977</v>
      </c>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row>
    <row r="288" spans="1:255" ht="47" customHeight="1" x14ac:dyDescent="0.2">
      <c r="A288" s="30" t="str">
        <f>'HECVAT - Full'!A288</f>
        <v>HIPA-20</v>
      </c>
      <c r="B288" s="30" t="str">
        <f>VLOOKUP(A288,'HECVAT - Full'!A$24:B$312,2,FALSE)</f>
        <v>Do accounts used for vendor supplied remote support abide by the same authentication policies and access logging as the rest of the system?</v>
      </c>
      <c r="C288" s="191" t="s">
        <v>695</v>
      </c>
      <c r="D288" s="31" t="s">
        <v>2977</v>
      </c>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row>
    <row r="289" spans="1:255" ht="48" customHeight="1" x14ac:dyDescent="0.2">
      <c r="A289" s="30" t="str">
        <f>'HECVAT - Full'!A289</f>
        <v>HIPA-21</v>
      </c>
      <c r="B289" s="30" t="str">
        <f>VLOOKUP(A289,'HECVAT - Full'!A$24:B$312,2,FALSE)</f>
        <v xml:space="preserve">Does the application log record access including specific user, date/time of access, and originating IP or device? </v>
      </c>
      <c r="C289" s="191" t="s">
        <v>2979</v>
      </c>
      <c r="D289" s="31" t="s">
        <v>2977</v>
      </c>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row>
    <row r="290" spans="1:255" ht="65" customHeight="1" x14ac:dyDescent="0.2">
      <c r="A290" s="30" t="str">
        <f>'HECVAT - Full'!A290</f>
        <v>HIPA-22</v>
      </c>
      <c r="B290" s="30" t="str">
        <f>VLOOKUP(A290,'HECVAT - Full'!A$24:B$312,2,FALSE)</f>
        <v>Does the application log administrative activity, such user account access changes and password changes, including specific user, date/time of changes, and originating IP or device?</v>
      </c>
      <c r="C290" s="191" t="s">
        <v>607</v>
      </c>
      <c r="D290" s="31" t="s">
        <v>2977</v>
      </c>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row>
    <row r="291" spans="1:255" ht="48" customHeight="1" x14ac:dyDescent="0.2">
      <c r="A291" s="30" t="str">
        <f>'HECVAT - Full'!A291</f>
        <v>HIPA-23</v>
      </c>
      <c r="B291" s="30" t="str">
        <f>VLOOKUP(A291,'HECVAT - Full'!A$24:B$312,2,FALSE)</f>
        <v>How long does the application keep access/change logs?</v>
      </c>
      <c r="C291" s="191" t="s">
        <v>607</v>
      </c>
      <c r="D291" s="31" t="s">
        <v>2977</v>
      </c>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row>
    <row r="292" spans="1:255" ht="48" customHeight="1" x14ac:dyDescent="0.2">
      <c r="A292" s="30" t="str">
        <f>'HECVAT - Full'!A292</f>
        <v>HIPA-24</v>
      </c>
      <c r="B292" s="30" t="str">
        <f>VLOOKUP(A292,'HECVAT - Full'!A$24:B$312,2,FALSE)</f>
        <v xml:space="preserve">Can the application logs be archived? </v>
      </c>
      <c r="C292" s="191" t="s">
        <v>607</v>
      </c>
      <c r="D292" s="31" t="s">
        <v>2977</v>
      </c>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row>
    <row r="293" spans="1:255" ht="48" customHeight="1" x14ac:dyDescent="0.2">
      <c r="A293" s="30" t="str">
        <f>'HECVAT - Full'!A293</f>
        <v>HIPA-25</v>
      </c>
      <c r="B293" s="30" t="str">
        <f>VLOOKUP(A293,'HECVAT - Full'!A$24:B$312,2,FALSE)</f>
        <v xml:space="preserve">Can the application logs be saved externally? </v>
      </c>
      <c r="C293" s="191" t="s">
        <v>607</v>
      </c>
      <c r="D293" s="31" t="s">
        <v>2977</v>
      </c>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row>
    <row r="294" spans="1:255" ht="48" customHeight="1" x14ac:dyDescent="0.2">
      <c r="A294" s="30" t="str">
        <f>'HECVAT - Full'!A294</f>
        <v>HIPA-26</v>
      </c>
      <c r="B294" s="30" t="str">
        <f>VLOOKUP(A294,'HECVAT - Full'!A$24:B$312,2,FALSE)</f>
        <v>Does your data backup and retention policies and practices meet HIPAA requirements?</v>
      </c>
      <c r="C294" s="191" t="s">
        <v>608</v>
      </c>
      <c r="D294" s="31" t="s">
        <v>2977</v>
      </c>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row>
    <row r="295" spans="1:255" ht="48" customHeight="1" x14ac:dyDescent="0.2">
      <c r="A295" s="30" t="str">
        <f>'HECVAT - Full'!A295</f>
        <v>HIPA-27</v>
      </c>
      <c r="B295" s="30" t="str">
        <f>VLOOKUP(A295,'HECVAT - Full'!A$24:B$312,2,FALSE)</f>
        <v>Do you have a disaster recovery plan and emergency mode operation plan?</v>
      </c>
      <c r="C295" s="191" t="s">
        <v>609</v>
      </c>
      <c r="D295" s="31" t="s">
        <v>2977</v>
      </c>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row>
    <row r="296" spans="1:255" ht="48" customHeight="1" x14ac:dyDescent="0.2">
      <c r="A296" s="30" t="str">
        <f>'HECVAT - Full'!A296</f>
        <v>HIPA-28</v>
      </c>
      <c r="B296" s="30" t="str">
        <f>VLOOKUP(A296,'HECVAT - Full'!A$24:B$312,2,FALSE)</f>
        <v>Have the policies/plans mentioned above been tested?</v>
      </c>
      <c r="C296" s="191" t="s">
        <v>609</v>
      </c>
      <c r="D296" s="31" t="s">
        <v>2977</v>
      </c>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row>
    <row r="297" spans="1:255" ht="48" customHeight="1" x14ac:dyDescent="0.2">
      <c r="A297" s="30" t="str">
        <f>'HECVAT - Full'!A297</f>
        <v>HIPA-29</v>
      </c>
      <c r="B297" s="30" t="str">
        <f>VLOOKUP(A297,'HECVAT - Full'!A$24:B$312,2,FALSE)</f>
        <v>Can you provide a HIPAA compliance attestation document?</v>
      </c>
      <c r="C297" s="191" t="s">
        <v>610</v>
      </c>
      <c r="D297" s="31" t="s">
        <v>2977</v>
      </c>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row>
    <row r="298" spans="1:255" ht="48" customHeight="1" x14ac:dyDescent="0.2">
      <c r="A298" s="30" t="str">
        <f>'HECVAT - Full'!A298</f>
        <v>HIPA-30</v>
      </c>
      <c r="B298" s="30" t="str">
        <f>VLOOKUP(A298,'HECVAT - Full'!A$24:B$312,2,FALSE)</f>
        <v>Are you willing to enter into a Business Associate Agreement (BAA)?</v>
      </c>
      <c r="C298" s="191" t="s">
        <v>614</v>
      </c>
      <c r="D298" s="31" t="s">
        <v>2977</v>
      </c>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row>
    <row r="299" spans="1:255" ht="47" customHeight="1" x14ac:dyDescent="0.2">
      <c r="A299" s="30" t="str">
        <f>'HECVAT - Full'!A299</f>
        <v>HIPA-31</v>
      </c>
      <c r="B299" s="30" t="str">
        <f>VLOOKUP(A299,'HECVAT - Full'!A$24:B$312,2,FALSE)</f>
        <v>Have you entered into a BAA with all subcontractors who may have access to protected health information (PHI)?</v>
      </c>
      <c r="C299" s="191" t="s">
        <v>694</v>
      </c>
      <c r="D299" s="31" t="s">
        <v>2977</v>
      </c>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row>
    <row r="300" spans="1:255" ht="36" customHeight="1" x14ac:dyDescent="0.2">
      <c r="A300" s="248" t="str">
        <f>IF(OR($C$29="No",$C$30="Yes"),"PCI DSS - Optional based on QUALIFIER response.","PCI DSS")</f>
        <v>PCI DSS</v>
      </c>
      <c r="B300" s="248"/>
      <c r="C300" s="25" t="str">
        <f>$C$22</f>
        <v>Reason for Question</v>
      </c>
      <c r="D300" s="25" t="str">
        <f>$D$22</f>
        <v>Follow-up Inquiries/Responses</v>
      </c>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row>
    <row r="301" spans="1:255" ht="48" customHeight="1" x14ac:dyDescent="0.2">
      <c r="A301" s="30" t="str">
        <f>'HECVAT - Full'!A301</f>
        <v>PCID-01</v>
      </c>
      <c r="B301" s="30" t="str">
        <f>VLOOKUP(A301,'HECVAT - Full'!A$24:B$312,2,FALSE)</f>
        <v>Do your systems or products store, process, or transmit cardholder (payment/credit/debt card) data?</v>
      </c>
      <c r="C301" s="191">
        <v>12.8</v>
      </c>
      <c r="D301" s="31" t="s">
        <v>2980</v>
      </c>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row>
    <row r="302" spans="1:255" ht="48" customHeight="1" x14ac:dyDescent="0.2">
      <c r="A302" s="30" t="str">
        <f>'HECVAT - Full'!A302</f>
        <v>PCID-02</v>
      </c>
      <c r="B302" s="30" t="str">
        <f>VLOOKUP(A302,'HECVAT - Full'!A$24:B$312,2,FALSE)</f>
        <v>Are you compliant with the Payment Card Industry Data Security Standard (PCI DSS)?</v>
      </c>
      <c r="C302" s="191">
        <v>12.8</v>
      </c>
      <c r="D302" s="31" t="s">
        <v>2980</v>
      </c>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row>
    <row r="303" spans="1:255" ht="48" customHeight="1" x14ac:dyDescent="0.2">
      <c r="A303" s="30" t="str">
        <f>'HECVAT - Full'!A303</f>
        <v>PCID-03</v>
      </c>
      <c r="B303" s="30" t="str">
        <f>VLOOKUP(A303,'HECVAT - Full'!A$24:B$312,2,FALSE)</f>
        <v>Do you have a current, executed within the past year, Attestation of Compliance (AoC) or Report on Compliance (RoC)?</v>
      </c>
      <c r="C303" s="191">
        <v>12.8</v>
      </c>
      <c r="D303" s="31" t="s">
        <v>2980</v>
      </c>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row>
    <row r="304" spans="1:255" ht="48" customHeight="1" x14ac:dyDescent="0.2">
      <c r="A304" s="30" t="str">
        <f>'HECVAT - Full'!A304</f>
        <v>PCID-04</v>
      </c>
      <c r="B304" s="30" t="str">
        <f>VLOOKUP(A304,'HECVAT - Full'!A$24:B$312,2,FALSE)</f>
        <v>Are you classified as a service provider?</v>
      </c>
      <c r="C304" s="191">
        <v>12.8</v>
      </c>
      <c r="D304" s="31" t="s">
        <v>2980</v>
      </c>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row>
    <row r="305" spans="1:255" ht="48" customHeight="1" x14ac:dyDescent="0.2">
      <c r="A305" s="30" t="str">
        <f>'HECVAT - Full'!A305</f>
        <v>PCID-05</v>
      </c>
      <c r="B305" s="30" t="str">
        <f>VLOOKUP(A305,'HECVAT - Full'!A$24:B$312,2,FALSE)</f>
        <v xml:space="preserve">Are you on the list of VISA approved service providers? </v>
      </c>
      <c r="C305" s="191">
        <v>12.8</v>
      </c>
      <c r="D305" s="31" t="s">
        <v>2980</v>
      </c>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row>
    <row r="306" spans="1:255" ht="48" customHeight="1" x14ac:dyDescent="0.2">
      <c r="A306" s="30" t="str">
        <f>'HECVAT - Full'!A306</f>
        <v>PCID-06</v>
      </c>
      <c r="B306" s="30" t="str">
        <f>VLOOKUP(A306,'HECVAT - Full'!A$24:B$312,2,FALSE)</f>
        <v>Are you classified as a merchant?  If so, what level (1, 2, 3, 4)?</v>
      </c>
      <c r="C306" s="191">
        <v>12.8</v>
      </c>
      <c r="D306" s="31" t="s">
        <v>2980</v>
      </c>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row>
    <row r="307" spans="1:255" ht="64.25" customHeight="1" x14ac:dyDescent="0.2">
      <c r="A307" s="30" t="str">
        <f>'HECVAT - Full'!A307</f>
        <v>PCID-07</v>
      </c>
      <c r="B307" s="30" t="str">
        <f>VLOOKUP(A307,'HECVAT - Full'!A$24:B$312,2,FALSE)</f>
        <v>Describe the architecture employed by the system to verify and authorize credit card transactions.</v>
      </c>
      <c r="C307" s="191" t="s">
        <v>2109</v>
      </c>
      <c r="D307" s="31" t="s">
        <v>2980</v>
      </c>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row>
    <row r="308" spans="1:255" ht="64.25" customHeight="1" x14ac:dyDescent="0.2">
      <c r="A308" s="30" t="str">
        <f>'HECVAT - Full'!A308</f>
        <v>PCID-08</v>
      </c>
      <c r="B308" s="30" t="str">
        <f>VLOOKUP(A308,'HECVAT - Full'!A$24:B$312,2,FALSE)</f>
        <v xml:space="preserve">What payment processors/gateways does the system support? </v>
      </c>
      <c r="C308" s="191">
        <v>12.8</v>
      </c>
      <c r="D308" s="31" t="s">
        <v>2980</v>
      </c>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row>
    <row r="309" spans="1:255" ht="48" customHeight="1" x14ac:dyDescent="0.2">
      <c r="A309" s="30" t="str">
        <f>'HECVAT - Full'!A309</f>
        <v>PCID-09</v>
      </c>
      <c r="B309" s="30" t="str">
        <f>VLOOKUP(A309,'HECVAT - Full'!A$24:B$312,2,FALSE)</f>
        <v>Can the application be installed in a PCI DSS compliant manner ?</v>
      </c>
      <c r="C309" s="191">
        <v>12.8</v>
      </c>
      <c r="D309" s="31" t="s">
        <v>2980</v>
      </c>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row>
    <row r="310" spans="1:255" ht="48" customHeight="1" x14ac:dyDescent="0.2">
      <c r="A310" s="30" t="str">
        <f>'HECVAT - Full'!A310</f>
        <v>PCID-10</v>
      </c>
      <c r="B310" s="30" t="str">
        <f>VLOOKUP(A310,'HECVAT - Full'!A$24:B$312,2,FALSE)</f>
        <v xml:space="preserve">Is the application listed as an approved PA-DSS application? </v>
      </c>
      <c r="C310" s="191">
        <v>12.8</v>
      </c>
      <c r="D310" s="31" t="s">
        <v>2980</v>
      </c>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row>
    <row r="311" spans="1:255" ht="54" customHeight="1" x14ac:dyDescent="0.2">
      <c r="A311" s="30" t="str">
        <f>'HECVAT - Full'!A311</f>
        <v>PCID-11</v>
      </c>
      <c r="B311" s="30" t="str">
        <f>VLOOKUP(A311,'HECVAT - Full'!A$24:B$312,2,FALSE)</f>
        <v>Does the system or products use a third party to collect, store, process, or transmit cardholder (payment/credit/debt card) data?</v>
      </c>
      <c r="C311" s="191">
        <v>12.8</v>
      </c>
      <c r="D311" s="31" t="s">
        <v>2980</v>
      </c>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row>
    <row r="312" spans="1:255" ht="64.25" customHeight="1" x14ac:dyDescent="0.2">
      <c r="A312" s="30" t="str">
        <f>'HECVAT - Full'!A312</f>
        <v>PCID-12</v>
      </c>
      <c r="B312" s="30" t="str">
        <f>VLOOKUP(A312,'HECVAT - Full'!A$24:B$312,2,FALSE)</f>
        <v xml:space="preserve">Include documentation describing the systems' abilities to comply with the PCI DSS and any features or capabilities of the system that must be added or changed in order to operate in compliance with the standards. </v>
      </c>
      <c r="C312" s="191">
        <v>12.8</v>
      </c>
      <c r="D312" s="31" t="s">
        <v>2980</v>
      </c>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row>
  </sheetData>
  <mergeCells count="28">
    <mergeCell ref="A79:B79"/>
    <mergeCell ref="A2:D2"/>
    <mergeCell ref="A97:B97"/>
    <mergeCell ref="A110:B110"/>
    <mergeCell ref="A126:B126"/>
    <mergeCell ref="A31:B31"/>
    <mergeCell ref="A38:B38"/>
    <mergeCell ref="A46:B46"/>
    <mergeCell ref="A51:B51"/>
    <mergeCell ref="A61:B61"/>
    <mergeCell ref="A1:D1"/>
    <mergeCell ref="A20:B20"/>
    <mergeCell ref="A21:D21"/>
    <mergeCell ref="A22:B22"/>
    <mergeCell ref="A23:D23"/>
    <mergeCell ref="A155:B155"/>
    <mergeCell ref="A158:B158"/>
    <mergeCell ref="A253:B253"/>
    <mergeCell ref="A258:B258"/>
    <mergeCell ref="A268:B268"/>
    <mergeCell ref="A178:B178"/>
    <mergeCell ref="A300:B300"/>
    <mergeCell ref="A192:B192"/>
    <mergeCell ref="A205:B205"/>
    <mergeCell ref="A217:B217"/>
    <mergeCell ref="A223:B223"/>
    <mergeCell ref="A244:B244"/>
    <mergeCell ref="A247:B247"/>
  </mergeCells>
  <conditionalFormatting sqref="A46">
    <cfRule type="expression" dxfId="31" priority="31">
      <formula>$C$26="No"</formula>
    </cfRule>
  </conditionalFormatting>
  <conditionalFormatting sqref="A51">
    <cfRule type="expression" dxfId="30" priority="26">
      <formula>$C$30="No"</formula>
    </cfRule>
  </conditionalFormatting>
  <conditionalFormatting sqref="A97">
    <cfRule type="expression" dxfId="29" priority="25">
      <formula>$C$27="No"</formula>
    </cfRule>
  </conditionalFormatting>
  <conditionalFormatting sqref="A178">
    <cfRule type="expression" dxfId="28" priority="30">
      <formula>$C$28="No"</formula>
    </cfRule>
  </conditionalFormatting>
  <conditionalFormatting sqref="A205">
    <cfRule type="expression" dxfId="27" priority="33">
      <formula>$C$25="No"</formula>
    </cfRule>
  </conditionalFormatting>
  <conditionalFormatting sqref="A268">
    <cfRule type="expression" dxfId="26" priority="32">
      <formula>$C$24="No"</formula>
    </cfRule>
  </conditionalFormatting>
  <conditionalFormatting sqref="A300">
    <cfRule type="expression" dxfId="25" priority="28">
      <formula>$C$29="No"</formula>
    </cfRule>
  </conditionalFormatting>
  <conditionalFormatting sqref="A61:B61 A79:B79 A97:B97 A110:B110 A126:B126 A158:B158 A178:B178 A192:B192 A205:B205 A223:B223 A244:B244 A247:B247 A253:B253 A268:B268 A300:B300">
    <cfRule type="expression" dxfId="24" priority="23">
      <formula>$C$30="Yes"</formula>
    </cfRule>
  </conditionalFormatting>
  <conditionalFormatting sqref="A155:B155">
    <cfRule type="expression" dxfId="23" priority="22">
      <formula>$C$30="Yes"</formula>
    </cfRule>
  </conditionalFormatting>
  <conditionalFormatting sqref="A217:B217">
    <cfRule type="expression" dxfId="22" priority="21">
      <formula>$C$30="Yes"</formula>
    </cfRule>
  </conditionalFormatting>
  <conditionalFormatting sqref="A258:B258">
    <cfRule type="expression" dxfId="21" priority="20">
      <formula>$C$30="Yes"</formula>
    </cfRule>
  </conditionalFormatting>
  <conditionalFormatting sqref="C293">
    <cfRule type="expression" dxfId="20" priority="24">
      <formula>$C$292="No"</formula>
    </cfRule>
  </conditionalFormatting>
  <conditionalFormatting sqref="C296">
    <cfRule type="expression" dxfId="19" priority="16">
      <formula>$C$295="No"</formula>
    </cfRule>
  </conditionalFormatting>
  <conditionalFormatting sqref="C60:D60">
    <cfRule type="expression" dxfId="18" priority="27">
      <formula>$C$59="No"</formula>
    </cfRule>
  </conditionalFormatting>
  <conditionalFormatting sqref="C90:D90">
    <cfRule type="expression" dxfId="17" priority="15">
      <formula>$C$89="No"</formula>
    </cfRule>
  </conditionalFormatting>
  <conditionalFormatting sqref="C92:D93">
    <cfRule type="expression" dxfId="16" priority="14">
      <formula>$C$91="No"</formula>
    </cfRule>
  </conditionalFormatting>
  <conditionalFormatting sqref="C112:D112">
    <cfRule type="expression" dxfId="15" priority="18">
      <formula>$C$111="No"</formula>
    </cfRule>
  </conditionalFormatting>
  <conditionalFormatting sqref="C203:D203">
    <cfRule type="expression" dxfId="14" priority="17">
      <formula>$C$202="No"</formula>
    </cfRule>
  </conditionalFormatting>
  <conditionalFormatting sqref="C213:D213">
    <cfRule type="expression" dxfId="13" priority="4">
      <formula>$C$89="No"</formula>
    </cfRule>
  </conditionalFormatting>
  <conditionalFormatting sqref="D179">
    <cfRule type="expression" dxfId="12" priority="13">
      <formula>#REF!="No"</formula>
    </cfRule>
  </conditionalFormatting>
  <conditionalFormatting sqref="D184">
    <cfRule type="expression" dxfId="11" priority="3">
      <formula>#REF!="No"</formula>
    </cfRule>
  </conditionalFormatting>
  <conditionalFormatting sqref="D187">
    <cfRule type="expression" dxfId="10" priority="2">
      <formula>#REF!="No"</formula>
    </cfRule>
  </conditionalFormatting>
  <conditionalFormatting sqref="D188">
    <cfRule type="expression" dxfId="9" priority="1">
      <formula>#REF!="No"</formula>
    </cfRule>
  </conditionalFormatting>
  <conditionalFormatting sqref="D190">
    <cfRule type="expression" dxfId="8" priority="12">
      <formula>#REF!="No"</formula>
    </cfRule>
  </conditionalFormatting>
  <conditionalFormatting sqref="D215:D216">
    <cfRule type="expression" dxfId="7" priority="6">
      <formula>#REF!="No"</formula>
    </cfRule>
  </conditionalFormatting>
  <conditionalFormatting sqref="D259:D260">
    <cfRule type="expression" dxfId="6" priority="10">
      <formula>#REF!="No"</formula>
    </cfRule>
  </conditionalFormatting>
  <conditionalFormatting sqref="D262:D263">
    <cfRule type="expression" dxfId="5" priority="8">
      <formula>#REF!="No"</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H316"/>
  <sheetViews>
    <sheetView topLeftCell="A27" workbookViewId="0">
      <selection activeCell="I49" sqref="I49"/>
    </sheetView>
  </sheetViews>
  <sheetFormatPr baseColWidth="10" defaultColWidth="8.5" defaultRowHeight="16" x14ac:dyDescent="0.2"/>
  <cols>
    <col min="1" max="1" width="14" customWidth="1"/>
    <col min="2" max="2" width="8.625" customWidth="1"/>
    <col min="3" max="3" width="36.125" customWidth="1"/>
    <col min="4" max="4" width="14.25" customWidth="1"/>
    <col min="5" max="5" width="11.5" customWidth="1"/>
    <col min="7" max="7" width="13.5" customWidth="1"/>
    <col min="8" max="8" width="24.25" customWidth="1"/>
  </cols>
  <sheetData>
    <row r="1" spans="1:8" s="18" customFormat="1" ht="36" customHeight="1" x14ac:dyDescent="0.2">
      <c r="A1" s="294" t="s">
        <v>2990</v>
      </c>
      <c r="B1" s="294"/>
      <c r="C1" s="294"/>
      <c r="D1" s="294"/>
      <c r="E1" s="294"/>
      <c r="F1" s="294"/>
      <c r="G1" s="295"/>
      <c r="H1" s="142" t="str">
        <f>'HECVAT - Full'!E1</f>
        <v>Version 2.11</v>
      </c>
    </row>
    <row r="2" spans="1:8" s="18" customFormat="1" ht="26" customHeight="1" x14ac:dyDescent="0.2">
      <c r="A2" s="296"/>
      <c r="B2" s="296"/>
      <c r="C2" s="296"/>
      <c r="D2" s="296"/>
      <c r="E2" s="296"/>
      <c r="F2" s="296"/>
      <c r="G2" s="296"/>
      <c r="H2" s="296"/>
    </row>
    <row r="3" spans="1:8" s="107" customFormat="1" ht="36" customHeight="1" x14ac:dyDescent="0.2">
      <c r="A3" s="22" t="s">
        <v>2617</v>
      </c>
      <c r="B3" s="234" t="str">
        <f>'HECVAT - Full'!C7</f>
        <v xml:space="preserve">Instructure
</v>
      </c>
      <c r="C3" s="234"/>
      <c r="D3" s="22" t="s">
        <v>2619</v>
      </c>
      <c r="E3" s="234" t="str">
        <f>'HECVAT - Full'!C8</f>
        <v xml:space="preserve">Portfolium
</v>
      </c>
      <c r="F3" s="234"/>
      <c r="G3" s="234"/>
      <c r="H3" s="234"/>
    </row>
    <row r="4" spans="1:8" s="18" customFormat="1" ht="48" customHeight="1" x14ac:dyDescent="0.2">
      <c r="A4" s="124" t="s">
        <v>2618</v>
      </c>
      <c r="B4" s="297" t="str">
        <f>'HECVAT - Full'!C9</f>
        <v xml:space="preserve">Portfolium simplifies the assessment of student learning, proves institutional value by showcasing evidence of learning, and keeps students engaged along pathways that ultimately prepare them for their career.
</v>
      </c>
      <c r="C4" s="297"/>
      <c r="D4" s="297"/>
      <c r="E4" s="297"/>
      <c r="F4" s="297"/>
      <c r="G4" s="297"/>
      <c r="H4" s="297"/>
    </row>
    <row r="5" spans="1:8" s="18" customFormat="1" ht="36" customHeight="1" x14ac:dyDescent="0.2">
      <c r="A5" s="174"/>
      <c r="B5" s="175"/>
      <c r="C5" s="175"/>
      <c r="D5" s="284" t="s">
        <v>2062</v>
      </c>
      <c r="E5" s="285"/>
      <c r="F5" s="175"/>
      <c r="G5" s="175"/>
      <c r="H5" s="176"/>
    </row>
    <row r="6" spans="1:8" ht="36" customHeight="1" x14ac:dyDescent="0.2">
      <c r="A6" s="177"/>
      <c r="B6" s="98"/>
      <c r="C6" s="98"/>
      <c r="D6" s="109">
        <f>Questions!W23</f>
        <v>0.63768369741528852</v>
      </c>
      <c r="E6" s="128" t="str">
        <f>Questions!X23</f>
        <v>D</v>
      </c>
      <c r="F6" s="98"/>
      <c r="G6" s="98"/>
      <c r="H6" s="178"/>
    </row>
    <row r="7" spans="1:8" x14ac:dyDescent="0.2">
      <c r="A7" s="179"/>
      <c r="B7" s="180"/>
      <c r="C7" s="180"/>
      <c r="D7" s="180"/>
      <c r="E7" s="180"/>
      <c r="F7" s="180"/>
      <c r="G7" s="180"/>
      <c r="H7" s="181"/>
    </row>
    <row r="8" spans="1:8" x14ac:dyDescent="0.2">
      <c r="A8" s="179"/>
      <c r="B8" s="180"/>
      <c r="C8" s="180"/>
      <c r="D8" s="180"/>
      <c r="E8" s="180"/>
      <c r="F8" s="180"/>
      <c r="G8" s="180"/>
      <c r="H8" s="181"/>
    </row>
    <row r="9" spans="1:8" x14ac:dyDescent="0.2">
      <c r="A9" s="179"/>
      <c r="B9" s="180"/>
      <c r="C9" s="180"/>
      <c r="D9" s="180"/>
      <c r="E9" s="180"/>
      <c r="F9" s="180"/>
      <c r="G9" s="180"/>
      <c r="H9" s="181"/>
    </row>
    <row r="10" spans="1:8" x14ac:dyDescent="0.2">
      <c r="A10" s="179"/>
      <c r="B10" s="180"/>
      <c r="C10" s="180"/>
      <c r="D10" s="180"/>
      <c r="E10" s="180"/>
      <c r="F10" s="180"/>
      <c r="G10" s="180"/>
      <c r="H10" s="181"/>
    </row>
    <row r="11" spans="1:8" x14ac:dyDescent="0.2">
      <c r="A11" s="179"/>
      <c r="B11" s="180"/>
      <c r="C11" s="180"/>
      <c r="D11" s="180"/>
      <c r="E11" s="180"/>
      <c r="F11" s="180"/>
      <c r="G11" s="180"/>
      <c r="H11" s="181"/>
    </row>
    <row r="12" spans="1:8" x14ac:dyDescent="0.2">
      <c r="A12" s="179"/>
      <c r="B12" s="180"/>
      <c r="C12" s="180"/>
      <c r="D12" s="180"/>
      <c r="E12" s="180"/>
      <c r="F12" s="180"/>
      <c r="G12" s="180"/>
      <c r="H12" s="181"/>
    </row>
    <row r="13" spans="1:8" x14ac:dyDescent="0.2">
      <c r="A13" s="179"/>
      <c r="B13" s="180"/>
      <c r="C13" s="180"/>
      <c r="D13" s="180"/>
      <c r="E13" s="180"/>
      <c r="F13" s="180"/>
      <c r="G13" s="180"/>
      <c r="H13" s="181"/>
    </row>
    <row r="14" spans="1:8" x14ac:dyDescent="0.2">
      <c r="A14" s="179"/>
      <c r="B14" s="180"/>
      <c r="C14" s="180"/>
      <c r="D14" s="180"/>
      <c r="E14" s="180"/>
      <c r="F14" s="180"/>
      <c r="G14" s="180"/>
      <c r="H14" s="181"/>
    </row>
    <row r="15" spans="1:8" x14ac:dyDescent="0.2">
      <c r="A15" s="179"/>
      <c r="B15" s="180"/>
      <c r="C15" s="180"/>
      <c r="D15" s="180"/>
      <c r="E15" s="180"/>
      <c r="F15" s="180"/>
      <c r="G15" s="180"/>
      <c r="H15" s="181"/>
    </row>
    <row r="16" spans="1:8" x14ac:dyDescent="0.2">
      <c r="A16" s="179"/>
      <c r="B16" s="180"/>
      <c r="C16" s="180"/>
      <c r="D16" s="180"/>
      <c r="E16" s="180"/>
      <c r="F16" s="180"/>
      <c r="G16" s="180"/>
      <c r="H16" s="181"/>
    </row>
    <row r="17" spans="1:8" x14ac:dyDescent="0.2">
      <c r="A17" s="179"/>
      <c r="B17" s="180"/>
      <c r="C17" s="180"/>
      <c r="D17" s="180"/>
      <c r="E17" s="180"/>
      <c r="F17" s="180"/>
      <c r="G17" s="180"/>
      <c r="H17" s="181"/>
    </row>
    <row r="18" spans="1:8" x14ac:dyDescent="0.2">
      <c r="A18" s="179"/>
      <c r="B18" s="180"/>
      <c r="C18" s="180"/>
      <c r="D18" s="180"/>
      <c r="E18" s="180"/>
      <c r="F18" s="180"/>
      <c r="G18" s="180"/>
      <c r="H18" s="181"/>
    </row>
    <row r="19" spans="1:8" x14ac:dyDescent="0.2">
      <c r="A19" s="179"/>
      <c r="B19" s="180"/>
      <c r="C19" s="180"/>
      <c r="D19" s="180"/>
      <c r="E19" s="180"/>
      <c r="F19" s="180"/>
      <c r="G19" s="180"/>
      <c r="H19" s="181"/>
    </row>
    <row r="20" spans="1:8" x14ac:dyDescent="0.2">
      <c r="A20" s="179"/>
      <c r="B20" s="180"/>
      <c r="C20" s="180"/>
      <c r="D20" s="180"/>
      <c r="E20" s="180"/>
      <c r="F20" s="180"/>
      <c r="G20" s="180"/>
      <c r="H20" s="181"/>
    </row>
    <row r="21" spans="1:8" x14ac:dyDescent="0.2">
      <c r="A21" s="179"/>
      <c r="B21" s="180"/>
      <c r="C21" s="180"/>
      <c r="D21" s="180"/>
      <c r="E21" s="180"/>
      <c r="F21" s="180"/>
      <c r="G21" s="180"/>
      <c r="H21" s="181"/>
    </row>
    <row r="22" spans="1:8" x14ac:dyDescent="0.2">
      <c r="A22" s="179"/>
      <c r="B22" s="180"/>
      <c r="C22" s="180"/>
      <c r="D22" s="180"/>
      <c r="E22" s="180"/>
      <c r="F22" s="180"/>
      <c r="G22" s="180"/>
      <c r="H22" s="181"/>
    </row>
    <row r="23" spans="1:8" x14ac:dyDescent="0.2">
      <c r="A23" s="179"/>
      <c r="B23" s="180"/>
      <c r="C23" s="180"/>
      <c r="D23" s="180"/>
      <c r="E23" s="180"/>
      <c r="F23" s="180"/>
      <c r="G23" s="180"/>
      <c r="H23" s="181"/>
    </row>
    <row r="24" spans="1:8" x14ac:dyDescent="0.2">
      <c r="A24" s="179"/>
      <c r="B24" s="180"/>
      <c r="C24" s="180"/>
      <c r="D24" s="180"/>
      <c r="E24" s="180"/>
      <c r="F24" s="180"/>
      <c r="G24" s="180"/>
      <c r="H24" s="181"/>
    </row>
    <row r="25" spans="1:8" x14ac:dyDescent="0.2">
      <c r="A25" s="179"/>
      <c r="B25" s="180"/>
      <c r="C25" s="180"/>
      <c r="D25" s="180"/>
      <c r="E25" s="180"/>
      <c r="F25" s="180"/>
      <c r="G25" s="180"/>
      <c r="H25" s="181"/>
    </row>
    <row r="26" spans="1:8" x14ac:dyDescent="0.2">
      <c r="A26" s="179"/>
      <c r="B26" s="180"/>
      <c r="C26" s="180"/>
      <c r="D26" s="180"/>
      <c r="E26" s="180"/>
      <c r="F26" s="180"/>
      <c r="G26" s="180"/>
      <c r="H26" s="181"/>
    </row>
    <row r="27" spans="1:8" x14ac:dyDescent="0.2">
      <c r="A27" s="179"/>
      <c r="B27" s="180"/>
      <c r="C27" s="180"/>
      <c r="D27" s="180"/>
      <c r="E27" s="180"/>
      <c r="F27" s="180"/>
      <c r="G27" s="180"/>
      <c r="H27" s="181"/>
    </row>
    <row r="28" spans="1:8" x14ac:dyDescent="0.2">
      <c r="A28" s="179"/>
      <c r="B28" s="180"/>
      <c r="C28" s="180"/>
      <c r="D28" s="180"/>
      <c r="E28" s="180"/>
      <c r="F28" s="180"/>
      <c r="G28" s="180"/>
      <c r="H28" s="181"/>
    </row>
    <row r="29" spans="1:8" x14ac:dyDescent="0.2">
      <c r="A29" s="179"/>
      <c r="B29" s="180"/>
      <c r="C29" s="180"/>
      <c r="D29" s="180"/>
      <c r="E29" s="180"/>
      <c r="F29" s="180"/>
      <c r="G29" s="180"/>
      <c r="H29" s="181"/>
    </row>
    <row r="30" spans="1:8" x14ac:dyDescent="0.2">
      <c r="A30" s="179"/>
      <c r="B30" s="180"/>
      <c r="C30" s="180"/>
      <c r="D30" s="180"/>
      <c r="E30" s="180"/>
      <c r="F30" s="180"/>
      <c r="G30" s="180"/>
      <c r="H30" s="181"/>
    </row>
    <row r="31" spans="1:8" x14ac:dyDescent="0.2">
      <c r="A31" s="179"/>
      <c r="B31" s="180"/>
      <c r="C31" s="180"/>
      <c r="D31" s="180"/>
      <c r="E31" s="180"/>
      <c r="F31" s="180"/>
      <c r="G31" s="180"/>
      <c r="H31" s="181"/>
    </row>
    <row r="32" spans="1:8" x14ac:dyDescent="0.2">
      <c r="A32" s="179"/>
      <c r="B32" s="180"/>
      <c r="C32" s="180"/>
      <c r="D32" s="180"/>
      <c r="E32" s="180"/>
      <c r="F32" s="180"/>
      <c r="G32" s="180"/>
      <c r="H32" s="181"/>
    </row>
    <row r="33" spans="1:8" x14ac:dyDescent="0.2">
      <c r="A33" s="179"/>
      <c r="B33" s="180"/>
      <c r="C33" s="180"/>
      <c r="D33" s="180"/>
      <c r="E33" s="180"/>
      <c r="F33" s="180"/>
      <c r="G33" s="180"/>
      <c r="H33" s="181"/>
    </row>
    <row r="34" spans="1:8" x14ac:dyDescent="0.2">
      <c r="A34" s="179"/>
      <c r="B34" s="180"/>
      <c r="C34" s="180"/>
      <c r="D34" s="180"/>
      <c r="E34" s="180"/>
      <c r="F34" s="180"/>
      <c r="G34" s="180"/>
      <c r="H34" s="181"/>
    </row>
    <row r="35" spans="1:8" x14ac:dyDescent="0.2">
      <c r="A35" s="179"/>
      <c r="B35" s="180"/>
      <c r="C35" s="180"/>
      <c r="D35" s="180"/>
      <c r="E35" s="180"/>
      <c r="F35" s="180"/>
      <c r="G35" s="180"/>
      <c r="H35" s="181"/>
    </row>
    <row r="36" spans="1:8" x14ac:dyDescent="0.2">
      <c r="A36" s="179"/>
      <c r="B36" s="180"/>
      <c r="C36" s="180"/>
      <c r="D36" s="180"/>
      <c r="E36" s="180"/>
      <c r="F36" s="180"/>
      <c r="G36" s="180"/>
      <c r="H36" s="181"/>
    </row>
    <row r="37" spans="1:8" x14ac:dyDescent="0.2">
      <c r="A37" s="179"/>
      <c r="B37" s="180"/>
      <c r="C37" s="180"/>
      <c r="D37" s="180"/>
      <c r="E37" s="180"/>
      <c r="F37" s="180"/>
      <c r="G37" s="180"/>
      <c r="H37" s="181"/>
    </row>
    <row r="38" spans="1:8" x14ac:dyDescent="0.2">
      <c r="A38" s="179"/>
      <c r="B38" s="180"/>
      <c r="C38" s="180"/>
      <c r="D38" s="180"/>
      <c r="E38" s="180"/>
      <c r="F38" s="180"/>
      <c r="G38" s="180"/>
      <c r="H38" s="181"/>
    </row>
    <row r="39" spans="1:8" x14ac:dyDescent="0.2">
      <c r="A39" s="179"/>
      <c r="B39" s="180"/>
      <c r="C39" s="180"/>
      <c r="D39" s="180"/>
      <c r="E39" s="180"/>
      <c r="F39" s="180"/>
      <c r="G39" s="180"/>
      <c r="H39" s="181"/>
    </row>
    <row r="40" spans="1:8" x14ac:dyDescent="0.2">
      <c r="A40" s="179"/>
      <c r="B40" s="180"/>
      <c r="C40" s="180"/>
      <c r="D40" s="180"/>
      <c r="E40" s="180"/>
      <c r="F40" s="180"/>
      <c r="G40" s="180"/>
      <c r="H40" s="181"/>
    </row>
    <row r="41" spans="1:8" x14ac:dyDescent="0.2">
      <c r="A41" s="179"/>
      <c r="B41" s="180"/>
      <c r="C41" s="180"/>
      <c r="D41" s="180"/>
      <c r="E41" s="180"/>
      <c r="F41" s="180"/>
      <c r="G41" s="180"/>
      <c r="H41" s="181"/>
    </row>
    <row r="42" spans="1:8" x14ac:dyDescent="0.2">
      <c r="A42" s="179"/>
      <c r="B42" s="180"/>
      <c r="C42" s="180"/>
      <c r="D42" s="180"/>
      <c r="E42" s="180"/>
      <c r="F42" s="180"/>
      <c r="G42" s="180"/>
      <c r="H42" s="181"/>
    </row>
    <row r="43" spans="1:8" x14ac:dyDescent="0.2">
      <c r="A43" s="179"/>
      <c r="B43" s="180"/>
      <c r="C43" s="180"/>
      <c r="D43" s="180"/>
      <c r="E43" s="180"/>
      <c r="F43" s="180"/>
      <c r="G43" s="180"/>
      <c r="H43" s="181"/>
    </row>
    <row r="44" spans="1:8" x14ac:dyDescent="0.2">
      <c r="A44" s="179"/>
      <c r="B44" s="180"/>
      <c r="C44" s="180"/>
      <c r="D44" s="180"/>
      <c r="E44" s="180"/>
      <c r="F44" s="180"/>
      <c r="G44" s="180"/>
      <c r="H44" s="181"/>
    </row>
    <row r="45" spans="1:8" x14ac:dyDescent="0.2">
      <c r="A45" s="182"/>
      <c r="B45" s="183"/>
      <c r="C45" s="183"/>
      <c r="D45" s="183"/>
      <c r="E45" s="183"/>
      <c r="F45" s="183"/>
      <c r="G45" s="183"/>
      <c r="H45" s="184"/>
    </row>
    <row r="46" spans="1:8" ht="48" customHeight="1" x14ac:dyDescent="0.2">
      <c r="A46" s="286" t="s">
        <v>2088</v>
      </c>
      <c r="B46" s="287"/>
      <c r="C46" s="287"/>
      <c r="D46" s="287"/>
      <c r="E46" s="287"/>
      <c r="F46" s="287"/>
      <c r="G46" s="287"/>
      <c r="H46" s="288"/>
    </row>
    <row r="47" spans="1:8" s="18" customFormat="1" ht="36" customHeight="1" x14ac:dyDescent="0.2">
      <c r="A47" s="289"/>
      <c r="B47" s="290"/>
      <c r="C47" s="290"/>
      <c r="D47" s="290"/>
      <c r="E47" s="290"/>
      <c r="F47" s="291"/>
      <c r="G47" s="292" t="s">
        <v>2620</v>
      </c>
      <c r="H47" s="293"/>
    </row>
    <row r="48" spans="1:8" s="108" customFormat="1" ht="60" customHeight="1" x14ac:dyDescent="0.2">
      <c r="A48" s="111" t="str">
        <f>'High Risk Non-Compliant'!B4</f>
        <v>ID</v>
      </c>
      <c r="B48" s="299" t="str">
        <f>'High Risk Non-Compliant'!C4</f>
        <v>Question</v>
      </c>
      <c r="C48" s="299"/>
      <c r="D48" s="300" t="str">
        <f>'High Risk Non-Compliant'!D4</f>
        <v>Additional Info</v>
      </c>
      <c r="E48" s="300"/>
      <c r="F48" s="300"/>
      <c r="G48" s="137">
        <f>'Analyst Report'!B10</f>
        <v>0</v>
      </c>
      <c r="H48" s="136" t="e">
        <f>VLOOKUP('Analyst Report'!B10,'Standards Crosswalk'!A315:B321,2)</f>
        <v>#N/A</v>
      </c>
    </row>
    <row r="49" spans="1:8" ht="144" customHeight="1" x14ac:dyDescent="0.2">
      <c r="A49" s="113" t="str">
        <f>'High Risk Non-Compliant'!B5</f>
        <v>DOCU-04</v>
      </c>
      <c r="B49" s="302" t="str">
        <f>'High Risk Non-Compliant'!C5</f>
        <v>Do you conform with a specific industry standard security framework? (e.g. NIST Cybersecurity Framework, ISO 27001, etc.)</v>
      </c>
      <c r="C49" s="302"/>
      <c r="D49" s="301">
        <f>'High Risk Non-Compliant'!D5</f>
        <v>0</v>
      </c>
      <c r="E49" s="301"/>
      <c r="F49" s="301"/>
      <c r="G49" s="112" t="e">
        <f>IF(VLOOKUP(A49,'High Risk Non-Compliant'!B:K,$H$48,FALSE)=0,"N/A",VLOOKUP(A49,'High Risk Non-Compliant'!B:K,$H$48,FALSE))</f>
        <v>#REF!</v>
      </c>
      <c r="H49" s="112" t="e">
        <f>IF(G49="N/A","N/A",VLOOKUP(G49,'Crosswalk Detail'!A:B,2,FALSE))</f>
        <v>#REF!</v>
      </c>
    </row>
    <row r="50" spans="1:8" ht="144" customHeight="1" x14ac:dyDescent="0.2">
      <c r="A50" s="113" t="str">
        <f>'High Risk Non-Compliant'!B6</f>
        <v>DOCU-06</v>
      </c>
      <c r="B50" s="302" t="str">
        <f>'High Risk Non-Compliant'!C6</f>
        <v>Does your organization have a data privacy policy?</v>
      </c>
      <c r="C50" s="302"/>
      <c r="D50" s="301">
        <f>'High Risk Non-Compliant'!D6</f>
        <v>0</v>
      </c>
      <c r="E50" s="301"/>
      <c r="F50" s="301"/>
      <c r="G50" s="112" t="e">
        <f>IF(VLOOKUP(A50,'High Risk Non-Compliant'!B:K,$H$48,FALSE)=0,"N/A",VLOOKUP(A50,'High Risk Non-Compliant'!B:K,$H$48,FALSE))</f>
        <v>#REF!</v>
      </c>
      <c r="H50" s="112" t="e">
        <f>IF(G50="N/A","N/A",VLOOKUP(G50,'Crosswalk Detail'!A:B,2,FALSE))</f>
        <v>#REF!</v>
      </c>
    </row>
    <row r="51" spans="1:8" ht="144" customHeight="1" x14ac:dyDescent="0.2">
      <c r="A51" s="113" t="str">
        <f>'High Risk Non-Compliant'!B7</f>
        <v>THRD-01</v>
      </c>
      <c r="B51" s="302" t="str">
        <f>'High Risk Non-Compliant'!C7</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C51" s="302"/>
      <c r="D51" s="301">
        <f>'High Risk Non-Compliant'!D7</f>
        <v>0</v>
      </c>
      <c r="E51" s="301"/>
      <c r="F51" s="301"/>
      <c r="G51" s="112" t="e">
        <f>IF(VLOOKUP(A51,'High Risk Non-Compliant'!B:K,$H$48,FALSE)=0,"N/A",VLOOKUP(A51,'High Risk Non-Compliant'!B:K,$H$48,FALSE))</f>
        <v>#REF!</v>
      </c>
      <c r="H51" s="112" t="e">
        <f>IF(G51="N/A","N/A",VLOOKUP(G51,'Crosswalk Detail'!A:B,2,FALSE))</f>
        <v>#REF!</v>
      </c>
    </row>
    <row r="52" spans="1:8" ht="144" customHeight="1" x14ac:dyDescent="0.2">
      <c r="A52" s="113" t="str">
        <f>'High Risk Non-Compliant'!B8</f>
        <v>THRD-02</v>
      </c>
      <c r="B52" s="302" t="str">
        <f>'High Risk Non-Compliant'!C8</f>
        <v>Provide a brief description for why each of these third parties will have access to institution data.</v>
      </c>
      <c r="C52" s="302"/>
      <c r="D52" s="301">
        <f>'High Risk Non-Compliant'!D8</f>
        <v>0</v>
      </c>
      <c r="E52" s="301"/>
      <c r="F52" s="301"/>
      <c r="G52" s="112" t="e">
        <f>IF(VLOOKUP(A52,'High Risk Non-Compliant'!B:K,$H$48,FALSE)=0,"N/A",VLOOKUP(A52,'High Risk Non-Compliant'!B:K,$H$48,FALSE))</f>
        <v>#REF!</v>
      </c>
      <c r="H52" s="112" t="e">
        <f>IF(G52="N/A","N/A",VLOOKUP(G52,'Crosswalk Detail'!A:B,2,FALSE))</f>
        <v>#REF!</v>
      </c>
    </row>
    <row r="53" spans="1:8" ht="144" customHeight="1" x14ac:dyDescent="0.2">
      <c r="A53" s="113" t="str">
        <f>'High Risk Non-Compliant'!B9</f>
        <v>THRD-03</v>
      </c>
      <c r="B53" s="302" t="str">
        <f>'High Risk Non-Compliant'!C9</f>
        <v>What legal agreements (i.e. contracts) do you have in place with these third parties that address liability in the event of a data breach?</v>
      </c>
      <c r="C53" s="302"/>
      <c r="D53" s="301">
        <f>'High Risk Non-Compliant'!D9</f>
        <v>0</v>
      </c>
      <c r="E53" s="301"/>
      <c r="F53" s="301"/>
      <c r="G53" s="112" t="e">
        <f>IF(VLOOKUP(A53,'High Risk Non-Compliant'!B:K,$H$48,FALSE)=0,"N/A",VLOOKUP(A53,'High Risk Non-Compliant'!B:K,$H$48,FALSE))</f>
        <v>#REF!</v>
      </c>
      <c r="H53" s="112" t="e">
        <f>IF(G53="N/A","N/A",VLOOKUP(G53,'Crosswalk Detail'!A:B,2,FALSE))</f>
        <v>#REF!</v>
      </c>
    </row>
    <row r="54" spans="1:8" ht="144" customHeight="1" x14ac:dyDescent="0.2">
      <c r="A54" s="113" t="str">
        <f>'High Risk Non-Compliant'!B10</f>
        <v>THRD-04</v>
      </c>
      <c r="B54" s="303" t="str">
        <f>'High Risk Non-Compliant'!C10</f>
        <v>Describe or provide references to your third party management strategy or provide additional information that may help analysts better understand your environment and how it relates to third-party solutions.</v>
      </c>
      <c r="C54" s="303"/>
      <c r="D54" s="301">
        <f>'High Risk Non-Compliant'!D10</f>
        <v>0</v>
      </c>
      <c r="E54" s="301"/>
      <c r="F54" s="301"/>
      <c r="G54" s="112" t="e">
        <f>IF(VLOOKUP(A54,'High Risk Non-Compliant'!B:K,$H$48,FALSE)=0,"N/A",VLOOKUP(A54,'High Risk Non-Compliant'!B:K,$H$48,FALSE))</f>
        <v>#REF!</v>
      </c>
      <c r="H54" s="112" t="e">
        <f>IF(G54="N/A","N/A",VLOOKUP(G54,'Crosswalk Detail'!A:B,2,FALSE))</f>
        <v>#REF!</v>
      </c>
    </row>
    <row r="55" spans="1:8" ht="144" customHeight="1" x14ac:dyDescent="0.2">
      <c r="A55" s="113" t="str">
        <f>'High Risk Non-Compliant'!B11</f>
        <v>CONS-03</v>
      </c>
      <c r="B55" s="302" t="str">
        <f>'High Risk Non-Compliant'!C11</f>
        <v>Will the consultant require access to hardware in the Institution's data centers?</v>
      </c>
      <c r="C55" s="302"/>
      <c r="D55" s="301">
        <f>'High Risk Non-Compliant'!D11</f>
        <v>0</v>
      </c>
      <c r="E55" s="301"/>
      <c r="F55" s="301"/>
      <c r="G55" s="112" t="e">
        <f>IF(VLOOKUP(A55,'High Risk Non-Compliant'!B:K,$H$48,FALSE)=0,"N/A",VLOOKUP(A55,'High Risk Non-Compliant'!B:K,$H$48,FALSE))</f>
        <v>#REF!</v>
      </c>
      <c r="H55" s="112" t="e">
        <f>IF(G55="N/A","N/A",VLOOKUP(G55,'Crosswalk Detail'!A:B,2,FALSE))</f>
        <v>#REF!</v>
      </c>
    </row>
    <row r="56" spans="1:8" ht="144" customHeight="1" x14ac:dyDescent="0.2">
      <c r="A56" s="113" t="str">
        <f>'High Risk Non-Compliant'!B12</f>
        <v>CONS-06</v>
      </c>
      <c r="B56" s="302" t="str">
        <f>'High Risk Non-Compliant'!C12</f>
        <v>Will any data be transferred to the consultant's possession?</v>
      </c>
      <c r="C56" s="302"/>
      <c r="D56" s="301">
        <f>'High Risk Non-Compliant'!D12</f>
        <v>0</v>
      </c>
      <c r="E56" s="301"/>
      <c r="F56" s="301"/>
      <c r="G56" s="112" t="e">
        <f>IF(VLOOKUP(A56,'High Risk Non-Compliant'!B:K,$H$48,FALSE)=0,"N/A",VLOOKUP(A56,'High Risk Non-Compliant'!B:K,$H$48,FALSE))</f>
        <v>#REF!</v>
      </c>
      <c r="H56" s="112" t="e">
        <f>IF(G56="N/A","N/A",VLOOKUP(G56,'Crosswalk Detail'!A:B,2,FALSE))</f>
        <v>#REF!</v>
      </c>
    </row>
    <row r="57" spans="1:8" ht="144" customHeight="1" x14ac:dyDescent="0.2">
      <c r="A57" s="113" t="str">
        <f>'High Risk Non-Compliant'!B13</f>
        <v>CONS-08</v>
      </c>
      <c r="B57" s="302" t="str">
        <f>'High Risk Non-Compliant'!C13</f>
        <v>Will the consultant need remote access to the Institution's network or systems?</v>
      </c>
      <c r="C57" s="302"/>
      <c r="D57" s="301">
        <f>'High Risk Non-Compliant'!D13</f>
        <v>0</v>
      </c>
      <c r="E57" s="301"/>
      <c r="F57" s="301"/>
      <c r="G57" s="112" t="e">
        <f>IF(VLOOKUP(A57,'High Risk Non-Compliant'!B:K,$H$48,FALSE)=0,"N/A",VLOOKUP(A57,'High Risk Non-Compliant'!B:K,$H$48,FALSE))</f>
        <v>#REF!</v>
      </c>
      <c r="H57" s="112" t="e">
        <f>IF(G57="N/A","N/A",VLOOKUP(G57,'Crosswalk Detail'!A:B,2,FALSE))</f>
        <v>#REF!</v>
      </c>
    </row>
    <row r="58" spans="1:8" ht="144" customHeight="1" x14ac:dyDescent="0.2">
      <c r="A58" s="113" t="str">
        <f>'High Risk Non-Compliant'!B14</f>
        <v>APPL-01</v>
      </c>
      <c r="B58" s="302" t="str">
        <f>'High Risk Non-Compliant'!C14</f>
        <v>Do you support role-based access control (RBAC) for end-users?</v>
      </c>
      <c r="C58" s="302"/>
      <c r="D58" s="301">
        <f>'High Risk Non-Compliant'!D14</f>
        <v>0</v>
      </c>
      <c r="E58" s="301"/>
      <c r="F58" s="301"/>
      <c r="G58" s="112" t="e">
        <f>IF(VLOOKUP(A58,'High Risk Non-Compliant'!B:K,$H$48,FALSE)=0,"N/A",VLOOKUP(A58,'High Risk Non-Compliant'!B:K,$H$48,FALSE))</f>
        <v>#REF!</v>
      </c>
      <c r="H58" s="112" t="e">
        <f>IF(G58="N/A","N/A",VLOOKUP(G58,'Crosswalk Detail'!A:B,2,FALSE))</f>
        <v>#REF!</v>
      </c>
    </row>
    <row r="59" spans="1:8" ht="144" customHeight="1" x14ac:dyDescent="0.2">
      <c r="A59" s="113" t="str">
        <f>'High Risk Non-Compliant'!B15</f>
        <v>APPL-02</v>
      </c>
      <c r="B59" s="302" t="str">
        <f>'High Risk Non-Compliant'!C15</f>
        <v>Do you support role-based access control (RBAC) for system administrators?</v>
      </c>
      <c r="C59" s="302"/>
      <c r="D59" s="301">
        <f>'High Risk Non-Compliant'!D15</f>
        <v>0</v>
      </c>
      <c r="E59" s="301"/>
      <c r="F59" s="301"/>
      <c r="G59" s="112" t="e">
        <f>IF(VLOOKUP(A59,'High Risk Non-Compliant'!B:K,$H$48,FALSE)=0,"N/A",VLOOKUP(A59,'High Risk Non-Compliant'!B:K,$H$48,FALSE))</f>
        <v>#REF!</v>
      </c>
      <c r="H59" s="112" t="e">
        <f>IF(G59="N/A","N/A",VLOOKUP(G59,'Crosswalk Detail'!A:B,2,FALSE))</f>
        <v>#REF!</v>
      </c>
    </row>
    <row r="60" spans="1:8" ht="144" customHeight="1" x14ac:dyDescent="0.2">
      <c r="A60" s="113" t="str">
        <f>'High Risk Non-Compliant'!B16</f>
        <v>APPL-06</v>
      </c>
      <c r="B60" s="302" t="str">
        <f>'High Risk Non-Compliant'!C16</f>
        <v xml:space="preserve">Do you employ a single-tenant environment? </v>
      </c>
      <c r="C60" s="302"/>
      <c r="D60" s="301">
        <f>'High Risk Non-Compliant'!D16</f>
        <v>0</v>
      </c>
      <c r="E60" s="301"/>
      <c r="F60" s="301"/>
      <c r="G60" s="112" t="e">
        <f>IF(VLOOKUP(A60,'High Risk Non-Compliant'!B:K,$H$48,FALSE)=0,"N/A",VLOOKUP(A60,'High Risk Non-Compliant'!B:K,$H$48,FALSE))</f>
        <v>#REF!</v>
      </c>
      <c r="H60" s="112" t="e">
        <f>IF(G60="N/A","N/A",VLOOKUP(G60,'Crosswalk Detail'!A:B,2,FALSE))</f>
        <v>#REF!</v>
      </c>
    </row>
    <row r="61" spans="1:8" ht="144" customHeight="1" x14ac:dyDescent="0.2">
      <c r="A61" s="113" t="str">
        <f>'High Risk Non-Compliant'!B17</f>
        <v>APPL-08</v>
      </c>
      <c r="B61" s="302" t="str">
        <f>'High Risk Non-Compliant'!C17</f>
        <v>Have you or any third party you contract with that may have access or allow access to the institution's data experienced a breach?</v>
      </c>
      <c r="C61" s="302"/>
      <c r="D61" s="301">
        <f>'High Risk Non-Compliant'!D17</f>
        <v>0</v>
      </c>
      <c r="E61" s="301"/>
      <c r="F61" s="301"/>
      <c r="G61" s="112" t="e">
        <f>IF(VLOOKUP(A61,'High Risk Non-Compliant'!B:K,$H$48,FALSE)=0,"N/A",VLOOKUP(A61,'High Risk Non-Compliant'!B:K,$H$48,FALSE))</f>
        <v>#REF!</v>
      </c>
      <c r="H61" s="112" t="e">
        <f>IF(G61="N/A","N/A",VLOOKUP(G61,'Crosswalk Detail'!A:B,2,FALSE))</f>
        <v>#REF!</v>
      </c>
    </row>
    <row r="62" spans="1:8" ht="144" customHeight="1" x14ac:dyDescent="0.2">
      <c r="A62" s="113" t="str">
        <f>'High Risk Non-Compliant'!B18</f>
        <v>APPL-10</v>
      </c>
      <c r="B62" s="302" t="str">
        <f>'High Risk Non-Compliant'!C18</f>
        <v xml:space="preserve">Describe or provide a reference to the overall system and/or application architecture(s), including appropriate diagrams. Include a full description of the data communications architecture for all components of the system. </v>
      </c>
      <c r="C62" s="302"/>
      <c r="D62" s="301">
        <f>'High Risk Non-Compliant'!D18</f>
        <v>0</v>
      </c>
      <c r="E62" s="301"/>
      <c r="F62" s="301"/>
      <c r="G62" s="112" t="e">
        <f>IF(VLOOKUP(A62,'High Risk Non-Compliant'!B:K,$H$48,FALSE)=0,"N/A",VLOOKUP(A62,'High Risk Non-Compliant'!B:K,$H$48,FALSE))</f>
        <v>#REF!</v>
      </c>
      <c r="H62" s="112" t="e">
        <f>IF(G62="N/A","N/A",VLOOKUP(G62,'Crosswalk Detail'!A:B,2,FALSE))</f>
        <v>#REF!</v>
      </c>
    </row>
    <row r="63" spans="1:8" ht="144" customHeight="1" x14ac:dyDescent="0.2">
      <c r="A63" s="113" t="str">
        <f>'High Risk Non-Compliant'!B19</f>
        <v>APPL-11</v>
      </c>
      <c r="B63" s="302" t="str">
        <f>'High Risk Non-Compliant'!C19</f>
        <v>Are databases used in the system segregated from front-end systems? (e.g. web and application servers)</v>
      </c>
      <c r="C63" s="302"/>
      <c r="D63" s="301">
        <f>'High Risk Non-Compliant'!D19</f>
        <v>0</v>
      </c>
      <c r="E63" s="301"/>
      <c r="F63" s="301"/>
      <c r="G63" s="112" t="e">
        <f>IF(VLOOKUP(A63,'High Risk Non-Compliant'!B:K,$H$48,FALSE)=0,"N/A",VLOOKUP(A63,'High Risk Non-Compliant'!B:K,$H$48,FALSE))</f>
        <v>#REF!</v>
      </c>
      <c r="H63" s="112" t="e">
        <f>IF(G63="N/A","N/A",VLOOKUP(G63,'Crosswalk Detail'!A:B,2,FALSE))</f>
        <v>#REF!</v>
      </c>
    </row>
    <row r="64" spans="1:8" ht="144" customHeight="1" x14ac:dyDescent="0.2">
      <c r="A64" s="113" t="str">
        <f>'High Risk Non-Compliant'!B20</f>
        <v>APPL-14</v>
      </c>
      <c r="B64" s="302" t="str">
        <f>'High Risk Non-Compliant'!C20</f>
        <v xml:space="preserve">Can your system take advantage of mobile and/or GPS enabled mobile devices?  </v>
      </c>
      <c r="C64" s="302"/>
      <c r="D64" s="301">
        <f>'High Risk Non-Compliant'!D20</f>
        <v>0</v>
      </c>
      <c r="E64" s="301"/>
      <c r="F64" s="301"/>
      <c r="G64" s="112" t="e">
        <f>IF(VLOOKUP(A64,'High Risk Non-Compliant'!B:K,$H$48,FALSE)=0,"N/A",VLOOKUP(A64,'High Risk Non-Compliant'!B:K,$H$48,FALSE))</f>
        <v>#REF!</v>
      </c>
      <c r="H64" s="112" t="e">
        <f>IF(G64="N/A","N/A",VLOOKUP(G64,'Crosswalk Detail'!A:B,2,FALSE))</f>
        <v>#REF!</v>
      </c>
    </row>
    <row r="65" spans="1:8" ht="144" customHeight="1" x14ac:dyDescent="0.2">
      <c r="A65" s="113" t="str">
        <f>'High Risk Non-Compliant'!B21</f>
        <v>APPL-15</v>
      </c>
      <c r="B65" s="302" t="str">
        <f>'High Risk Non-Compliant'!C21</f>
        <v>Describe or provide a reference to the facilities available in the system to provide separation of duties between security administration and system administration functions.</v>
      </c>
      <c r="C65" s="302"/>
      <c r="D65" s="301">
        <f>'High Risk Non-Compliant'!D21</f>
        <v>0</v>
      </c>
      <c r="E65" s="301"/>
      <c r="F65" s="301"/>
      <c r="G65" s="112" t="e">
        <f>IF(VLOOKUP(A65,'High Risk Non-Compliant'!B:K,$H$48,FALSE)=0,"N/A",VLOOKUP(A65,'High Risk Non-Compliant'!B:K,$H$48,FALSE))</f>
        <v>#REF!</v>
      </c>
      <c r="H65" s="112" t="e">
        <f>IF(G65="N/A","N/A",VLOOKUP(G65,'Crosswalk Detail'!A:B,2,FALSE))</f>
        <v>#REF!</v>
      </c>
    </row>
    <row r="66" spans="1:8" ht="144" customHeight="1" x14ac:dyDescent="0.2">
      <c r="A66" s="113" t="str">
        <f>'High Risk Non-Compliant'!B22</f>
        <v>APPL-16</v>
      </c>
      <c r="B66" s="302" t="str">
        <f>'High Risk Non-Compliant'!C22</f>
        <v>Describe or provide a reference that details how administrator access is handled (e.g. provisioning, principle of least privilege, deprovisioning, etc.)</v>
      </c>
      <c r="C66" s="302"/>
      <c r="D66" s="301">
        <f>'High Risk Non-Compliant'!D22</f>
        <v>0</v>
      </c>
      <c r="E66" s="301"/>
      <c r="F66" s="301"/>
      <c r="G66" s="112" t="e">
        <f>IF(VLOOKUP(A66,'High Risk Non-Compliant'!B:K,$H$48,FALSE)=0,"N/A",VLOOKUP(A66,'High Risk Non-Compliant'!B:K,$H$48,FALSE))</f>
        <v>#REF!</v>
      </c>
      <c r="H66" s="112" t="e">
        <f>IF(G66="N/A","N/A",VLOOKUP(G66,'Crosswalk Detail'!A:B,2,FALSE))</f>
        <v>#REF!</v>
      </c>
    </row>
    <row r="67" spans="1:8" ht="144" customHeight="1" x14ac:dyDescent="0.2">
      <c r="A67" s="113" t="str">
        <f>'High Risk Non-Compliant'!B23</f>
        <v>AAAI-01</v>
      </c>
      <c r="B67" s="302" t="str">
        <f>'High Risk Non-Compliant'!C23</f>
        <v>Can you enforce password/passphrase aging requirements?</v>
      </c>
      <c r="C67" s="302"/>
      <c r="D67" s="301">
        <f>'High Risk Non-Compliant'!D23</f>
        <v>0</v>
      </c>
      <c r="E67" s="301"/>
      <c r="F67" s="301"/>
      <c r="G67" s="112" t="e">
        <f>IF(VLOOKUP(A67,'High Risk Non-Compliant'!B:K,$H$48,FALSE)=0,"N/A",VLOOKUP(A67,'High Risk Non-Compliant'!B:K,$H$48,FALSE))</f>
        <v>#REF!</v>
      </c>
      <c r="H67" s="112" t="e">
        <f>IF(G67="N/A","N/A",VLOOKUP(G67,'Crosswalk Detail'!A:B,2,FALSE))</f>
        <v>#REF!</v>
      </c>
    </row>
    <row r="68" spans="1:8" ht="144" customHeight="1" x14ac:dyDescent="0.2">
      <c r="A68" s="113" t="str">
        <f>'High Risk Non-Compliant'!B24</f>
        <v>AAAI-02</v>
      </c>
      <c r="B68" s="302" t="str">
        <f>'High Risk Non-Compliant'!C24</f>
        <v>Can you enforce password/passphrase complexity requirements [provided by the institution]?</v>
      </c>
      <c r="C68" s="302"/>
      <c r="D68" s="301">
        <f>'High Risk Non-Compliant'!D24</f>
        <v>0</v>
      </c>
      <c r="E68" s="301"/>
      <c r="F68" s="301"/>
      <c r="G68" s="112" t="e">
        <f>IF(VLOOKUP(A68,'High Risk Non-Compliant'!B:K,$H$48,FALSE)=0,"N/A",VLOOKUP(A68,'High Risk Non-Compliant'!B:K,$H$48,FALSE))</f>
        <v>#REF!</v>
      </c>
      <c r="H68" s="112" t="e">
        <f>IF(G68="N/A","N/A",VLOOKUP(G68,'Crosswalk Detail'!A:B,2,FALSE))</f>
        <v>#REF!</v>
      </c>
    </row>
    <row r="69" spans="1:8" ht="144" customHeight="1" x14ac:dyDescent="0.2">
      <c r="A69" s="113" t="str">
        <f>'High Risk Non-Compliant'!B25</f>
        <v>AAAI-03</v>
      </c>
      <c r="B69" s="302" t="str">
        <f>'High Risk Non-Compliant'!C25</f>
        <v>Does the system have password complexity or length limitations and/or restrictions?</v>
      </c>
      <c r="C69" s="302"/>
      <c r="D69" s="301">
        <f>'High Risk Non-Compliant'!D25</f>
        <v>0</v>
      </c>
      <c r="E69" s="301"/>
      <c r="F69" s="301"/>
      <c r="G69" s="112" t="e">
        <f>IF(VLOOKUP(A69,'High Risk Non-Compliant'!B:K,$H$48,FALSE)=0,"N/A",VLOOKUP(A69,'High Risk Non-Compliant'!B:K,$H$48,FALSE))</f>
        <v>#REF!</v>
      </c>
      <c r="H69" s="112" t="e">
        <f>IF(G69="N/A","N/A",VLOOKUP(G69,'Crosswalk Detail'!A:B,2,FALSE))</f>
        <v>#REF!</v>
      </c>
    </row>
    <row r="70" spans="1:8" ht="144" customHeight="1" x14ac:dyDescent="0.2">
      <c r="A70" s="113" t="str">
        <f>'High Risk Non-Compliant'!B26</f>
        <v>AAAI-05</v>
      </c>
      <c r="B70" s="302" t="str">
        <f>'High Risk Non-Compliant'!C26</f>
        <v>Does your web-based interface support authentication, including standards-based single-sign-on? (e.g. InCommon)</v>
      </c>
      <c r="C70" s="302"/>
      <c r="D70" s="301">
        <f>'High Risk Non-Compliant'!D26</f>
        <v>0</v>
      </c>
      <c r="E70" s="301"/>
      <c r="F70" s="301"/>
      <c r="G70" s="112" t="e">
        <f>IF(VLOOKUP(A70,'High Risk Non-Compliant'!B:K,$H$48,FALSE)=0,"N/A",VLOOKUP(A70,'High Risk Non-Compliant'!B:K,$H$48,FALSE))</f>
        <v>#REF!</v>
      </c>
      <c r="H70" s="112" t="e">
        <f>IF(G70="N/A","N/A",VLOOKUP(G70,'Crosswalk Detail'!A:B,2,FALSE))</f>
        <v>#REF!</v>
      </c>
    </row>
    <row r="71" spans="1:8" ht="144" customHeight="1" x14ac:dyDescent="0.2">
      <c r="A71" s="113" t="str">
        <f>'High Risk Non-Compliant'!B27</f>
        <v>AAAI-06</v>
      </c>
      <c r="B71" s="302" t="str">
        <f>'High Risk Non-Compliant'!C27</f>
        <v>Are there any passwords/passphrases hard coded into your systems or products?</v>
      </c>
      <c r="C71" s="302"/>
      <c r="D71" s="301">
        <f>'High Risk Non-Compliant'!D27</f>
        <v>0</v>
      </c>
      <c r="E71" s="301"/>
      <c r="F71" s="301"/>
      <c r="G71" s="112" t="e">
        <f>IF(VLOOKUP(A71,'High Risk Non-Compliant'!B:K,$H$48,FALSE)=0,"N/A",VLOOKUP(A71,'High Risk Non-Compliant'!B:K,$H$48,FALSE))</f>
        <v>#REF!</v>
      </c>
      <c r="H71" s="112" t="e">
        <f>IF(G71="N/A","N/A",VLOOKUP(G71,'Crosswalk Detail'!A:B,2,FALSE))</f>
        <v>#REF!</v>
      </c>
    </row>
    <row r="72" spans="1:8" ht="144" customHeight="1" x14ac:dyDescent="0.2">
      <c r="A72" s="113" t="str">
        <f>'High Risk Non-Compliant'!B28</f>
        <v>AAAI-07</v>
      </c>
      <c r="B72" s="302" t="str">
        <f>'High Risk Non-Compliant'!C28</f>
        <v>Are user account passwords/passphrases visible in administration modules?</v>
      </c>
      <c r="C72" s="302"/>
      <c r="D72" s="301">
        <f>'High Risk Non-Compliant'!D28</f>
        <v>0</v>
      </c>
      <c r="E72" s="301"/>
      <c r="F72" s="301"/>
      <c r="G72" s="112" t="e">
        <f>IF(VLOOKUP(A72,'High Risk Non-Compliant'!B:K,$H$48,FALSE)=0,"N/A",VLOOKUP(A72,'High Risk Non-Compliant'!B:K,$H$48,FALSE))</f>
        <v>#REF!</v>
      </c>
      <c r="H72" s="112" t="e">
        <f>IF(G72="N/A","N/A",VLOOKUP(G72,'Crosswalk Detail'!A:B,2,FALSE))</f>
        <v>#REF!</v>
      </c>
    </row>
    <row r="73" spans="1:8" ht="144" customHeight="1" x14ac:dyDescent="0.2">
      <c r="A73" s="113" t="str">
        <f>'High Risk Non-Compliant'!B29</f>
        <v>AAAI-08</v>
      </c>
      <c r="B73" s="302" t="str">
        <f>'High Risk Non-Compliant'!C29</f>
        <v>Are user account passwords/passphrases stored encrypted?</v>
      </c>
      <c r="C73" s="302"/>
      <c r="D73" s="301">
        <f>'High Risk Non-Compliant'!D29</f>
        <v>0</v>
      </c>
      <c r="E73" s="301"/>
      <c r="F73" s="301"/>
      <c r="G73" s="112" t="e">
        <f>IF(VLOOKUP(A73,'High Risk Non-Compliant'!B:K,$H$48,FALSE)=0,"N/A",VLOOKUP(A73,'High Risk Non-Compliant'!B:K,$H$48,FALSE))</f>
        <v>#REF!</v>
      </c>
      <c r="H73" s="112" t="e">
        <f>IF(G73="N/A","N/A",VLOOKUP(G73,'Crosswalk Detail'!A:B,2,FALSE))</f>
        <v>#REF!</v>
      </c>
    </row>
    <row r="74" spans="1:8" ht="144" customHeight="1" x14ac:dyDescent="0.2">
      <c r="A74" s="113" t="str">
        <f>'High Risk Non-Compliant'!B30</f>
        <v>AAAI-11</v>
      </c>
      <c r="B74" s="302" t="str">
        <f>'High Risk Non-Compliant'!C30</f>
        <v>Will any external authentication or authorization system be utilized by an application with access to the institution's data?</v>
      </c>
      <c r="C74" s="302"/>
      <c r="D74" s="301">
        <f>'High Risk Non-Compliant'!D30</f>
        <v>0</v>
      </c>
      <c r="E74" s="301"/>
      <c r="F74" s="301"/>
      <c r="G74" s="112" t="e">
        <f>IF(VLOOKUP(A74,'High Risk Non-Compliant'!B:K,$H$48,FALSE)=0,"N/A",VLOOKUP(A74,'High Risk Non-Compliant'!B:K,$H$48,FALSE))</f>
        <v>#REF!</v>
      </c>
      <c r="H74" s="112" t="e">
        <f>IF(G74="N/A","N/A",VLOOKUP(G74,'Crosswalk Detail'!A:B,2,FALSE))</f>
        <v>#REF!</v>
      </c>
    </row>
    <row r="75" spans="1:8" ht="144" customHeight="1" x14ac:dyDescent="0.2">
      <c r="A75" s="113" t="str">
        <f>'High Risk Non-Compliant'!B31</f>
        <v>AAAI-13</v>
      </c>
      <c r="B75" s="302" t="str">
        <f>'High Risk Non-Compliant'!C31</f>
        <v>Does the system operate in a mixed authentication mode (i.e. external and local authentication)?</v>
      </c>
      <c r="C75" s="302"/>
      <c r="D75" s="301">
        <f>'High Risk Non-Compliant'!D31</f>
        <v>0</v>
      </c>
      <c r="E75" s="301"/>
      <c r="F75" s="301"/>
      <c r="G75" s="112" t="e">
        <f>IF(VLOOKUP(A75,'High Risk Non-Compliant'!B:K,$H$48,FALSE)=0,"N/A",VLOOKUP(A75,'High Risk Non-Compliant'!B:K,$H$48,FALSE))</f>
        <v>#REF!</v>
      </c>
      <c r="H75" s="112" t="e">
        <f>IF(G75="N/A","N/A",VLOOKUP(G75,'Crosswalk Detail'!A:B,2,FALSE))</f>
        <v>#REF!</v>
      </c>
    </row>
    <row r="76" spans="1:8" ht="144" customHeight="1" x14ac:dyDescent="0.2">
      <c r="A76" s="113" t="str">
        <f>'High Risk Non-Compliant'!B32</f>
        <v>AAAI-14</v>
      </c>
      <c r="B76" s="302" t="str">
        <f>'High Risk Non-Compliant'!C32</f>
        <v>Will any external authentication or authorization system be utilized by a system with access to institution data?</v>
      </c>
      <c r="C76" s="302"/>
      <c r="D76" s="301">
        <f>'High Risk Non-Compliant'!D32</f>
        <v>0</v>
      </c>
      <c r="E76" s="301"/>
      <c r="F76" s="301"/>
      <c r="G76" s="112" t="e">
        <f>IF(VLOOKUP(A76,'High Risk Non-Compliant'!B:K,$H$48,FALSE)=0,"N/A",VLOOKUP(A76,'High Risk Non-Compliant'!B:K,$H$48,FALSE))</f>
        <v>#REF!</v>
      </c>
      <c r="H76" s="112" t="e">
        <f>IF(G76="N/A","N/A",VLOOKUP(G76,'Crosswalk Detail'!A:B,2,FALSE))</f>
        <v>#REF!</v>
      </c>
    </row>
    <row r="77" spans="1:8" ht="144" customHeight="1" x14ac:dyDescent="0.2">
      <c r="A77" s="113" t="str">
        <f>'High Risk Non-Compliant'!B33</f>
        <v>AAAI-15</v>
      </c>
      <c r="B77" s="302" t="str">
        <f>'High Risk Non-Compliant'!C33</f>
        <v>Are audit logs available that include AT LEAST all of the following; login, logout, actions performed, and source IP address?</v>
      </c>
      <c r="C77" s="302"/>
      <c r="D77" s="301">
        <f>'High Risk Non-Compliant'!D33</f>
        <v>0</v>
      </c>
      <c r="E77" s="301"/>
      <c r="F77" s="301"/>
      <c r="G77" s="112" t="e">
        <f>IF(VLOOKUP(A77,'High Risk Non-Compliant'!B:K,$H$48,FALSE)=0,"N/A",VLOOKUP(A77,'High Risk Non-Compliant'!B:K,$H$48,FALSE))</f>
        <v>#REF!</v>
      </c>
      <c r="H77" s="112" t="e">
        <f>IF(G77="N/A","N/A",VLOOKUP(G77,'Crosswalk Detail'!A:B,2,FALSE))</f>
        <v>#REF!</v>
      </c>
    </row>
    <row r="78" spans="1:8" ht="144" customHeight="1" x14ac:dyDescent="0.2">
      <c r="A78" s="113" t="str">
        <f>'High Risk Non-Compliant'!B34</f>
        <v>AAAI-16</v>
      </c>
      <c r="B78" s="302" t="str">
        <f>'High Risk Non-Compliant'!C34</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78" s="302"/>
      <c r="D78" s="301">
        <f>'High Risk Non-Compliant'!D34</f>
        <v>0</v>
      </c>
      <c r="E78" s="301"/>
      <c r="F78" s="301"/>
      <c r="G78" s="112" t="e">
        <f>IF(VLOOKUP(A78,'High Risk Non-Compliant'!B:K,$H$48,FALSE)=0,"N/A",VLOOKUP(A78,'High Risk Non-Compliant'!B:K,$H$48,FALSE))</f>
        <v>#REF!</v>
      </c>
      <c r="H78" s="112" t="e">
        <f>IF(G78="N/A","N/A",VLOOKUP(G78,'Crosswalk Detail'!A:B,2,FALSE))</f>
        <v>#REF!</v>
      </c>
    </row>
    <row r="79" spans="1:8" ht="144" customHeight="1" x14ac:dyDescent="0.2">
      <c r="A79" s="113" t="str">
        <f>'High Risk Non-Compliant'!B35</f>
        <v>BCPL-01</v>
      </c>
      <c r="B79" s="302" t="str">
        <f>'High Risk Non-Compliant'!C35</f>
        <v>Describe or provide a reference to your Business Continuity Plan (BCP).</v>
      </c>
      <c r="C79" s="302"/>
      <c r="D79" s="301">
        <f>'High Risk Non-Compliant'!D35</f>
        <v>0</v>
      </c>
      <c r="E79" s="301"/>
      <c r="F79" s="301"/>
      <c r="G79" s="112" t="e">
        <f>IF(VLOOKUP(A79,'High Risk Non-Compliant'!B:K,$H$48,FALSE)=0,"N/A",VLOOKUP(A79,'High Risk Non-Compliant'!B:K,$H$48,FALSE))</f>
        <v>#REF!</v>
      </c>
      <c r="H79" s="112" t="e">
        <f>IF(G79="N/A","N/A",VLOOKUP(G79,'Crosswalk Detail'!A:B,2,FALSE))</f>
        <v>#REF!</v>
      </c>
    </row>
    <row r="80" spans="1:8" ht="144" customHeight="1" x14ac:dyDescent="0.2">
      <c r="A80" s="113" t="str">
        <f>'High Risk Non-Compliant'!B36</f>
        <v>BCPL-06</v>
      </c>
      <c r="B80" s="302" t="str">
        <f>'High Risk Non-Compliant'!C36</f>
        <v xml:space="preserve">Are all components of the BCP reviewed at least annually and updated as needed to reflect change? </v>
      </c>
      <c r="C80" s="302"/>
      <c r="D80" s="301">
        <f>'High Risk Non-Compliant'!D36</f>
        <v>0</v>
      </c>
      <c r="E80" s="301"/>
      <c r="F80" s="301"/>
      <c r="G80" s="112" t="e">
        <f>IF(VLOOKUP(A80,'High Risk Non-Compliant'!B:K,$H$48,FALSE)=0,"N/A",VLOOKUP(A80,'High Risk Non-Compliant'!B:K,$H$48,FALSE))</f>
        <v>#REF!</v>
      </c>
      <c r="H80" s="112" t="e">
        <f>IF(G80="N/A","N/A",VLOOKUP(G80,'Crosswalk Detail'!A:B,2,FALSE))</f>
        <v>#REF!</v>
      </c>
    </row>
    <row r="81" spans="1:8" ht="144" customHeight="1" x14ac:dyDescent="0.2">
      <c r="A81" s="113" t="str">
        <f>'High Risk Non-Compliant'!B37</f>
        <v>BCPL-07</v>
      </c>
      <c r="B81" s="302" t="str">
        <f>'High Risk Non-Compliant'!C37</f>
        <v xml:space="preserve">Has your BCP been tested in the last year? </v>
      </c>
      <c r="C81" s="302"/>
      <c r="D81" s="301">
        <f>'High Risk Non-Compliant'!D37</f>
        <v>0</v>
      </c>
      <c r="E81" s="301"/>
      <c r="F81" s="301"/>
      <c r="G81" s="112" t="e">
        <f>IF(VLOOKUP(A81,'High Risk Non-Compliant'!B:K,$H$48,FALSE)=0,"N/A",VLOOKUP(A81,'High Risk Non-Compliant'!B:K,$H$48,FALSE))</f>
        <v>#REF!</v>
      </c>
      <c r="H81" s="112" t="e">
        <f>IF(G81="N/A","N/A",VLOOKUP(G81,'Crosswalk Detail'!A:B,2,FALSE))</f>
        <v>#REF!</v>
      </c>
    </row>
    <row r="82" spans="1:8" ht="144" customHeight="1" x14ac:dyDescent="0.2">
      <c r="A82" s="113" t="str">
        <f>'High Risk Non-Compliant'!B38</f>
        <v>CHNG-01</v>
      </c>
      <c r="B82" s="302" t="str">
        <f>'High Risk Non-Compliant'!C38</f>
        <v xml:space="preserve">Do you have a documented and currently followed change management process (CMP)? </v>
      </c>
      <c r="C82" s="302"/>
      <c r="D82" s="301">
        <f>'High Risk Non-Compliant'!D38</f>
        <v>0</v>
      </c>
      <c r="E82" s="301"/>
      <c r="F82" s="301"/>
      <c r="G82" s="112" t="e">
        <f>IF(VLOOKUP(A82,'High Risk Non-Compliant'!B:K,$H$48,FALSE)=0,"N/A",VLOOKUP(A82,'High Risk Non-Compliant'!B:K,$H$48,FALSE))</f>
        <v>#REF!</v>
      </c>
      <c r="H82" s="112" t="e">
        <f>IF(G82="N/A","N/A",VLOOKUP(G82,'Crosswalk Detail'!A:B,2,FALSE))</f>
        <v>#REF!</v>
      </c>
    </row>
    <row r="83" spans="1:8" ht="144" customHeight="1" x14ac:dyDescent="0.2">
      <c r="A83" s="113" t="str">
        <f>'High Risk Non-Compliant'!B39</f>
        <v>CHNG-05</v>
      </c>
      <c r="B83" s="302" t="str">
        <f>'High Risk Non-Compliant'!C39</f>
        <v>Describe or provide a reference to your solution support strategy in relation to maintaining software currency. (i.e. how many concurrent versions are you willing to run and support?)</v>
      </c>
      <c r="C83" s="302"/>
      <c r="D83" s="301">
        <f>'High Risk Non-Compliant'!D39</f>
        <v>0</v>
      </c>
      <c r="E83" s="301"/>
      <c r="F83" s="301"/>
      <c r="G83" s="112" t="e">
        <f>IF(VLOOKUP(A83,'High Risk Non-Compliant'!B:K,$H$48,FALSE)=0,"N/A",VLOOKUP(A83,'High Risk Non-Compliant'!B:K,$H$48,FALSE))</f>
        <v>#REF!</v>
      </c>
      <c r="H83" s="112" t="e">
        <f>IF(G83="N/A","N/A",VLOOKUP(G83,'Crosswalk Detail'!A:B,2,FALSE))</f>
        <v>#REF!</v>
      </c>
    </row>
    <row r="84" spans="1:8" ht="144" customHeight="1" x14ac:dyDescent="0.2">
      <c r="A84" s="113" t="str">
        <f>'High Risk Non-Compliant'!B40</f>
        <v>CHNG-08</v>
      </c>
      <c r="B84" s="302" t="str">
        <f>'High Risk Non-Compliant'!C40</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C84" s="302"/>
      <c r="D84" s="301">
        <f>'High Risk Non-Compliant'!D40</f>
        <v>0</v>
      </c>
      <c r="E84" s="301"/>
      <c r="F84" s="301"/>
      <c r="G84" s="112" t="e">
        <f>IF(VLOOKUP(A84,'High Risk Non-Compliant'!B:K,$H$48,FALSE)=0,"N/A",VLOOKUP(A84,'High Risk Non-Compliant'!B:K,$H$48,FALSE))</f>
        <v>#REF!</v>
      </c>
      <c r="H84" s="112" t="e">
        <f>IF(G84="N/A","N/A",VLOOKUP(G84,'Crosswalk Detail'!A:B,2,FALSE))</f>
        <v>#REF!</v>
      </c>
    </row>
    <row r="85" spans="1:8" ht="144" customHeight="1" x14ac:dyDescent="0.2">
      <c r="A85" s="113" t="str">
        <f>'High Risk Non-Compliant'!B41</f>
        <v>DATA-01</v>
      </c>
      <c r="B85" s="302" t="str">
        <f>'High Risk Non-Compliant'!C41</f>
        <v>Do you physically and logically separate Institution's data from that of other customers?</v>
      </c>
      <c r="C85" s="302"/>
      <c r="D85" s="301">
        <f>'High Risk Non-Compliant'!D41</f>
        <v>0</v>
      </c>
      <c r="E85" s="301"/>
      <c r="F85" s="301"/>
      <c r="G85" s="112" t="e">
        <f>IF(VLOOKUP(A85,'High Risk Non-Compliant'!B:K,$H$48,FALSE)=0,"N/A",VLOOKUP(A85,'High Risk Non-Compliant'!B:K,$H$48,FALSE))</f>
        <v>#REF!</v>
      </c>
      <c r="H85" s="112" t="e">
        <f>IF(G85="N/A","N/A",VLOOKUP(G85,'Crosswalk Detail'!A:B,2,FALSE))</f>
        <v>#REF!</v>
      </c>
    </row>
    <row r="86" spans="1:8" ht="144" customHeight="1" x14ac:dyDescent="0.2">
      <c r="A86" s="113" t="str">
        <f>'High Risk Non-Compliant'!B42</f>
        <v>DATA-03</v>
      </c>
      <c r="B86" s="302" t="str">
        <f>'High Risk Non-Compliant'!C42</f>
        <v>Is sensitive data encrypted in transport? (e.g. system-to-client)</v>
      </c>
      <c r="C86" s="302"/>
      <c r="D86" s="301">
        <f>'High Risk Non-Compliant'!D42</f>
        <v>0</v>
      </c>
      <c r="E86" s="301"/>
      <c r="F86" s="301"/>
      <c r="G86" s="112" t="e">
        <f>IF(VLOOKUP(A86,'High Risk Non-Compliant'!B:K,$H$48,FALSE)=0,"N/A",VLOOKUP(A86,'High Risk Non-Compliant'!B:K,$H$48,FALSE))</f>
        <v>#REF!</v>
      </c>
      <c r="H86" s="112" t="e">
        <f>IF(G86="N/A","N/A",VLOOKUP(G86,'Crosswalk Detail'!A:B,2,FALSE))</f>
        <v>#REF!</v>
      </c>
    </row>
    <row r="87" spans="1:8" ht="144" customHeight="1" x14ac:dyDescent="0.2">
      <c r="A87" s="113" t="str">
        <f>'High Risk Non-Compliant'!B43</f>
        <v>DATA-04</v>
      </c>
      <c r="B87" s="302" t="str">
        <f>'High Risk Non-Compliant'!C43</f>
        <v>Is sensitive data encrypted in storage (e.g. disk encryption, at-rest)?</v>
      </c>
      <c r="C87" s="302"/>
      <c r="D87" s="301">
        <f>'High Risk Non-Compliant'!D43</f>
        <v>0</v>
      </c>
      <c r="E87" s="301"/>
      <c r="F87" s="301"/>
      <c r="G87" s="112" t="e">
        <f>IF(VLOOKUP(A87,'High Risk Non-Compliant'!B:K,$H$48,FALSE)=0,"N/A",VLOOKUP(A87,'High Risk Non-Compliant'!B:K,$H$48,FALSE))</f>
        <v>#REF!</v>
      </c>
      <c r="H87" s="112" t="e">
        <f>IF(G87="N/A","N/A",VLOOKUP(G87,'Crosswalk Detail'!A:B,2,FALSE))</f>
        <v>#REF!</v>
      </c>
    </row>
    <row r="88" spans="1:8" ht="144" customHeight="1" x14ac:dyDescent="0.2">
      <c r="A88" s="113" t="str">
        <f>'High Risk Non-Compliant'!B44</f>
        <v>DATA-05</v>
      </c>
      <c r="B88" s="302" t="str">
        <f>'High Risk Non-Compliant'!C44</f>
        <v>Do you employ or allow any cryptographic modules that do not conform to the Federal Information Processing Standards (FIPS PUB 140-2)?</v>
      </c>
      <c r="C88" s="302"/>
      <c r="D88" s="301">
        <f>'High Risk Non-Compliant'!D44</f>
        <v>0</v>
      </c>
      <c r="E88" s="301"/>
      <c r="F88" s="301"/>
      <c r="G88" s="112" t="e">
        <f>IF(VLOOKUP(A88,'High Risk Non-Compliant'!B:K,$H$48,FALSE)=0,"N/A",VLOOKUP(A88,'High Risk Non-Compliant'!B:K,$H$48,FALSE))</f>
        <v>#REF!</v>
      </c>
      <c r="H88" s="112" t="e">
        <f>IF(G88="N/A","N/A",VLOOKUP(G88,'Crosswalk Detail'!A:B,2,FALSE))</f>
        <v>#REF!</v>
      </c>
    </row>
    <row r="89" spans="1:8" ht="144" customHeight="1" x14ac:dyDescent="0.2">
      <c r="A89" s="113" t="str">
        <f>'High Risk Non-Compliant'!B45</f>
        <v>DATA-06</v>
      </c>
      <c r="B89" s="302" t="str">
        <f>'High Risk Non-Compliant'!C45</f>
        <v>Does your system employ encryption technologies when transmitting sensitive information over TCP/IP networks (e.g., SSH, SSL/TLS, VPN)? (e.g. system-to-system and system-to-client)</v>
      </c>
      <c r="C89" s="302"/>
      <c r="D89" s="301">
        <f>'High Risk Non-Compliant'!D45</f>
        <v>0</v>
      </c>
      <c r="E89" s="301"/>
      <c r="F89" s="301"/>
      <c r="G89" s="112" t="e">
        <f>IF(VLOOKUP(A89,'High Risk Non-Compliant'!B:K,$H$48,FALSE)=0,"N/A",VLOOKUP(A89,'High Risk Non-Compliant'!B:K,$H$48,FALSE))</f>
        <v>#REF!</v>
      </c>
      <c r="H89" s="112" t="e">
        <f>IF(G89="N/A","N/A",VLOOKUP(G89,'Crosswalk Detail'!A:B,2,FALSE))</f>
        <v>#REF!</v>
      </c>
    </row>
    <row r="90" spans="1:8" ht="144" customHeight="1" x14ac:dyDescent="0.2">
      <c r="A90" s="113" t="str">
        <f>'High Risk Non-Compliant'!B46</f>
        <v>DATA-08</v>
      </c>
      <c r="B90" s="302" t="str">
        <f>'High Risk Non-Compliant'!C46</f>
        <v>At the completion of this contract, will data be returned to the institution?</v>
      </c>
      <c r="C90" s="302"/>
      <c r="D90" s="301">
        <f>'High Risk Non-Compliant'!D46</f>
        <v>0</v>
      </c>
      <c r="E90" s="301"/>
      <c r="F90" s="301"/>
      <c r="G90" s="112" t="e">
        <f>IF(VLOOKUP(A90,'High Risk Non-Compliant'!B:K,$H$48,FALSE)=0,"N/A",VLOOKUP(A90,'High Risk Non-Compliant'!B:K,$H$48,FALSE))</f>
        <v>#REF!</v>
      </c>
      <c r="H90" s="112" t="e">
        <f>IF(G90="N/A","N/A",VLOOKUP(G90,'Crosswalk Detail'!A:B,2,FALSE))</f>
        <v>#REF!</v>
      </c>
    </row>
    <row r="91" spans="1:8" ht="144" customHeight="1" x14ac:dyDescent="0.2">
      <c r="A91" s="113" t="str">
        <f>'High Risk Non-Compliant'!B47</f>
        <v>DATA-11</v>
      </c>
      <c r="B91" s="302" t="str">
        <f>'High Risk Non-Compliant'!C47</f>
        <v>Are ownership rights to all data, inputs, outputs, and metadata retained by the institution?</v>
      </c>
      <c r="C91" s="302"/>
      <c r="D91" s="301">
        <f>'High Risk Non-Compliant'!D47</f>
        <v>0</v>
      </c>
      <c r="E91" s="301"/>
      <c r="F91" s="301"/>
      <c r="G91" s="112" t="e">
        <f>IF(VLOOKUP(A91,'High Risk Non-Compliant'!B:K,$H$48,FALSE)=0,"N/A",VLOOKUP(A91,'High Risk Non-Compliant'!B:K,$H$48,FALSE))</f>
        <v>#REF!</v>
      </c>
      <c r="H91" s="112" t="e">
        <f>IF(G91="N/A","N/A",VLOOKUP(G91,'Crosswalk Detail'!A:B,2,FALSE))</f>
        <v>#REF!</v>
      </c>
    </row>
    <row r="92" spans="1:8" ht="144" customHeight="1" x14ac:dyDescent="0.2">
      <c r="A92" s="113" t="str">
        <f>'High Risk Non-Compliant'!B48</f>
        <v>DATA-17</v>
      </c>
      <c r="B92" s="302" t="str">
        <f>'High Risk Non-Compliant'!C48</f>
        <v>Are data backups encrypted?</v>
      </c>
      <c r="C92" s="302"/>
      <c r="D92" s="301">
        <f>'High Risk Non-Compliant'!D48</f>
        <v>0</v>
      </c>
      <c r="E92" s="301"/>
      <c r="F92" s="301"/>
      <c r="G92" s="112" t="e">
        <f>IF(VLOOKUP(A92,'High Risk Non-Compliant'!B:K,$H$48,FALSE)=0,"N/A",VLOOKUP(A92,'High Risk Non-Compliant'!B:K,$H$48,FALSE))</f>
        <v>#REF!</v>
      </c>
      <c r="H92" s="112" t="e">
        <f>IF(G92="N/A","N/A",VLOOKUP(G92,'Crosswalk Detail'!A:B,2,FALSE))</f>
        <v>#REF!</v>
      </c>
    </row>
    <row r="93" spans="1:8" ht="144" customHeight="1" x14ac:dyDescent="0.2">
      <c r="A93" s="113" t="str">
        <f>'High Risk Non-Compliant'!B49</f>
        <v>DATA-23</v>
      </c>
      <c r="B93" s="302" t="str">
        <f>'High Risk Non-Compliant'!C49</f>
        <v>Do you have a media handling process, that is documented and currently implemented, including end-of-life, repurposing, and data sanitization procedures?</v>
      </c>
      <c r="C93" s="302"/>
      <c r="D93" s="301">
        <f>'High Risk Non-Compliant'!D49</f>
        <v>0</v>
      </c>
      <c r="E93" s="301"/>
      <c r="F93" s="301"/>
      <c r="G93" s="112" t="e">
        <f>IF(VLOOKUP(A93,'High Risk Non-Compliant'!B:K,$H$48,FALSE)=0,"N/A",VLOOKUP(A93,'High Risk Non-Compliant'!B:K,$H$48,FALSE))</f>
        <v>#REF!</v>
      </c>
      <c r="H93" s="112" t="e">
        <f>IF(G93="N/A","N/A",VLOOKUP(G93,'Crosswalk Detail'!A:B,2,FALSE))</f>
        <v>#REF!</v>
      </c>
    </row>
    <row r="94" spans="1:8" ht="144" customHeight="1" x14ac:dyDescent="0.2">
      <c r="A94" s="113" t="str">
        <f>'High Risk Non-Compliant'!B50</f>
        <v>DATA-28</v>
      </c>
      <c r="B94" s="302" t="str">
        <f>'High Risk Non-Compliant'!C50</f>
        <v>Is any institution data visible in system administration modules/tools?</v>
      </c>
      <c r="C94" s="302"/>
      <c r="D94" s="301">
        <f>'High Risk Non-Compliant'!D50</f>
        <v>0</v>
      </c>
      <c r="E94" s="301"/>
      <c r="F94" s="301"/>
      <c r="G94" s="112" t="e">
        <f>IF(VLOOKUP(A94,'High Risk Non-Compliant'!B:K,$H$48,FALSE)=0,"N/A",VLOOKUP(A94,'High Risk Non-Compliant'!B:K,$H$48,FALSE))</f>
        <v>#REF!</v>
      </c>
      <c r="H94" s="112" t="e">
        <f>IF(G94="N/A","N/A",VLOOKUP(G94,'Crosswalk Detail'!A:B,2,FALSE))</f>
        <v>#REF!</v>
      </c>
    </row>
    <row r="95" spans="1:8" ht="144" customHeight="1" x14ac:dyDescent="0.2">
      <c r="A95" s="113" t="str">
        <f>'High Risk Non-Compliant'!B51</f>
        <v>DBAS-01</v>
      </c>
      <c r="B95" s="302" t="str">
        <f>'High Risk Non-Compliant'!C51</f>
        <v>Does the database support encryption of specified data elements in storage?</v>
      </c>
      <c r="C95" s="302"/>
      <c r="D95" s="301">
        <f>'High Risk Non-Compliant'!D51</f>
        <v>0</v>
      </c>
      <c r="E95" s="301"/>
      <c r="F95" s="301"/>
      <c r="G95" s="112" t="e">
        <f>IF(VLOOKUP(A95,'High Risk Non-Compliant'!B:K,$H$48,FALSE)=0,"N/A",VLOOKUP(A95,'High Risk Non-Compliant'!B:K,$H$48,FALSE))</f>
        <v>#REF!</v>
      </c>
      <c r="H95" s="112" t="e">
        <f>IF(G95="N/A","N/A",VLOOKUP(G95,'Crosswalk Detail'!A:B,2,FALSE))</f>
        <v>#REF!</v>
      </c>
    </row>
    <row r="96" spans="1:8" ht="144" customHeight="1" x14ac:dyDescent="0.2">
      <c r="A96" s="113" t="str">
        <f>'High Risk Non-Compliant'!B52</f>
        <v>DBAS-02</v>
      </c>
      <c r="B96" s="302" t="str">
        <f>'High Risk Non-Compliant'!C52</f>
        <v>Do you currently use encryption in your database(s)?</v>
      </c>
      <c r="C96" s="302"/>
      <c r="D96" s="301">
        <f>'High Risk Non-Compliant'!D52</f>
        <v>0</v>
      </c>
      <c r="E96" s="301"/>
      <c r="F96" s="301"/>
      <c r="G96" s="112" t="e">
        <f>IF(VLOOKUP(A96,'High Risk Non-Compliant'!B:K,$H$48,FALSE)=0,"N/A",VLOOKUP(A96,'High Risk Non-Compliant'!B:K,$H$48,FALSE))</f>
        <v>#REF!</v>
      </c>
      <c r="H96" s="112" t="e">
        <f>IF(G96="N/A","N/A",VLOOKUP(G96,'Crosswalk Detail'!A:B,2,FALSE))</f>
        <v>#REF!</v>
      </c>
    </row>
    <row r="97" spans="1:8" ht="144" customHeight="1" x14ac:dyDescent="0.2">
      <c r="A97" s="113" t="str">
        <f>'High Risk Non-Compliant'!B53</f>
        <v>DCTR-04</v>
      </c>
      <c r="B97" s="302" t="str">
        <f>'High Risk Non-Compliant'!C53</f>
        <v>Do any of your servers reside in a co-located data center?</v>
      </c>
      <c r="C97" s="302"/>
      <c r="D97" s="301">
        <f>'High Risk Non-Compliant'!D53</f>
        <v>0</v>
      </c>
      <c r="E97" s="301"/>
      <c r="F97" s="301"/>
      <c r="G97" s="112" t="e">
        <f>IF(VLOOKUP(A97,'High Risk Non-Compliant'!B:K,$H$48,FALSE)=0,"N/A",VLOOKUP(A97,'High Risk Non-Compliant'!B:K,$H$48,FALSE))</f>
        <v>#REF!</v>
      </c>
      <c r="H97" s="112" t="e">
        <f>IF(G97="N/A","N/A",VLOOKUP(G97,'Crosswalk Detail'!A:B,2,FALSE))</f>
        <v>#REF!</v>
      </c>
    </row>
    <row r="98" spans="1:8" ht="144" customHeight="1" x14ac:dyDescent="0.2">
      <c r="A98" s="113" t="str">
        <f>'High Risk Non-Compliant'!B54</f>
        <v>DCTR-09</v>
      </c>
      <c r="B98" s="302" t="str">
        <f>'High Risk Non-Compliant'!C54</f>
        <v>Will any institution data leave the Institution's Data Zone?</v>
      </c>
      <c r="C98" s="302"/>
      <c r="D98" s="301">
        <f>'High Risk Non-Compliant'!D54</f>
        <v>0</v>
      </c>
      <c r="E98" s="301"/>
      <c r="F98" s="301"/>
      <c r="G98" s="112" t="e">
        <f>IF(VLOOKUP(A98,'High Risk Non-Compliant'!B:K,$H$48,FALSE)=0,"N/A",VLOOKUP(A98,'High Risk Non-Compliant'!B:K,$H$48,FALSE))</f>
        <v>#REF!</v>
      </c>
      <c r="H98" s="112" t="e">
        <f>IF(G98="N/A","N/A",VLOOKUP(G98,'Crosswalk Detail'!A:B,2,FALSE))</f>
        <v>#REF!</v>
      </c>
    </row>
    <row r="99" spans="1:8" ht="144" customHeight="1" x14ac:dyDescent="0.2">
      <c r="A99" s="113" t="str">
        <f>'High Risk Non-Compliant'!B55</f>
        <v>DRPL-01</v>
      </c>
      <c r="B99" s="302" t="str">
        <f>'High Risk Non-Compliant'!C55</f>
        <v>Describe or provide a reference to your Disaster Recovery Plan (DRP).</v>
      </c>
      <c r="C99" s="302"/>
      <c r="D99" s="301">
        <f>'High Risk Non-Compliant'!D55</f>
        <v>0</v>
      </c>
      <c r="E99" s="301"/>
      <c r="F99" s="301"/>
      <c r="G99" s="112" t="e">
        <f>IF(VLOOKUP(A99,'High Risk Non-Compliant'!B:K,$H$48,FALSE)=0,"N/A",VLOOKUP(A99,'High Risk Non-Compliant'!B:K,$H$48,FALSE))</f>
        <v>#REF!</v>
      </c>
      <c r="H99" s="112" t="e">
        <f>IF(G99="N/A","N/A",VLOOKUP(G99,'Crosswalk Detail'!A:B,2,FALSE))</f>
        <v>#REF!</v>
      </c>
    </row>
    <row r="100" spans="1:8" ht="144" customHeight="1" x14ac:dyDescent="0.2">
      <c r="A100" s="113" t="str">
        <f>'High Risk Non-Compliant'!B56</f>
        <v>DRPL-07</v>
      </c>
      <c r="B100" s="302" t="str">
        <f>'High Risk Non-Compliant'!C56</f>
        <v>Is there a defined problem/issue escalation plan in your DRP for impacted clients?</v>
      </c>
      <c r="C100" s="302"/>
      <c r="D100" s="301">
        <f>'High Risk Non-Compliant'!D56</f>
        <v>0</v>
      </c>
      <c r="E100" s="301"/>
      <c r="F100" s="301"/>
      <c r="G100" s="112" t="e">
        <f>IF(VLOOKUP(A100,'High Risk Non-Compliant'!B:K,$H$48,FALSE)=0,"N/A",VLOOKUP(A100,'High Risk Non-Compliant'!B:K,$H$48,FALSE))</f>
        <v>#REF!</v>
      </c>
      <c r="H100" s="112" t="e">
        <f>IF(G100="N/A","N/A",VLOOKUP(G100,'Crosswalk Detail'!A:B,2,FALSE))</f>
        <v>#REF!</v>
      </c>
    </row>
    <row r="101" spans="1:8" ht="144" customHeight="1" x14ac:dyDescent="0.2">
      <c r="A101" s="113" t="str">
        <f>'High Risk Non-Compliant'!B57</f>
        <v>FIDP-01</v>
      </c>
      <c r="B101" s="302" t="str">
        <f>'High Risk Non-Compliant'!C57</f>
        <v>Are you utilizing a web application firewall (WAF)?</v>
      </c>
      <c r="C101" s="302"/>
      <c r="D101" s="301">
        <f>'High Risk Non-Compliant'!D57</f>
        <v>0</v>
      </c>
      <c r="E101" s="301"/>
      <c r="F101" s="301"/>
      <c r="G101" s="112" t="e">
        <f>IF(VLOOKUP(A101,'High Risk Non-Compliant'!B:K,$H$48,FALSE)=0,"N/A",VLOOKUP(A101,'High Risk Non-Compliant'!B:K,$H$48,FALSE))</f>
        <v>#REF!</v>
      </c>
      <c r="H101" s="112" t="e">
        <f>IF(G101="N/A","N/A",VLOOKUP(G101,'Crosswalk Detail'!A:B,2,FALSE))</f>
        <v>#REF!</v>
      </c>
    </row>
    <row r="102" spans="1:8" ht="144" customHeight="1" x14ac:dyDescent="0.2">
      <c r="A102" s="113" t="str">
        <f>'High Risk Non-Compliant'!B58</f>
        <v>FIDP-02</v>
      </c>
      <c r="B102" s="302" t="str">
        <f>'High Risk Non-Compliant'!C58</f>
        <v>Are you utilizing a stateful packet inspection (SPI) firewall?</v>
      </c>
      <c r="C102" s="302"/>
      <c r="D102" s="301">
        <f>'High Risk Non-Compliant'!D58</f>
        <v>0</v>
      </c>
      <c r="E102" s="301"/>
      <c r="F102" s="301"/>
      <c r="G102" s="112" t="e">
        <f>IF(VLOOKUP(A102,'High Risk Non-Compliant'!B:K,$H$48,FALSE)=0,"N/A",VLOOKUP(A102,'High Risk Non-Compliant'!B:K,$H$48,FALSE))</f>
        <v>#REF!</v>
      </c>
      <c r="H102" s="112" t="e">
        <f>IF(G102="N/A","N/A",VLOOKUP(G102,'Crosswalk Detail'!A:B,2,FALSE))</f>
        <v>#REF!</v>
      </c>
    </row>
    <row r="103" spans="1:8" ht="144" customHeight="1" x14ac:dyDescent="0.2">
      <c r="A103" s="113" t="str">
        <f>'High Risk Non-Compliant'!B59</f>
        <v>FIDP-04</v>
      </c>
      <c r="B103" s="302" t="str">
        <f>'High Risk Non-Compliant'!C59</f>
        <v>Do you have a documented policy for firewall change requests?</v>
      </c>
      <c r="C103" s="302"/>
      <c r="D103" s="301">
        <f>'High Risk Non-Compliant'!D59</f>
        <v>0</v>
      </c>
      <c r="E103" s="301"/>
      <c r="F103" s="301"/>
      <c r="G103" s="112" t="e">
        <f>IF(VLOOKUP(A103,'High Risk Non-Compliant'!B:K,$H$48,FALSE)=0,"N/A",VLOOKUP(A103,'High Risk Non-Compliant'!B:K,$H$48,FALSE))</f>
        <v>#REF!</v>
      </c>
      <c r="H103" s="112" t="e">
        <f>IF(G103="N/A","N/A",VLOOKUP(G103,'Crosswalk Detail'!A:B,2,FALSE))</f>
        <v>#REF!</v>
      </c>
    </row>
    <row r="104" spans="1:8" ht="144" customHeight="1" x14ac:dyDescent="0.2">
      <c r="A104" s="113" t="str">
        <f>'High Risk Non-Compliant'!B60</f>
        <v>FIDP-05</v>
      </c>
      <c r="B104" s="302" t="str">
        <f>'High Risk Non-Compliant'!C60</f>
        <v>Have you implemented an Intrusion Detection System (network-based)?</v>
      </c>
      <c r="C104" s="302"/>
      <c r="D104" s="301">
        <f>'High Risk Non-Compliant'!D60</f>
        <v>0</v>
      </c>
      <c r="E104" s="301"/>
      <c r="F104" s="301"/>
      <c r="G104" s="112" t="e">
        <f>IF(VLOOKUP(A104,'High Risk Non-Compliant'!B:K,$H$48,FALSE)=0,"N/A",VLOOKUP(A104,'High Risk Non-Compliant'!B:K,$H$48,FALSE))</f>
        <v>#REF!</v>
      </c>
      <c r="H104" s="112" t="e">
        <f>IF(G104="N/A","N/A",VLOOKUP(G104,'Crosswalk Detail'!A:B,2,FALSE))</f>
        <v>#REF!</v>
      </c>
    </row>
    <row r="105" spans="1:8" ht="144" customHeight="1" x14ac:dyDescent="0.2">
      <c r="A105" s="113" t="str">
        <f>'High Risk Non-Compliant'!B61</f>
        <v>FIDP-07</v>
      </c>
      <c r="B105" s="302" t="str">
        <f>'High Risk Non-Compliant'!C61</f>
        <v>Do you employ host-based intrusion detection?</v>
      </c>
      <c r="C105" s="302"/>
      <c r="D105" s="301">
        <f>'High Risk Non-Compliant'!D61</f>
        <v>0</v>
      </c>
      <c r="E105" s="301"/>
      <c r="F105" s="301"/>
      <c r="G105" s="112" t="e">
        <f>IF(VLOOKUP(A105,'High Risk Non-Compliant'!B:K,$H$48,FALSE)=0,"N/A",VLOOKUP(A105,'High Risk Non-Compliant'!B:K,$H$48,FALSE))</f>
        <v>#REF!</v>
      </c>
      <c r="H105" s="112" t="e">
        <f>IF(G105="N/A","N/A",VLOOKUP(G105,'Crosswalk Detail'!A:B,2,FALSE))</f>
        <v>#REF!</v>
      </c>
    </row>
    <row r="106" spans="1:8" ht="144" customHeight="1" x14ac:dyDescent="0.2">
      <c r="A106" s="113" t="str">
        <f>'High Risk Non-Compliant'!B62</f>
        <v>FIDP-12</v>
      </c>
      <c r="B106" s="302" t="str">
        <f>'High Risk Non-Compliant'!C62</f>
        <v>Are audit logs available for all changes to the network, firewall, IDS, and IPS systems?</v>
      </c>
      <c r="C106" s="302"/>
      <c r="D106" s="301">
        <f>'High Risk Non-Compliant'!D62</f>
        <v>0</v>
      </c>
      <c r="E106" s="301"/>
      <c r="F106" s="301"/>
      <c r="G106" s="112" t="e">
        <f>IF(VLOOKUP(A106,'High Risk Non-Compliant'!B:K,$H$48,FALSE)=0,"N/A",VLOOKUP(A106,'High Risk Non-Compliant'!B:K,$H$48,FALSE))</f>
        <v>#REF!</v>
      </c>
      <c r="H106" s="112" t="e">
        <f>IF(G106="N/A","N/A",VLOOKUP(G106,'Crosswalk Detail'!A:B,2,FALSE))</f>
        <v>#REF!</v>
      </c>
    </row>
    <row r="107" spans="1:8" ht="144" customHeight="1" x14ac:dyDescent="0.2">
      <c r="A107" s="113" t="str">
        <f>'High Risk Non-Compliant'!B63</f>
        <v>MAPP-03</v>
      </c>
      <c r="B107" s="302" t="str">
        <f>'High Risk Non-Compliant'!C63</f>
        <v>Is the application available from a trusted source (e.g., iTunes App Store, Android Market, BB World)?</v>
      </c>
      <c r="C107" s="302"/>
      <c r="D107" s="301">
        <f>'High Risk Non-Compliant'!D63</f>
        <v>0</v>
      </c>
      <c r="E107" s="301"/>
      <c r="F107" s="301"/>
      <c r="G107" s="112" t="e">
        <f>IF(VLOOKUP(A107,'High Risk Non-Compliant'!B:K,$H$48,FALSE)=0,"N/A",VLOOKUP(A107,'High Risk Non-Compliant'!B:K,$H$48,FALSE))</f>
        <v>#REF!</v>
      </c>
      <c r="H107" s="112" t="e">
        <f>IF(G107="N/A","N/A",VLOOKUP(G107,'Crosswalk Detail'!A:B,2,FALSE))</f>
        <v>#REF!</v>
      </c>
    </row>
    <row r="108" spans="1:8" ht="144" customHeight="1" x14ac:dyDescent="0.2">
      <c r="A108" s="113" t="str">
        <f>'High Risk Non-Compliant'!B64</f>
        <v>MAPP-05</v>
      </c>
      <c r="B108" s="302" t="str">
        <f>'High Risk Non-Compliant'!C64</f>
        <v>Is Institution's data encrypted in transport?</v>
      </c>
      <c r="C108" s="302"/>
      <c r="D108" s="301">
        <f>'High Risk Non-Compliant'!D64</f>
        <v>0</v>
      </c>
      <c r="E108" s="301"/>
      <c r="F108" s="301"/>
      <c r="G108" s="112" t="e">
        <f>IF(VLOOKUP(A108,'High Risk Non-Compliant'!B:K,$H$48,FALSE)=0,"N/A",VLOOKUP(A108,'High Risk Non-Compliant'!B:K,$H$48,FALSE))</f>
        <v>#REF!</v>
      </c>
      <c r="H108" s="112" t="e">
        <f>IF(G108="N/A","N/A",VLOOKUP(G108,'Crosswalk Detail'!A:B,2,FALSE))</f>
        <v>#REF!</v>
      </c>
    </row>
    <row r="109" spans="1:8" ht="144" customHeight="1" x14ac:dyDescent="0.2">
      <c r="A109" s="113" t="str">
        <f>'High Risk Non-Compliant'!B65</f>
        <v>MAPP-06</v>
      </c>
      <c r="B109" s="302" t="str">
        <f>'High Risk Non-Compliant'!C65</f>
        <v>Is Institution's data encrypted in storage? (e.g. disk encryption, at-rest)</v>
      </c>
      <c r="C109" s="302"/>
      <c r="D109" s="301">
        <f>'High Risk Non-Compliant'!D65</f>
        <v>0</v>
      </c>
      <c r="E109" s="301"/>
      <c r="F109" s="301"/>
      <c r="G109" s="112" t="e">
        <f>IF(VLOOKUP(A109,'High Risk Non-Compliant'!B:K,$H$48,FALSE)=0,"N/A",VLOOKUP(A109,'High Risk Non-Compliant'!B:K,$H$48,FALSE))</f>
        <v>#REF!</v>
      </c>
      <c r="H109" s="112" t="e">
        <f>IF(G109="N/A","N/A",VLOOKUP(G109,'Crosswalk Detail'!A:B,2,FALSE))</f>
        <v>#REF!</v>
      </c>
    </row>
    <row r="110" spans="1:8" ht="144" customHeight="1" x14ac:dyDescent="0.2">
      <c r="A110" s="113" t="str">
        <f>'High Risk Non-Compliant'!B66</f>
        <v>MAPP-07</v>
      </c>
      <c r="B110" s="302" t="str">
        <f>'High Risk Non-Compliant'!C66</f>
        <v>Does the mobile application support Kerberos, CAS, or Active Directory authentication?</v>
      </c>
      <c r="C110" s="302"/>
      <c r="D110" s="301">
        <f>'High Risk Non-Compliant'!D66</f>
        <v>0</v>
      </c>
      <c r="E110" s="301"/>
      <c r="F110" s="301"/>
      <c r="G110" s="112" t="e">
        <f>IF(VLOOKUP(A110,'High Risk Non-Compliant'!B:K,$H$48,FALSE)=0,"N/A",VLOOKUP(A110,'High Risk Non-Compliant'!B:K,$H$48,FALSE))</f>
        <v>#REF!</v>
      </c>
      <c r="H110" s="112" t="e">
        <f>IF(G110="N/A","N/A",VLOOKUP(G110,'Crosswalk Detail'!A:B,2,FALSE))</f>
        <v>#REF!</v>
      </c>
    </row>
    <row r="111" spans="1:8" ht="144" customHeight="1" x14ac:dyDescent="0.2">
      <c r="A111" s="113" t="str">
        <f>'High Risk Non-Compliant'!B67</f>
        <v>MAPP-09</v>
      </c>
      <c r="B111" s="302" t="str">
        <f>'High Risk Non-Compliant'!C67</f>
        <v>Does the application adhere to secure coding practices (e.g. OWASP, etc.)?</v>
      </c>
      <c r="C111" s="302"/>
      <c r="D111" s="301">
        <f>'High Risk Non-Compliant'!D67</f>
        <v>0</v>
      </c>
      <c r="E111" s="301"/>
      <c r="F111" s="301"/>
      <c r="G111" s="112" t="e">
        <f>IF(VLOOKUP(A111,'High Risk Non-Compliant'!B:K,$H$48,FALSE)=0,"N/A",VLOOKUP(A111,'High Risk Non-Compliant'!B:K,$H$48,FALSE))</f>
        <v>#REF!</v>
      </c>
      <c r="H111" s="112" t="e">
        <f>IF(G111="N/A","N/A",VLOOKUP(G111,'Crosswalk Detail'!A:B,2,FALSE))</f>
        <v>#REF!</v>
      </c>
    </row>
    <row r="112" spans="1:8" ht="144" customHeight="1" x14ac:dyDescent="0.2">
      <c r="A112" s="113" t="str">
        <f>'High Risk Non-Compliant'!B68</f>
        <v>MAPP-10</v>
      </c>
      <c r="B112" s="302" t="str">
        <f>'High Risk Non-Compliant'!C68</f>
        <v>Has the application been tested for vulnerabilities by a third party?</v>
      </c>
      <c r="C112" s="302"/>
      <c r="D112" s="301">
        <f>'High Risk Non-Compliant'!D68</f>
        <v>0</v>
      </c>
      <c r="E112" s="301"/>
      <c r="F112" s="301"/>
      <c r="G112" s="112" t="e">
        <f>IF(VLOOKUP(A112,'High Risk Non-Compliant'!B:K,$H$48,FALSE)=0,"N/A",VLOOKUP(A112,'High Risk Non-Compliant'!B:K,$H$48,FALSE))</f>
        <v>#REF!</v>
      </c>
      <c r="H112" s="112" t="e">
        <f>IF(G112="N/A","N/A",VLOOKUP(G112,'Crosswalk Detail'!A:B,2,FALSE))</f>
        <v>#REF!</v>
      </c>
    </row>
    <row r="113" spans="1:8" ht="144" customHeight="1" x14ac:dyDescent="0.2">
      <c r="A113" s="113" t="str">
        <f>'High Risk Non-Compliant'!B69</f>
        <v>MAPP-11</v>
      </c>
      <c r="B113" s="302" t="str">
        <f>'High Risk Non-Compliant'!C69</f>
        <v>State the party that performed the vulnerability test and the date it was conducted?</v>
      </c>
      <c r="C113" s="302"/>
      <c r="D113" s="301">
        <f>'High Risk Non-Compliant'!D69</f>
        <v>0</v>
      </c>
      <c r="E113" s="301"/>
      <c r="F113" s="301"/>
      <c r="G113" s="112" t="e">
        <f>IF(VLOOKUP(A113,'High Risk Non-Compliant'!B:K,$H$48,FALSE)=0,"N/A",VLOOKUP(A113,'High Risk Non-Compliant'!B:K,$H$48,FALSE))</f>
        <v>#REF!</v>
      </c>
      <c r="H113" s="112" t="e">
        <f>IF(G113="N/A","N/A",VLOOKUP(G113,'Crosswalk Detail'!A:B,2,FALSE))</f>
        <v>#REF!</v>
      </c>
    </row>
    <row r="114" spans="1:8" ht="144" customHeight="1" x14ac:dyDescent="0.2">
      <c r="A114" s="113" t="str">
        <f>'High Risk Non-Compliant'!B70</f>
        <v>PHYS-02</v>
      </c>
      <c r="B114" s="302" t="str">
        <f>'High Risk Non-Compliant'!C70</f>
        <v>Are employees allowed to take home Institution's data in any form?</v>
      </c>
      <c r="C114" s="302"/>
      <c r="D114" s="301">
        <f>'High Risk Non-Compliant'!D70</f>
        <v>0</v>
      </c>
      <c r="E114" s="301"/>
      <c r="F114" s="301"/>
      <c r="G114" s="112" t="e">
        <f>IF(VLOOKUP(A114,'High Risk Non-Compliant'!B:K,$H$48,FALSE)=0,"N/A",VLOOKUP(A114,'High Risk Non-Compliant'!B:K,$H$48,FALSE))</f>
        <v>#REF!</v>
      </c>
      <c r="H114" s="112" t="e">
        <f>IF(G114="N/A","N/A",VLOOKUP(G114,'Crosswalk Detail'!A:B,2,FALSE))</f>
        <v>#REF!</v>
      </c>
    </row>
    <row r="115" spans="1:8" ht="144" customHeight="1" x14ac:dyDescent="0.2">
      <c r="A115" s="113" t="str">
        <f>'High Risk Non-Compliant'!B71</f>
        <v>PPPR-02</v>
      </c>
      <c r="B115" s="302" t="str">
        <f>'High Risk Non-Compliant'!C71</f>
        <v>Do you have a documented patch management process?</v>
      </c>
      <c r="C115" s="302"/>
      <c r="D115" s="301">
        <f>'High Risk Non-Compliant'!D71</f>
        <v>0</v>
      </c>
      <c r="E115" s="301"/>
      <c r="F115" s="301"/>
      <c r="G115" s="112" t="e">
        <f>IF(VLOOKUP(A115,'High Risk Non-Compliant'!B:K,$H$48,FALSE)=0,"N/A",VLOOKUP(A115,'High Risk Non-Compliant'!B:K,$H$48,FALSE))</f>
        <v>#REF!</v>
      </c>
      <c r="H115" s="112" t="e">
        <f>IF(G115="N/A","N/A",VLOOKUP(G115,'Crosswalk Detail'!A:B,2,FALSE))</f>
        <v>#REF!</v>
      </c>
    </row>
    <row r="116" spans="1:8" ht="144" customHeight="1" x14ac:dyDescent="0.2">
      <c r="A116" s="113" t="str">
        <f>'High Risk Non-Compliant'!B72</f>
        <v>PPPR-04</v>
      </c>
      <c r="B116" s="302" t="str">
        <f>'High Risk Non-Compliant'!C72</f>
        <v>Have your developers been trained in secure coding techniques?</v>
      </c>
      <c r="C116" s="302"/>
      <c r="D116" s="301">
        <f>'High Risk Non-Compliant'!D72</f>
        <v>0</v>
      </c>
      <c r="E116" s="301"/>
      <c r="F116" s="301"/>
      <c r="G116" s="112" t="e">
        <f>IF(VLOOKUP(A116,'High Risk Non-Compliant'!B:K,$H$48,FALSE)=0,"N/A",VLOOKUP(A116,'High Risk Non-Compliant'!B:K,$H$48,FALSE))</f>
        <v>#REF!</v>
      </c>
      <c r="H116" s="112" t="e">
        <f>IF(G116="N/A","N/A",VLOOKUP(G116,'Crosswalk Detail'!A:B,2,FALSE))</f>
        <v>#REF!</v>
      </c>
    </row>
    <row r="117" spans="1:8" ht="144" customHeight="1" x14ac:dyDescent="0.2">
      <c r="A117" s="113" t="str">
        <f>'High Risk Non-Compliant'!B73</f>
        <v>PPPR-06</v>
      </c>
      <c r="B117" s="302" t="str">
        <f>'High Risk Non-Compliant'!C73</f>
        <v>Do you subject your code to static code analysis and/or static application security testing prior to release?</v>
      </c>
      <c r="C117" s="302"/>
      <c r="D117" s="301">
        <f>'High Risk Non-Compliant'!D73</f>
        <v>0</v>
      </c>
      <c r="E117" s="301"/>
      <c r="F117" s="301"/>
      <c r="G117" s="112" t="e">
        <f>IF(VLOOKUP(A117,'High Risk Non-Compliant'!B:K,$H$48,FALSE)=0,"N/A",VLOOKUP(A117,'High Risk Non-Compliant'!B:K,$H$48,FALSE))</f>
        <v>#REF!</v>
      </c>
      <c r="H117" s="112" t="e">
        <f>IF(G117="N/A","N/A",VLOOKUP(G117,'Crosswalk Detail'!A:B,2,FALSE))</f>
        <v>#REF!</v>
      </c>
    </row>
    <row r="118" spans="1:8" ht="144" customHeight="1" x14ac:dyDescent="0.2">
      <c r="A118" s="113" t="str">
        <f>'High Risk Non-Compliant'!B74</f>
        <v>PPPR-10</v>
      </c>
      <c r="B118" s="302" t="str">
        <f>'High Risk Non-Compliant'!C74</f>
        <v>Do you have a formal incident response plan?</v>
      </c>
      <c r="C118" s="302"/>
      <c r="D118" s="301">
        <f>'High Risk Non-Compliant'!D74</f>
        <v>0</v>
      </c>
      <c r="E118" s="301"/>
      <c r="F118" s="301"/>
      <c r="G118" s="112" t="e">
        <f>IF(VLOOKUP(A118,'High Risk Non-Compliant'!B:K,$H$48,FALSE)=0,"N/A",VLOOKUP(A118,'High Risk Non-Compliant'!B:K,$H$48,FALSE))</f>
        <v>#REF!</v>
      </c>
      <c r="H118" s="112" t="e">
        <f>IF(G118="N/A","N/A",VLOOKUP(G118,'Crosswalk Detail'!A:B,2,FALSE))</f>
        <v>#REF!</v>
      </c>
    </row>
    <row r="119" spans="1:8" ht="144" customHeight="1" x14ac:dyDescent="0.2">
      <c r="A119" s="113" t="str">
        <f>'High Risk Non-Compliant'!B75</f>
        <v>PPPR-11</v>
      </c>
      <c r="B119" s="302" t="str">
        <f>'High Risk Non-Compliant'!C75</f>
        <v>Will you comply with applicable breach notification laws?</v>
      </c>
      <c r="C119" s="302"/>
      <c r="D119" s="301">
        <f>'High Risk Non-Compliant'!D75</f>
        <v>0</v>
      </c>
      <c r="E119" s="301"/>
      <c r="F119" s="301"/>
      <c r="G119" s="112" t="e">
        <f>IF(VLOOKUP(A119,'High Risk Non-Compliant'!B:K,$H$48,FALSE)=0,"N/A",VLOOKUP(A119,'High Risk Non-Compliant'!B:K,$H$48,FALSE))</f>
        <v>#REF!</v>
      </c>
      <c r="H119" s="112" t="e">
        <f>IF(G119="N/A","N/A",VLOOKUP(G119,'Crosswalk Detail'!A:B,2,FALSE))</f>
        <v>#REF!</v>
      </c>
    </row>
    <row r="120" spans="1:8" ht="144" customHeight="1" x14ac:dyDescent="0.2">
      <c r="A120" s="113" t="str">
        <f>'High Risk Non-Compliant'!B76</f>
        <v>PPPR-16</v>
      </c>
      <c r="B120" s="302" t="str">
        <f>'High Risk Non-Compliant'!C76</f>
        <v>Do you have documented information security policy?</v>
      </c>
      <c r="C120" s="302"/>
      <c r="D120" s="301">
        <f>'High Risk Non-Compliant'!D76</f>
        <v>0</v>
      </c>
      <c r="E120" s="301"/>
      <c r="F120" s="301"/>
      <c r="G120" s="112" t="e">
        <f>IF(VLOOKUP(A120,'High Risk Non-Compliant'!B:K,$H$48,FALSE)=0,"N/A",VLOOKUP(A120,'High Risk Non-Compliant'!B:K,$H$48,FALSE))</f>
        <v>#REF!</v>
      </c>
      <c r="H120" s="112" t="e">
        <f>IF(G120="N/A","N/A",VLOOKUP(G120,'Crosswalk Detail'!A:B,2,FALSE))</f>
        <v>#REF!</v>
      </c>
    </row>
    <row r="121" spans="1:8" ht="144" customHeight="1" x14ac:dyDescent="0.2">
      <c r="A121" s="113" t="str">
        <f>'High Risk Non-Compliant'!B77</f>
        <v>PPPR-17</v>
      </c>
      <c r="B121" s="302" t="str">
        <f>'High Risk Non-Compliant'!C77</f>
        <v>Do you have an information security awareness program?</v>
      </c>
      <c r="C121" s="302"/>
      <c r="D121" s="301">
        <f>'High Risk Non-Compliant'!D77</f>
        <v>0</v>
      </c>
      <c r="E121" s="301"/>
      <c r="F121" s="301"/>
      <c r="G121" s="112" t="e">
        <f>IF(VLOOKUP(A121,'High Risk Non-Compliant'!B:K,$H$48,FALSE)=0,"N/A",VLOOKUP(A121,'High Risk Non-Compliant'!B:K,$H$48,FALSE))</f>
        <v>#REF!</v>
      </c>
      <c r="H121" s="112" t="e">
        <f>IF(G121="N/A","N/A",VLOOKUP(G121,'Crosswalk Detail'!A:B,2,FALSE))</f>
        <v>#REF!</v>
      </c>
    </row>
    <row r="122" spans="1:8" ht="144" customHeight="1" x14ac:dyDescent="0.2">
      <c r="A122" s="113" t="str">
        <f>'High Risk Non-Compliant'!B78</f>
        <v>SYST-01</v>
      </c>
      <c r="B122" s="302" t="str">
        <f>'High Risk Non-Compliant'!C78</f>
        <v>Are systems that support this service managed via a separate management network?</v>
      </c>
      <c r="C122" s="302"/>
      <c r="D122" s="301">
        <f>'High Risk Non-Compliant'!D78</f>
        <v>0</v>
      </c>
      <c r="E122" s="301"/>
      <c r="F122" s="301"/>
      <c r="G122" s="112" t="e">
        <f>IF(VLOOKUP(A122,'High Risk Non-Compliant'!B:K,$H$48,FALSE)=0,"N/A",VLOOKUP(A122,'High Risk Non-Compliant'!B:K,$H$48,FALSE))</f>
        <v>#REF!</v>
      </c>
      <c r="H122" s="112" t="e">
        <f>IF(G122="N/A","N/A",VLOOKUP(G122,'Crosswalk Detail'!A:B,2,FALSE))</f>
        <v>#REF!</v>
      </c>
    </row>
    <row r="123" spans="1:8" ht="144" customHeight="1" x14ac:dyDescent="0.2">
      <c r="A123" s="113" t="str">
        <f>'High Risk Non-Compliant'!B79</f>
        <v>VULN-01</v>
      </c>
      <c r="B123" s="302" t="str">
        <f>'High Risk Non-Compliant'!C79</f>
        <v>Are your applications scanned externally for vulnerabilities?</v>
      </c>
      <c r="C123" s="302"/>
      <c r="D123" s="301">
        <f>'High Risk Non-Compliant'!D79</f>
        <v>0</v>
      </c>
      <c r="E123" s="301"/>
      <c r="F123" s="301"/>
      <c r="G123" s="112" t="e">
        <f>IF(VLOOKUP(A123,'High Risk Non-Compliant'!B:K,$H$48,FALSE)=0,"N/A",VLOOKUP(A123,'High Risk Non-Compliant'!B:K,$H$48,FALSE))</f>
        <v>#REF!</v>
      </c>
      <c r="H123" s="112" t="e">
        <f>IF(G123="N/A","N/A",VLOOKUP(G123,'Crosswalk Detail'!A:B,2,FALSE))</f>
        <v>#REF!</v>
      </c>
    </row>
    <row r="124" spans="1:8" ht="144" customHeight="1" x14ac:dyDescent="0.2">
      <c r="A124" s="113" t="str">
        <f>'High Risk Non-Compliant'!B80</f>
        <v>VULN-04</v>
      </c>
      <c r="B124" s="302" t="str">
        <f>'High Risk Non-Compliant'!C80</f>
        <v>Are your systems scanned externally for vulnerabilities?</v>
      </c>
      <c r="C124" s="302"/>
      <c r="D124" s="301">
        <f>'High Risk Non-Compliant'!D80</f>
        <v>0</v>
      </c>
      <c r="E124" s="301"/>
      <c r="F124" s="301"/>
      <c r="G124" s="112" t="e">
        <f>IF(VLOOKUP(A124,'High Risk Non-Compliant'!B:K,$H$48,FALSE)=0,"N/A",VLOOKUP(A124,'High Risk Non-Compliant'!B:K,$H$48,FALSE))</f>
        <v>#REF!</v>
      </c>
      <c r="H124" s="112" t="e">
        <f>IF(G124="N/A","N/A",VLOOKUP(G124,'Crosswalk Detail'!A:B,2,FALSE))</f>
        <v>#REF!</v>
      </c>
    </row>
    <row r="125" spans="1:8" ht="144" customHeight="1" x14ac:dyDescent="0.2">
      <c r="A125" s="113" t="str">
        <f>'High Risk Non-Compliant'!B81</f>
        <v>VULN-05</v>
      </c>
      <c r="B125" s="302" t="str">
        <f>'High Risk Non-Compliant'!C81</f>
        <v>Have your systems had an external vulnerability assessment in the last year?</v>
      </c>
      <c r="C125" s="302"/>
      <c r="D125" s="301">
        <f>'High Risk Non-Compliant'!D81</f>
        <v>0</v>
      </c>
      <c r="E125" s="301"/>
      <c r="F125" s="301"/>
      <c r="G125" s="112" t="e">
        <f>IF(VLOOKUP(A125,'High Risk Non-Compliant'!B:K,$H$48,FALSE)=0,"N/A",VLOOKUP(A125,'High Risk Non-Compliant'!B:K,$H$48,FALSE))</f>
        <v>#REF!</v>
      </c>
      <c r="H125" s="112" t="e">
        <f>IF(G125="N/A","N/A",VLOOKUP(G125,'Crosswalk Detail'!A:B,2,FALSE))</f>
        <v>#REF!</v>
      </c>
    </row>
    <row r="126" spans="1:8" ht="144" customHeight="1" x14ac:dyDescent="0.2">
      <c r="A126" s="113" t="str">
        <f>'High Risk Non-Compliant'!B82</f>
        <v>VULN-09</v>
      </c>
      <c r="B126" s="302" t="str">
        <f>'High Risk Non-Compliant'!C82</f>
        <v>Will you allow the institution to perform its own security testing of your systems and/or application provided that testing is performed at a mutually agreed upon time and date?</v>
      </c>
      <c r="C126" s="302"/>
      <c r="D126" s="301">
        <f>'High Risk Non-Compliant'!D82</f>
        <v>0</v>
      </c>
      <c r="E126" s="301"/>
      <c r="F126" s="301"/>
      <c r="G126" s="112" t="e">
        <f>IF(VLOOKUP(A126,'High Risk Non-Compliant'!B:K,$H$48,FALSE)=0,"N/A",VLOOKUP(A126,'High Risk Non-Compliant'!B:K,$H$48,FALSE))</f>
        <v>#REF!</v>
      </c>
      <c r="H126" s="112" t="e">
        <f>IF(G126="N/A","N/A",VLOOKUP(G126,'Crosswalk Detail'!A:B,2,FALSE))</f>
        <v>#REF!</v>
      </c>
    </row>
    <row r="127" spans="1:8" ht="144" customHeight="1" x14ac:dyDescent="0.2">
      <c r="A127" s="113" t="str">
        <f>'High Risk Non-Compliant'!B83</f>
        <v>HIPA-03</v>
      </c>
      <c r="B127" s="302" t="str">
        <f>'High Risk Non-Compliant'!C83</f>
        <v>Has your organization designated HIPAA Privacy and Security officers as required by the Rules?</v>
      </c>
      <c r="C127" s="302"/>
      <c r="D127" s="301">
        <f>'High Risk Non-Compliant'!D83</f>
        <v>0</v>
      </c>
      <c r="E127" s="301"/>
      <c r="F127" s="301"/>
      <c r="G127" s="112" t="e">
        <f>IF(VLOOKUP(A127,'High Risk Non-Compliant'!B:K,$H$48,FALSE)=0,"N/A",VLOOKUP(A127,'High Risk Non-Compliant'!B:K,$H$48,FALSE))</f>
        <v>#REF!</v>
      </c>
      <c r="H127" s="112" t="e">
        <f>IF(G127="N/A","N/A",VLOOKUP(G127,'Crosswalk Detail'!A:B,2,FALSE))</f>
        <v>#REF!</v>
      </c>
    </row>
    <row r="128" spans="1:8" ht="144" customHeight="1" x14ac:dyDescent="0.2">
      <c r="A128" s="113" t="str">
        <f>'High Risk Non-Compliant'!B84</f>
        <v>HIPA-04</v>
      </c>
      <c r="B128" s="302" t="str">
        <f>'High Risk Non-Compliant'!C84</f>
        <v>Do you comply with the requirements of the Health Information Technology for Economic and Clinical Health Act (HITECH)?</v>
      </c>
      <c r="C128" s="302"/>
      <c r="D128" s="301">
        <f>'High Risk Non-Compliant'!D84</f>
        <v>0</v>
      </c>
      <c r="E128" s="301"/>
      <c r="F128" s="301"/>
      <c r="G128" s="112" t="e">
        <f>IF(VLOOKUP(A128,'High Risk Non-Compliant'!B:K,$H$48,FALSE)=0,"N/A",VLOOKUP(A128,'High Risk Non-Compliant'!B:K,$H$48,FALSE))</f>
        <v>#REF!</v>
      </c>
      <c r="H128" s="112" t="e">
        <f>IF(G128="N/A","N/A",VLOOKUP(G128,'Crosswalk Detail'!A:B,2,FALSE))</f>
        <v>#REF!</v>
      </c>
    </row>
    <row r="129" spans="1:8" ht="144" customHeight="1" x14ac:dyDescent="0.2">
      <c r="A129" s="113" t="str">
        <f>'High Risk Non-Compliant'!B85</f>
        <v>HIPA-06</v>
      </c>
      <c r="B129" s="302" t="str">
        <f>'High Risk Non-Compliant'!C85</f>
        <v>Do you have a plan to comply with the Breach Notification requirements if there is a breach of data?</v>
      </c>
      <c r="C129" s="302"/>
      <c r="D129" s="301">
        <f>'High Risk Non-Compliant'!D85</f>
        <v>0</v>
      </c>
      <c r="E129" s="301"/>
      <c r="F129" s="301"/>
      <c r="G129" s="112" t="e">
        <f>IF(VLOOKUP(A129,'High Risk Non-Compliant'!B:K,$H$48,FALSE)=0,"N/A",VLOOKUP(A129,'High Risk Non-Compliant'!B:K,$H$48,FALSE))</f>
        <v>#REF!</v>
      </c>
      <c r="H129" s="112" t="e">
        <f>IF(G129="N/A","N/A",VLOOKUP(G129,'Crosswalk Detail'!A:B,2,FALSE))</f>
        <v>#REF!</v>
      </c>
    </row>
    <row r="130" spans="1:8" ht="144" customHeight="1" x14ac:dyDescent="0.2">
      <c r="A130" s="113" t="str">
        <f>'High Risk Non-Compliant'!B86</f>
        <v>HIPA-07</v>
      </c>
      <c r="B130" s="302" t="str">
        <f>'High Risk Non-Compliant'!C86</f>
        <v>Have you conducted a risk analysis as required under the Security Rule?</v>
      </c>
      <c r="C130" s="302"/>
      <c r="D130" s="301">
        <f>'High Risk Non-Compliant'!D86</f>
        <v>0</v>
      </c>
      <c r="E130" s="301"/>
      <c r="F130" s="301"/>
      <c r="G130" s="112" t="e">
        <f>IF(VLOOKUP(A130,'High Risk Non-Compliant'!B:K,$H$48,FALSE)=0,"N/A",VLOOKUP(A130,'High Risk Non-Compliant'!B:K,$H$48,FALSE))</f>
        <v>#REF!</v>
      </c>
      <c r="H130" s="112" t="e">
        <f>IF(G130="N/A","N/A",VLOOKUP(G130,'Crosswalk Detail'!A:B,2,FALSE))</f>
        <v>#REF!</v>
      </c>
    </row>
    <row r="131" spans="1:8" ht="144" customHeight="1" x14ac:dyDescent="0.2">
      <c r="A131" s="113" t="str">
        <f>'High Risk Non-Compliant'!B87</f>
        <v>HIPA-14</v>
      </c>
      <c r="B131" s="302" t="str">
        <f>'High Risk Non-Compliant'!C87</f>
        <v>Are passwords visible in plain text, whether when stored or entered, including service level accounts (i.e. database accounts, etc.)?</v>
      </c>
      <c r="C131" s="302"/>
      <c r="D131" s="301">
        <f>'High Risk Non-Compliant'!D87</f>
        <v>0</v>
      </c>
      <c r="E131" s="301"/>
      <c r="F131" s="301"/>
      <c r="G131" s="112" t="e">
        <f>IF(VLOOKUP(A131,'High Risk Non-Compliant'!B:K,$H$48,FALSE)=0,"N/A",VLOOKUP(A131,'High Risk Non-Compliant'!B:K,$H$48,FALSE))</f>
        <v>#REF!</v>
      </c>
      <c r="H131" s="112" t="e">
        <f>IF(G131="N/A","N/A",VLOOKUP(G131,'Crosswalk Detail'!A:B,2,FALSE))</f>
        <v>#REF!</v>
      </c>
    </row>
    <row r="132" spans="1:8" ht="144" customHeight="1" x14ac:dyDescent="0.2">
      <c r="A132" s="113" t="str">
        <f>'High Risk Non-Compliant'!B88</f>
        <v>PCID-03</v>
      </c>
      <c r="B132" s="302" t="str">
        <f>'High Risk Non-Compliant'!C88</f>
        <v>Do you have a current, executed within the past year, Attestation of Compliance (AoC) or Report on Compliance (RoC)?</v>
      </c>
      <c r="C132" s="302"/>
      <c r="D132" s="301">
        <f>'High Risk Non-Compliant'!D88</f>
        <v>0</v>
      </c>
      <c r="E132" s="301"/>
      <c r="F132" s="301"/>
      <c r="G132" s="112" t="e">
        <f>IF(VLOOKUP(A132,'High Risk Non-Compliant'!B:K,$H$48,FALSE)=0,"N/A",VLOOKUP(A132,'High Risk Non-Compliant'!B:K,$H$48,FALSE))</f>
        <v>#REF!</v>
      </c>
      <c r="H132" s="112" t="e">
        <f>IF(G132="N/A","N/A",VLOOKUP(G132,'Crosswalk Detail'!A:B,2,FALSE))</f>
        <v>#REF!</v>
      </c>
    </row>
    <row r="133" spans="1:8" ht="144" customHeight="1" x14ac:dyDescent="0.2">
      <c r="A133" s="113" t="str">
        <f>'High Risk Non-Compliant'!B89</f>
        <v>PCID-06</v>
      </c>
      <c r="B133" s="302" t="str">
        <f>'High Risk Non-Compliant'!C89</f>
        <v>Are you classified as a merchant?  If so, what level (1, 2, 3, 4)?</v>
      </c>
      <c r="C133" s="302"/>
      <c r="D133" s="301">
        <f>'High Risk Non-Compliant'!D89</f>
        <v>0</v>
      </c>
      <c r="E133" s="301"/>
      <c r="F133" s="301"/>
      <c r="G133" s="112" t="e">
        <f>IF(VLOOKUP(A133,'High Risk Non-Compliant'!B:K,$H$48,FALSE)=0,"N/A",VLOOKUP(A133,'High Risk Non-Compliant'!B:K,$H$48,FALSE))</f>
        <v>#REF!</v>
      </c>
      <c r="H133" s="112" t="e">
        <f>IF(G133="N/A","N/A",VLOOKUP(G133,'Crosswalk Detail'!A:B,2,FALSE))</f>
        <v>#REF!</v>
      </c>
    </row>
    <row r="134" spans="1:8" ht="144" customHeight="1" x14ac:dyDescent="0.2">
      <c r="A134" s="113" t="str">
        <f>'High Risk Non-Compliant'!B90</f>
        <v>PCID-09</v>
      </c>
      <c r="B134" s="302" t="str">
        <f>'High Risk Non-Compliant'!C90</f>
        <v>Can the application be installed in a PCI DSS compliant manner ?</v>
      </c>
      <c r="C134" s="302"/>
      <c r="D134" s="301">
        <f>'High Risk Non-Compliant'!D90</f>
        <v>0</v>
      </c>
      <c r="E134" s="301"/>
      <c r="F134" s="301"/>
      <c r="G134" s="112" t="e">
        <f>IF(VLOOKUP(A134,'High Risk Non-Compliant'!B:K,$H$48,FALSE)=0,"N/A",VLOOKUP(A134,'High Risk Non-Compliant'!B:K,$H$48,FALSE))</f>
        <v>#REF!</v>
      </c>
      <c r="H134" s="112" t="e">
        <f>IF(G134="N/A","N/A",VLOOKUP(G134,'Crosswalk Detail'!A:B,2,FALSE))</f>
        <v>#REF!</v>
      </c>
    </row>
    <row r="135" spans="1:8" ht="144" customHeight="1" x14ac:dyDescent="0.2">
      <c r="A135" s="113" t="str">
        <f>'High Risk Non-Compliant'!B91</f>
        <v>COMP-04</v>
      </c>
      <c r="B135" s="302" t="str">
        <f>'High Risk Non-Compliant'!C91</f>
        <v>Have you had a significant breach in the last 5 years?</v>
      </c>
      <c r="C135" s="302"/>
      <c r="D135" s="301">
        <f>'High Risk Non-Compliant'!D91</f>
        <v>0</v>
      </c>
      <c r="E135" s="301"/>
      <c r="F135" s="301"/>
      <c r="G135" s="112" t="e">
        <f>IF(VLOOKUP(A135,'High Risk Non-Compliant'!B:K,$H$48,FALSE)=0,"N/A",VLOOKUP(A135,'High Risk Non-Compliant'!B:K,$H$48,FALSE))</f>
        <v>#REF!</v>
      </c>
      <c r="H135" s="112" t="e">
        <f>IF(G135="N/A","N/A",VLOOKUP(G135,'Crosswalk Detail'!A:B,2,FALSE))</f>
        <v>#REF!</v>
      </c>
    </row>
    <row r="136" spans="1:8" ht="144" customHeight="1" x14ac:dyDescent="0.2">
      <c r="A136" s="113" t="str">
        <f>'High Risk Non-Compliant'!B92</f>
        <v>COMP-05</v>
      </c>
      <c r="B136" s="302" t="str">
        <f>'High Risk Non-Compliant'!C92</f>
        <v>Do you have a dedicated Information Security staff or office?</v>
      </c>
      <c r="C136" s="302"/>
      <c r="D136" s="301">
        <f>'High Risk Non-Compliant'!D92</f>
        <v>0</v>
      </c>
      <c r="E136" s="301"/>
      <c r="F136" s="301"/>
      <c r="G136" s="112" t="e">
        <f>IF(VLOOKUP(A136,'High Risk Non-Compliant'!B:K,$H$48,FALSE)=0,"N/A",VLOOKUP(A136,'High Risk Non-Compliant'!B:K,$H$48,FALSE))</f>
        <v>#REF!</v>
      </c>
      <c r="H136" s="112" t="e">
        <f>IF(G136="N/A","N/A",VLOOKUP(G136,'Crosswalk Detail'!A:B,2,FALSE))</f>
        <v>#REF!</v>
      </c>
    </row>
    <row r="137" spans="1:8" ht="144" customHeight="1" x14ac:dyDescent="0.2">
      <c r="A137" s="113" t="str">
        <f>'High Risk Non-Compliant'!B93</f>
        <v>COMP-07</v>
      </c>
      <c r="B137" s="302" t="str">
        <f>'High Risk Non-Compliant'!C93</f>
        <v>Use this area to share information about your environment that will assist those who are assessing your company data security program.</v>
      </c>
      <c r="C137" s="302"/>
      <c r="D137" s="301">
        <f>'High Risk Non-Compliant'!D93</f>
        <v>0</v>
      </c>
      <c r="E137" s="301"/>
      <c r="F137" s="301"/>
      <c r="G137" s="112" t="e">
        <f>IF(VLOOKUP(A137,'High Risk Non-Compliant'!B:K,$H$48,FALSE)=0,"N/A",VLOOKUP(A137,'High Risk Non-Compliant'!B:K,$H$48,FALSE))</f>
        <v>#REF!</v>
      </c>
      <c r="H137" s="112" t="e">
        <f>IF(G137="N/A","N/A",VLOOKUP(G137,'Crosswalk Detail'!A:B,2,FALSE))</f>
        <v>#REF!</v>
      </c>
    </row>
    <row r="138" spans="1:8" ht="144" customHeight="1" x14ac:dyDescent="0.2">
      <c r="A138" s="113">
        <f>'High Risk Non-Compliant'!B94</f>
        <v>0</v>
      </c>
      <c r="B138" s="302">
        <f>'High Risk Non-Compliant'!C94</f>
        <v>0</v>
      </c>
      <c r="C138" s="302"/>
      <c r="D138" s="301">
        <f>'High Risk Non-Compliant'!D94</f>
        <v>0</v>
      </c>
      <c r="E138" s="301"/>
      <c r="F138" s="301"/>
      <c r="G138" s="112" t="e">
        <f>IF(VLOOKUP(A138,'High Risk Non-Compliant'!B:K,$H$48,FALSE)=0,"N/A",VLOOKUP(A138,'High Risk Non-Compliant'!B:K,$H$48,FALSE))</f>
        <v>#REF!</v>
      </c>
      <c r="H138" s="112" t="e">
        <f>IF(G138="N/A","N/A",VLOOKUP(G138,'Crosswalk Detail'!A:B,2,FALSE))</f>
        <v>#REF!</v>
      </c>
    </row>
    <row r="139" spans="1:8" ht="144" customHeight="1" x14ac:dyDescent="0.2">
      <c r="A139" s="113">
        <f>'High Risk Non-Compliant'!B95</f>
        <v>0</v>
      </c>
      <c r="B139" s="302">
        <f>'High Risk Non-Compliant'!C95</f>
        <v>0</v>
      </c>
      <c r="C139" s="302"/>
      <c r="D139" s="301">
        <f>'High Risk Non-Compliant'!D95</f>
        <v>0</v>
      </c>
      <c r="E139" s="301"/>
      <c r="F139" s="301"/>
      <c r="G139" s="112" t="e">
        <f>IF(VLOOKUP(A139,'High Risk Non-Compliant'!B:K,$H$48,FALSE)=0,"N/A",VLOOKUP(A139,'High Risk Non-Compliant'!B:K,$H$48,FALSE))</f>
        <v>#REF!</v>
      </c>
      <c r="H139" s="112" t="e">
        <f>IF(G139="N/A","N/A",VLOOKUP(G139,'Crosswalk Detail'!A:B,2,FALSE))</f>
        <v>#REF!</v>
      </c>
    </row>
    <row r="140" spans="1:8" ht="144" customHeight="1" x14ac:dyDescent="0.2">
      <c r="A140" s="113">
        <f>'High Risk Non-Compliant'!B96</f>
        <v>0</v>
      </c>
      <c r="B140" s="302">
        <f>'High Risk Non-Compliant'!C96</f>
        <v>0</v>
      </c>
      <c r="C140" s="302"/>
      <c r="D140" s="301">
        <f>'High Risk Non-Compliant'!D96</f>
        <v>0</v>
      </c>
      <c r="E140" s="301"/>
      <c r="F140" s="301"/>
      <c r="G140" s="112" t="e">
        <f>IF(VLOOKUP(A140,'High Risk Non-Compliant'!B:K,$H$48,FALSE)=0,"N/A",VLOOKUP(A140,'High Risk Non-Compliant'!B:K,$H$48,FALSE))</f>
        <v>#REF!</v>
      </c>
      <c r="H140" s="112" t="e">
        <f>IF(G140="N/A","N/A",VLOOKUP(G140,'Crosswalk Detail'!A:B,2,FALSE))</f>
        <v>#REF!</v>
      </c>
    </row>
    <row r="141" spans="1:8" ht="144" customHeight="1" x14ac:dyDescent="0.2">
      <c r="A141" s="113">
        <f>'High Risk Non-Compliant'!B97</f>
        <v>0</v>
      </c>
      <c r="B141" s="302">
        <f>'High Risk Non-Compliant'!C97</f>
        <v>0</v>
      </c>
      <c r="C141" s="302"/>
      <c r="D141" s="301">
        <f>'High Risk Non-Compliant'!D97</f>
        <v>0</v>
      </c>
      <c r="E141" s="301"/>
      <c r="F141" s="301"/>
      <c r="G141" s="112" t="e">
        <f>IF(VLOOKUP(A141,'High Risk Non-Compliant'!B:K,$H$48,FALSE)=0,"N/A",VLOOKUP(A141,'High Risk Non-Compliant'!B:K,$H$48,FALSE))</f>
        <v>#REF!</v>
      </c>
      <c r="H141" s="112" t="e">
        <f>IF(G141="N/A","N/A",VLOOKUP(G141,'Crosswalk Detail'!A:B,2,FALSE))</f>
        <v>#REF!</v>
      </c>
    </row>
    <row r="142" spans="1:8" ht="144" customHeight="1" x14ac:dyDescent="0.2">
      <c r="A142" s="113">
        <f>'High Risk Non-Compliant'!B98</f>
        <v>0</v>
      </c>
      <c r="B142" s="302">
        <f>'High Risk Non-Compliant'!C98</f>
        <v>0</v>
      </c>
      <c r="C142" s="302"/>
      <c r="D142" s="301">
        <f>'High Risk Non-Compliant'!D98</f>
        <v>0</v>
      </c>
      <c r="E142" s="301"/>
      <c r="F142" s="301"/>
      <c r="G142" s="112" t="e">
        <f>IF(VLOOKUP(A142,'High Risk Non-Compliant'!B:K,$H$48,FALSE)=0,"N/A",VLOOKUP(A142,'High Risk Non-Compliant'!B:K,$H$48,FALSE))</f>
        <v>#REF!</v>
      </c>
      <c r="H142" s="112" t="e">
        <f>IF(G142="N/A","N/A",VLOOKUP(G142,'Crosswalk Detail'!A:B,2,FALSE))</f>
        <v>#REF!</v>
      </c>
    </row>
    <row r="143" spans="1:8" ht="144" customHeight="1" x14ac:dyDescent="0.2">
      <c r="A143" s="113">
        <f>'High Risk Non-Compliant'!B99</f>
        <v>0</v>
      </c>
      <c r="B143" s="302">
        <f>'High Risk Non-Compliant'!C99</f>
        <v>0</v>
      </c>
      <c r="C143" s="302"/>
      <c r="D143" s="301">
        <f>'High Risk Non-Compliant'!D99</f>
        <v>0</v>
      </c>
      <c r="E143" s="301"/>
      <c r="F143" s="301"/>
      <c r="G143" s="112" t="e">
        <f>IF(VLOOKUP(A143,'High Risk Non-Compliant'!B:K,$H$48,FALSE)=0,"N/A",VLOOKUP(A143,'High Risk Non-Compliant'!B:K,$H$48,FALSE))</f>
        <v>#REF!</v>
      </c>
      <c r="H143" s="112" t="e">
        <f>IF(G143="N/A","N/A",VLOOKUP(G143,'Crosswalk Detail'!A:B,2,FALSE))</f>
        <v>#REF!</v>
      </c>
    </row>
    <row r="144" spans="1:8" ht="144" customHeight="1" x14ac:dyDescent="0.2">
      <c r="A144" s="113">
        <f>'High Risk Non-Compliant'!B100</f>
        <v>0</v>
      </c>
      <c r="B144" s="302">
        <f>'High Risk Non-Compliant'!C100</f>
        <v>0</v>
      </c>
      <c r="C144" s="302"/>
      <c r="D144" s="301">
        <f>'High Risk Non-Compliant'!D100</f>
        <v>0</v>
      </c>
      <c r="E144" s="301"/>
      <c r="F144" s="301"/>
      <c r="G144" s="112" t="e">
        <f>IF(VLOOKUP(A144,'High Risk Non-Compliant'!B:K,$H$48,FALSE)=0,"N/A",VLOOKUP(A144,'High Risk Non-Compliant'!B:K,$H$48,FALSE))</f>
        <v>#REF!</v>
      </c>
      <c r="H144" s="112" t="e">
        <f>IF(G144="N/A","N/A",VLOOKUP(G144,'Crosswalk Detail'!A:B,2,FALSE))</f>
        <v>#REF!</v>
      </c>
    </row>
    <row r="145" spans="1:8" ht="144" customHeight="1" x14ac:dyDescent="0.2">
      <c r="A145" s="113">
        <f>'High Risk Non-Compliant'!B101</f>
        <v>0</v>
      </c>
      <c r="B145" s="302">
        <f>'High Risk Non-Compliant'!C101</f>
        <v>0</v>
      </c>
      <c r="C145" s="302"/>
      <c r="D145" s="301">
        <f>'High Risk Non-Compliant'!D101</f>
        <v>0</v>
      </c>
      <c r="E145" s="301"/>
      <c r="F145" s="301"/>
      <c r="G145" s="112" t="e">
        <f>IF(VLOOKUP(A145,'High Risk Non-Compliant'!B:K,$H$48,FALSE)=0,"N/A",VLOOKUP(A145,'High Risk Non-Compliant'!B:K,$H$48,FALSE))</f>
        <v>#REF!</v>
      </c>
      <c r="H145" s="112" t="e">
        <f>IF(G145="N/A","N/A",VLOOKUP(G145,'Crosswalk Detail'!A:B,2,FALSE))</f>
        <v>#REF!</v>
      </c>
    </row>
    <row r="146" spans="1:8" ht="144" customHeight="1" x14ac:dyDescent="0.2">
      <c r="A146" s="113">
        <f>'High Risk Non-Compliant'!B102</f>
        <v>0</v>
      </c>
      <c r="B146" s="302">
        <f>'High Risk Non-Compliant'!C102</f>
        <v>0</v>
      </c>
      <c r="C146" s="302"/>
      <c r="D146" s="301">
        <f>'High Risk Non-Compliant'!D102</f>
        <v>0</v>
      </c>
      <c r="E146" s="301"/>
      <c r="F146" s="301"/>
      <c r="G146" s="112" t="e">
        <f>IF(VLOOKUP(A146,'High Risk Non-Compliant'!B:K,$H$48,FALSE)=0,"N/A",VLOOKUP(A146,'High Risk Non-Compliant'!B:K,$H$48,FALSE))</f>
        <v>#REF!</v>
      </c>
      <c r="H146" s="112" t="e">
        <f>IF(G146="N/A","N/A",VLOOKUP(G146,'Crosswalk Detail'!A:B,2,FALSE))</f>
        <v>#REF!</v>
      </c>
    </row>
    <row r="147" spans="1:8" ht="144" customHeight="1" x14ac:dyDescent="0.2">
      <c r="A147" s="113">
        <f>'High Risk Non-Compliant'!B103</f>
        <v>0</v>
      </c>
      <c r="B147" s="302">
        <f>'High Risk Non-Compliant'!C103</f>
        <v>0</v>
      </c>
      <c r="C147" s="302"/>
      <c r="D147" s="301">
        <f>'High Risk Non-Compliant'!D103</f>
        <v>0</v>
      </c>
      <c r="E147" s="301"/>
      <c r="F147" s="301"/>
      <c r="G147" s="112" t="e">
        <f>IF(VLOOKUP(A147,'High Risk Non-Compliant'!B:K,$H$48,FALSE)=0,"N/A",VLOOKUP(A147,'High Risk Non-Compliant'!B:K,$H$48,FALSE))</f>
        <v>#REF!</v>
      </c>
      <c r="H147" s="112" t="e">
        <f>IF(G147="N/A","N/A",VLOOKUP(G147,'Crosswalk Detail'!A:B,2,FALSE))</f>
        <v>#REF!</v>
      </c>
    </row>
    <row r="148" spans="1:8" ht="144" customHeight="1" x14ac:dyDescent="0.2">
      <c r="A148" s="113">
        <f>'High Risk Non-Compliant'!B104</f>
        <v>0</v>
      </c>
      <c r="B148" s="302">
        <f>'High Risk Non-Compliant'!C104</f>
        <v>0</v>
      </c>
      <c r="C148" s="302"/>
      <c r="D148" s="301">
        <f>'High Risk Non-Compliant'!D104</f>
        <v>0</v>
      </c>
      <c r="E148" s="301"/>
      <c r="F148" s="301"/>
      <c r="G148" s="112" t="e">
        <f>IF(VLOOKUP(A148,'High Risk Non-Compliant'!B:K,$H$48,FALSE)=0,"N/A",VLOOKUP(A148,'High Risk Non-Compliant'!B:K,$H$48,FALSE))</f>
        <v>#REF!</v>
      </c>
      <c r="H148" s="112" t="e">
        <f>IF(G148="N/A","N/A",VLOOKUP(G148,'Crosswalk Detail'!A:B,2,FALSE))</f>
        <v>#REF!</v>
      </c>
    </row>
    <row r="149" spans="1:8" ht="144" customHeight="1" x14ac:dyDescent="0.2">
      <c r="A149" s="113">
        <f>'High Risk Non-Compliant'!B105</f>
        <v>0</v>
      </c>
      <c r="B149" s="302">
        <f>'High Risk Non-Compliant'!C105</f>
        <v>0</v>
      </c>
      <c r="C149" s="302"/>
      <c r="D149" s="301">
        <f>'High Risk Non-Compliant'!D105</f>
        <v>0</v>
      </c>
      <c r="E149" s="301"/>
      <c r="F149" s="301"/>
      <c r="G149" s="112" t="e">
        <f>IF(VLOOKUP(A149,'High Risk Non-Compliant'!B:K,$H$48,FALSE)=0,"N/A",VLOOKUP(A149,'High Risk Non-Compliant'!B:K,$H$48,FALSE))</f>
        <v>#REF!</v>
      </c>
      <c r="H149" s="112" t="e">
        <f>IF(G149="N/A","N/A",VLOOKUP(G149,'Crosswalk Detail'!A:B,2,FALSE))</f>
        <v>#REF!</v>
      </c>
    </row>
    <row r="150" spans="1:8" ht="144" customHeight="1" x14ac:dyDescent="0.2">
      <c r="A150" s="113">
        <f>'High Risk Non-Compliant'!B106</f>
        <v>0</v>
      </c>
      <c r="B150" s="302">
        <f>'High Risk Non-Compliant'!C106</f>
        <v>0</v>
      </c>
      <c r="C150" s="302"/>
      <c r="D150" s="301">
        <f>'High Risk Non-Compliant'!D106</f>
        <v>0</v>
      </c>
      <c r="E150" s="301"/>
      <c r="F150" s="301"/>
      <c r="G150" s="112" t="e">
        <f>IF(VLOOKUP(A150,'High Risk Non-Compliant'!B:K,$H$48,FALSE)=0,"N/A",VLOOKUP(A150,'High Risk Non-Compliant'!B:K,$H$48,FALSE))</f>
        <v>#REF!</v>
      </c>
      <c r="H150" s="112" t="e">
        <f>IF(G150="N/A","N/A",VLOOKUP(G150,'Crosswalk Detail'!A:B,2,FALSE))</f>
        <v>#REF!</v>
      </c>
    </row>
    <row r="151" spans="1:8" ht="144" customHeight="1" x14ac:dyDescent="0.2">
      <c r="A151" s="113">
        <f>'High Risk Non-Compliant'!B107</f>
        <v>0</v>
      </c>
      <c r="B151" s="302">
        <f>'High Risk Non-Compliant'!C107</f>
        <v>0</v>
      </c>
      <c r="C151" s="302"/>
      <c r="D151" s="301">
        <f>'High Risk Non-Compliant'!D107</f>
        <v>0</v>
      </c>
      <c r="E151" s="301"/>
      <c r="F151" s="301"/>
      <c r="G151" s="112" t="e">
        <f>IF(VLOOKUP(A151,'High Risk Non-Compliant'!B:K,$H$48,FALSE)=0,"N/A",VLOOKUP(A151,'High Risk Non-Compliant'!B:K,$H$48,FALSE))</f>
        <v>#REF!</v>
      </c>
      <c r="H151" s="112" t="e">
        <f>IF(G151="N/A","N/A",VLOOKUP(G151,'Crosswalk Detail'!A:B,2,FALSE))</f>
        <v>#REF!</v>
      </c>
    </row>
    <row r="152" spans="1:8" ht="144" customHeight="1" x14ac:dyDescent="0.2">
      <c r="A152" s="113">
        <f>'High Risk Non-Compliant'!B108</f>
        <v>0</v>
      </c>
      <c r="B152" s="302">
        <f>'High Risk Non-Compliant'!C108</f>
        <v>0</v>
      </c>
      <c r="C152" s="302"/>
      <c r="D152" s="301">
        <f>'High Risk Non-Compliant'!D108</f>
        <v>0</v>
      </c>
      <c r="E152" s="301"/>
      <c r="F152" s="301"/>
      <c r="G152" s="112" t="e">
        <f>IF(VLOOKUP(A152,'High Risk Non-Compliant'!B:K,$H$48,FALSE)=0,"N/A",VLOOKUP(A152,'High Risk Non-Compliant'!B:K,$H$48,FALSE))</f>
        <v>#REF!</v>
      </c>
      <c r="H152" s="112" t="e">
        <f>IF(G152="N/A","N/A",VLOOKUP(G152,'Crosswalk Detail'!A:B,2,FALSE))</f>
        <v>#REF!</v>
      </c>
    </row>
    <row r="153" spans="1:8" ht="144" customHeight="1" x14ac:dyDescent="0.2">
      <c r="A153" s="113">
        <f>'High Risk Non-Compliant'!B109</f>
        <v>0</v>
      </c>
      <c r="B153" s="302">
        <f>'High Risk Non-Compliant'!C109</f>
        <v>0</v>
      </c>
      <c r="C153" s="302"/>
      <c r="D153" s="301">
        <f>'High Risk Non-Compliant'!D109</f>
        <v>0</v>
      </c>
      <c r="E153" s="301"/>
      <c r="F153" s="301"/>
      <c r="G153" s="112" t="e">
        <f>IF(VLOOKUP(A153,'High Risk Non-Compliant'!B:K,$H$48,FALSE)=0,"N/A",VLOOKUP(A153,'High Risk Non-Compliant'!B:K,$H$48,FALSE))</f>
        <v>#REF!</v>
      </c>
      <c r="H153" s="112" t="e">
        <f>IF(G153="N/A","N/A",VLOOKUP(G153,'Crosswalk Detail'!A:B,2,FALSE))</f>
        <v>#REF!</v>
      </c>
    </row>
    <row r="154" spans="1:8" ht="144" customHeight="1" x14ac:dyDescent="0.2">
      <c r="A154" s="113">
        <f>'High Risk Non-Compliant'!B110</f>
        <v>0</v>
      </c>
      <c r="B154" s="302">
        <f>'High Risk Non-Compliant'!C110</f>
        <v>0</v>
      </c>
      <c r="C154" s="302"/>
      <c r="D154" s="301">
        <f>'High Risk Non-Compliant'!D110</f>
        <v>0</v>
      </c>
      <c r="E154" s="301"/>
      <c r="F154" s="301"/>
      <c r="G154" s="112" t="e">
        <f>IF(VLOOKUP(A154,'High Risk Non-Compliant'!B:K,$H$48,FALSE)=0,"N/A",VLOOKUP(A154,'High Risk Non-Compliant'!B:K,$H$48,FALSE))</f>
        <v>#REF!</v>
      </c>
      <c r="H154" s="112" t="e">
        <f>IF(G154="N/A","N/A",VLOOKUP(G154,'Crosswalk Detail'!A:B,2,FALSE))</f>
        <v>#REF!</v>
      </c>
    </row>
    <row r="155" spans="1:8" ht="144" customHeight="1" x14ac:dyDescent="0.2">
      <c r="A155" s="113">
        <f>'High Risk Non-Compliant'!B111</f>
        <v>0</v>
      </c>
      <c r="B155" s="302">
        <f>'High Risk Non-Compliant'!C111</f>
        <v>0</v>
      </c>
      <c r="C155" s="302"/>
      <c r="D155" s="301">
        <f>'High Risk Non-Compliant'!D111</f>
        <v>0</v>
      </c>
      <c r="E155" s="301"/>
      <c r="F155" s="301"/>
      <c r="G155" s="112" t="e">
        <f>IF(VLOOKUP(A155,'High Risk Non-Compliant'!B:K,$H$48,FALSE)=0,"N/A",VLOOKUP(A155,'High Risk Non-Compliant'!B:K,$H$48,FALSE))</f>
        <v>#REF!</v>
      </c>
      <c r="H155" s="112" t="e">
        <f>IF(G155="N/A","N/A",VLOOKUP(G155,'Crosswalk Detail'!A:B,2,FALSE))</f>
        <v>#REF!</v>
      </c>
    </row>
    <row r="156" spans="1:8" ht="144" customHeight="1" x14ac:dyDescent="0.2">
      <c r="A156" s="113">
        <f>'High Risk Non-Compliant'!B112</f>
        <v>0</v>
      </c>
      <c r="B156" s="302">
        <f>'High Risk Non-Compliant'!C112</f>
        <v>0</v>
      </c>
      <c r="C156" s="302"/>
      <c r="D156" s="301">
        <f>'High Risk Non-Compliant'!D112</f>
        <v>0</v>
      </c>
      <c r="E156" s="301"/>
      <c r="F156" s="301"/>
      <c r="G156" s="112" t="e">
        <f>IF(VLOOKUP(A156,'High Risk Non-Compliant'!B:K,$H$48,FALSE)=0,"N/A",VLOOKUP(A156,'High Risk Non-Compliant'!B:K,$H$48,FALSE))</f>
        <v>#REF!</v>
      </c>
      <c r="H156" s="112" t="e">
        <f>IF(G156="N/A","N/A",VLOOKUP(G156,'Crosswalk Detail'!A:B,2,FALSE))</f>
        <v>#REF!</v>
      </c>
    </row>
    <row r="157" spans="1:8" ht="144" customHeight="1" x14ac:dyDescent="0.2">
      <c r="A157" s="113">
        <f>'High Risk Non-Compliant'!B113</f>
        <v>0</v>
      </c>
      <c r="B157" s="302">
        <f>'High Risk Non-Compliant'!C113</f>
        <v>0</v>
      </c>
      <c r="C157" s="302"/>
      <c r="D157" s="301">
        <f>'High Risk Non-Compliant'!D113</f>
        <v>0</v>
      </c>
      <c r="E157" s="301"/>
      <c r="F157" s="301"/>
      <c r="G157" s="112" t="e">
        <f>IF(VLOOKUP(A157,'High Risk Non-Compliant'!B:K,$H$48,FALSE)=0,"N/A",VLOOKUP(A157,'High Risk Non-Compliant'!B:K,$H$48,FALSE))</f>
        <v>#REF!</v>
      </c>
      <c r="H157" s="112" t="e">
        <f>IF(G157="N/A","N/A",VLOOKUP(G157,'Crosswalk Detail'!A:B,2,FALSE))</f>
        <v>#REF!</v>
      </c>
    </row>
    <row r="158" spans="1:8" ht="144" customHeight="1" x14ac:dyDescent="0.2">
      <c r="A158" s="113">
        <f>'High Risk Non-Compliant'!B114</f>
        <v>0</v>
      </c>
      <c r="B158" s="302">
        <f>'High Risk Non-Compliant'!C114</f>
        <v>0</v>
      </c>
      <c r="C158" s="302"/>
      <c r="D158" s="301">
        <f>'High Risk Non-Compliant'!D114</f>
        <v>0</v>
      </c>
      <c r="E158" s="301"/>
      <c r="F158" s="301"/>
      <c r="G158" s="112" t="e">
        <f>IF(VLOOKUP(A158,'High Risk Non-Compliant'!B:K,$H$48,FALSE)=0,"N/A",VLOOKUP(A158,'High Risk Non-Compliant'!B:K,$H$48,FALSE))</f>
        <v>#REF!</v>
      </c>
      <c r="H158" s="112" t="e">
        <f>IF(G158="N/A","N/A",VLOOKUP(G158,'Crosswalk Detail'!A:B,2,FALSE))</f>
        <v>#REF!</v>
      </c>
    </row>
    <row r="159" spans="1:8" ht="144" customHeight="1" x14ac:dyDescent="0.2">
      <c r="A159" s="113">
        <f>'High Risk Non-Compliant'!B115</f>
        <v>0</v>
      </c>
      <c r="B159" s="302">
        <f>'High Risk Non-Compliant'!C115</f>
        <v>0</v>
      </c>
      <c r="C159" s="302"/>
      <c r="D159" s="301">
        <f>'High Risk Non-Compliant'!D115</f>
        <v>0</v>
      </c>
      <c r="E159" s="301"/>
      <c r="F159" s="301"/>
      <c r="G159" s="112" t="e">
        <f>IF(VLOOKUP(A159,'High Risk Non-Compliant'!B:K,$H$48,FALSE)=0,"N/A",VLOOKUP(A159,'High Risk Non-Compliant'!B:K,$H$48,FALSE))</f>
        <v>#REF!</v>
      </c>
      <c r="H159" s="112" t="e">
        <f>IF(G159="N/A","N/A",VLOOKUP(G159,'Crosswalk Detail'!A:B,2,FALSE))</f>
        <v>#REF!</v>
      </c>
    </row>
    <row r="160" spans="1:8" ht="144" customHeight="1" x14ac:dyDescent="0.2">
      <c r="A160" s="113">
        <f>'High Risk Non-Compliant'!B116</f>
        <v>0</v>
      </c>
      <c r="B160" s="302">
        <f>'High Risk Non-Compliant'!C116</f>
        <v>0</v>
      </c>
      <c r="C160" s="302"/>
      <c r="D160" s="301">
        <f>'High Risk Non-Compliant'!D116</f>
        <v>0</v>
      </c>
      <c r="E160" s="301"/>
      <c r="F160" s="301"/>
      <c r="G160" s="112" t="e">
        <f>IF(VLOOKUP(A160,'High Risk Non-Compliant'!B:K,$H$48,FALSE)=0,"N/A",VLOOKUP(A160,'High Risk Non-Compliant'!B:K,$H$48,FALSE))</f>
        <v>#REF!</v>
      </c>
      <c r="H160" s="112" t="e">
        <f>IF(G160="N/A","N/A",VLOOKUP(G160,'Crosswalk Detail'!A:B,2,FALSE))</f>
        <v>#REF!</v>
      </c>
    </row>
    <row r="161" spans="1:8" ht="144" customHeight="1" x14ac:dyDescent="0.2">
      <c r="A161" s="113">
        <f>'High Risk Non-Compliant'!B117</f>
        <v>0</v>
      </c>
      <c r="B161" s="302">
        <f>'High Risk Non-Compliant'!C117</f>
        <v>0</v>
      </c>
      <c r="C161" s="302"/>
      <c r="D161" s="301">
        <f>'High Risk Non-Compliant'!D117</f>
        <v>0</v>
      </c>
      <c r="E161" s="301"/>
      <c r="F161" s="301"/>
      <c r="G161" s="112" t="e">
        <f>IF(VLOOKUP(A161,'High Risk Non-Compliant'!B:K,$H$48,FALSE)=0,"N/A",VLOOKUP(A161,'High Risk Non-Compliant'!B:K,$H$48,FALSE))</f>
        <v>#REF!</v>
      </c>
      <c r="H161" s="112" t="e">
        <f>IF(G161="N/A","N/A",VLOOKUP(G161,'Crosswalk Detail'!A:B,2,FALSE))</f>
        <v>#REF!</v>
      </c>
    </row>
    <row r="162" spans="1:8" ht="144" customHeight="1" x14ac:dyDescent="0.2">
      <c r="A162" s="113">
        <f>'High Risk Non-Compliant'!B118</f>
        <v>0</v>
      </c>
      <c r="B162" s="302">
        <f>'High Risk Non-Compliant'!C118</f>
        <v>0</v>
      </c>
      <c r="C162" s="302"/>
      <c r="D162" s="301">
        <f>'High Risk Non-Compliant'!D118</f>
        <v>0</v>
      </c>
      <c r="E162" s="301"/>
      <c r="F162" s="301"/>
      <c r="G162" s="112" t="e">
        <f>IF(VLOOKUP(A162,'High Risk Non-Compliant'!B:K,$H$48,FALSE)=0,"N/A",VLOOKUP(A162,'High Risk Non-Compliant'!B:K,$H$48,FALSE))</f>
        <v>#REF!</v>
      </c>
      <c r="H162" s="112" t="e">
        <f>IF(G162="N/A","N/A",VLOOKUP(G162,'Crosswalk Detail'!A:B,2,FALSE))</f>
        <v>#REF!</v>
      </c>
    </row>
    <row r="163" spans="1:8" ht="144" customHeight="1" x14ac:dyDescent="0.2">
      <c r="A163" s="113">
        <f>'High Risk Non-Compliant'!B119</f>
        <v>0</v>
      </c>
      <c r="B163" s="302">
        <f>'High Risk Non-Compliant'!C119</f>
        <v>0</v>
      </c>
      <c r="C163" s="302"/>
      <c r="D163" s="301">
        <f>'High Risk Non-Compliant'!D119</f>
        <v>0</v>
      </c>
      <c r="E163" s="301"/>
      <c r="F163" s="301"/>
      <c r="G163" s="112" t="e">
        <f>IF(VLOOKUP(A163,'High Risk Non-Compliant'!B:K,$H$48,FALSE)=0,"N/A",VLOOKUP(A163,'High Risk Non-Compliant'!B:K,$H$48,FALSE))</f>
        <v>#REF!</v>
      </c>
      <c r="H163" s="112" t="e">
        <f>IF(G163="N/A","N/A",VLOOKUP(G163,'Crosswalk Detail'!A:B,2,FALSE))</f>
        <v>#REF!</v>
      </c>
    </row>
    <row r="164" spans="1:8" ht="144" customHeight="1" x14ac:dyDescent="0.2">
      <c r="A164" s="113">
        <f>'High Risk Non-Compliant'!B120</f>
        <v>0</v>
      </c>
      <c r="B164" s="302">
        <f>'High Risk Non-Compliant'!C120</f>
        <v>0</v>
      </c>
      <c r="C164" s="302"/>
      <c r="D164" s="301">
        <f>'High Risk Non-Compliant'!D120</f>
        <v>0</v>
      </c>
      <c r="E164" s="301"/>
      <c r="F164" s="301"/>
      <c r="G164" s="112" t="e">
        <f>IF(VLOOKUP(A164,'High Risk Non-Compliant'!B:K,$H$48,FALSE)=0,"N/A",VLOOKUP(A164,'High Risk Non-Compliant'!B:K,$H$48,FALSE))</f>
        <v>#REF!</v>
      </c>
      <c r="H164" s="112" t="e">
        <f>IF(G164="N/A","N/A",VLOOKUP(G164,'Crosswalk Detail'!A:B,2,FALSE))</f>
        <v>#REF!</v>
      </c>
    </row>
    <row r="165" spans="1:8" ht="144" customHeight="1" x14ac:dyDescent="0.2">
      <c r="A165" s="113">
        <f>'High Risk Non-Compliant'!B121</f>
        <v>0</v>
      </c>
      <c r="B165" s="302">
        <f>'High Risk Non-Compliant'!C121</f>
        <v>0</v>
      </c>
      <c r="C165" s="302"/>
      <c r="D165" s="301">
        <f>'High Risk Non-Compliant'!D121</f>
        <v>0</v>
      </c>
      <c r="E165" s="301"/>
      <c r="F165" s="301"/>
      <c r="G165" s="112" t="e">
        <f>IF(VLOOKUP(A165,'High Risk Non-Compliant'!B:K,$H$48,FALSE)=0,"N/A",VLOOKUP(A165,'High Risk Non-Compliant'!B:K,$H$48,FALSE))</f>
        <v>#REF!</v>
      </c>
      <c r="H165" s="112" t="e">
        <f>IF(G165="N/A","N/A",VLOOKUP(G165,'Crosswalk Detail'!A:B,2,FALSE))</f>
        <v>#REF!</v>
      </c>
    </row>
    <row r="166" spans="1:8" ht="144" customHeight="1" x14ac:dyDescent="0.2">
      <c r="A166" s="113">
        <f>'High Risk Non-Compliant'!B122</f>
        <v>0</v>
      </c>
      <c r="B166" s="302">
        <f>'High Risk Non-Compliant'!C122</f>
        <v>0</v>
      </c>
      <c r="C166" s="302"/>
      <c r="D166" s="301">
        <f>'High Risk Non-Compliant'!D122</f>
        <v>0</v>
      </c>
      <c r="E166" s="301"/>
      <c r="F166" s="301"/>
      <c r="G166" s="112" t="e">
        <f>IF(VLOOKUP(A166,'High Risk Non-Compliant'!B:K,$H$48,FALSE)=0,"N/A",VLOOKUP(A166,'High Risk Non-Compliant'!B:K,$H$48,FALSE))</f>
        <v>#REF!</v>
      </c>
      <c r="H166" s="112" t="e">
        <f>IF(G166="N/A","N/A",VLOOKUP(G166,'Crosswalk Detail'!A:B,2,FALSE))</f>
        <v>#REF!</v>
      </c>
    </row>
    <row r="167" spans="1:8" ht="144" customHeight="1" x14ac:dyDescent="0.2">
      <c r="A167" s="113">
        <f>'High Risk Non-Compliant'!B123</f>
        <v>0</v>
      </c>
      <c r="B167" s="302">
        <f>'High Risk Non-Compliant'!C123</f>
        <v>0</v>
      </c>
      <c r="C167" s="302"/>
      <c r="D167" s="301">
        <f>'High Risk Non-Compliant'!D123</f>
        <v>0</v>
      </c>
      <c r="E167" s="301"/>
      <c r="F167" s="301"/>
      <c r="G167" s="112" t="e">
        <f>IF(VLOOKUP(A167,'High Risk Non-Compliant'!B:K,$H$48,FALSE)=0,"N/A",VLOOKUP(A167,'High Risk Non-Compliant'!B:K,$H$48,FALSE))</f>
        <v>#REF!</v>
      </c>
      <c r="H167" s="112" t="e">
        <f>IF(G167="N/A","N/A",VLOOKUP(G167,'Crosswalk Detail'!A:B,2,FALSE))</f>
        <v>#REF!</v>
      </c>
    </row>
    <row r="168" spans="1:8" ht="144" customHeight="1" x14ac:dyDescent="0.2">
      <c r="A168" s="113">
        <f>'High Risk Non-Compliant'!B124</f>
        <v>0</v>
      </c>
      <c r="B168" s="302">
        <f>'High Risk Non-Compliant'!C124</f>
        <v>0</v>
      </c>
      <c r="C168" s="302"/>
      <c r="D168" s="301">
        <f>'High Risk Non-Compliant'!D124</f>
        <v>0</v>
      </c>
      <c r="E168" s="301"/>
      <c r="F168" s="301"/>
      <c r="G168" s="112" t="e">
        <f>IF(VLOOKUP(A168,'High Risk Non-Compliant'!B:K,$H$48,FALSE)=0,"N/A",VLOOKUP(A168,'High Risk Non-Compliant'!B:K,$H$48,FALSE))</f>
        <v>#REF!</v>
      </c>
      <c r="H168" s="112" t="e">
        <f>IF(G168="N/A","N/A",VLOOKUP(G168,'Crosswalk Detail'!A:B,2,FALSE))</f>
        <v>#REF!</v>
      </c>
    </row>
    <row r="169" spans="1:8" ht="144" customHeight="1" x14ac:dyDescent="0.2">
      <c r="A169" s="113">
        <f>'High Risk Non-Compliant'!B125</f>
        <v>0</v>
      </c>
      <c r="B169" s="302">
        <f>'High Risk Non-Compliant'!C125</f>
        <v>0</v>
      </c>
      <c r="C169" s="302"/>
      <c r="D169" s="301">
        <f>'High Risk Non-Compliant'!D125</f>
        <v>0</v>
      </c>
      <c r="E169" s="301"/>
      <c r="F169" s="301"/>
      <c r="G169" s="112" t="e">
        <f>IF(VLOOKUP(A169,'High Risk Non-Compliant'!B:K,$H$48,FALSE)=0,"N/A",VLOOKUP(A169,'High Risk Non-Compliant'!B:K,$H$48,FALSE))</f>
        <v>#REF!</v>
      </c>
      <c r="H169" s="112" t="e">
        <f>IF(G169="N/A","N/A",VLOOKUP(G169,'Crosswalk Detail'!A:B,2,FALSE))</f>
        <v>#REF!</v>
      </c>
    </row>
    <row r="170" spans="1:8" ht="144" customHeight="1" x14ac:dyDescent="0.2">
      <c r="A170" s="113">
        <f>'High Risk Non-Compliant'!B126</f>
        <v>0</v>
      </c>
      <c r="B170" s="302">
        <f>'High Risk Non-Compliant'!C126</f>
        <v>0</v>
      </c>
      <c r="C170" s="302"/>
      <c r="D170" s="301">
        <f>'High Risk Non-Compliant'!D126</f>
        <v>0</v>
      </c>
      <c r="E170" s="301"/>
      <c r="F170" s="301"/>
      <c r="G170" s="112" t="e">
        <f>IF(VLOOKUP(A170,'High Risk Non-Compliant'!B:K,$H$48,FALSE)=0,"N/A",VLOOKUP(A170,'High Risk Non-Compliant'!B:K,$H$48,FALSE))</f>
        <v>#REF!</v>
      </c>
      <c r="H170" s="112" t="e">
        <f>IF(G170="N/A","N/A",VLOOKUP(G170,'Crosswalk Detail'!A:B,2,FALSE))</f>
        <v>#REF!</v>
      </c>
    </row>
    <row r="171" spans="1:8" ht="144" customHeight="1" x14ac:dyDescent="0.2">
      <c r="A171" s="113">
        <f>'High Risk Non-Compliant'!B127</f>
        <v>0</v>
      </c>
      <c r="B171" s="302">
        <f>'High Risk Non-Compliant'!C127</f>
        <v>0</v>
      </c>
      <c r="C171" s="302"/>
      <c r="D171" s="301">
        <f>'High Risk Non-Compliant'!D127</f>
        <v>0</v>
      </c>
      <c r="E171" s="301"/>
      <c r="F171" s="301"/>
      <c r="G171" s="112" t="e">
        <f>IF(VLOOKUP(A171,'High Risk Non-Compliant'!B:K,$H$48,FALSE)=0,"N/A",VLOOKUP(A171,'High Risk Non-Compliant'!B:K,$H$48,FALSE))</f>
        <v>#REF!</v>
      </c>
      <c r="H171" s="112" t="e">
        <f>IF(G171="N/A","N/A",VLOOKUP(G171,'Crosswalk Detail'!A:B,2,FALSE))</f>
        <v>#REF!</v>
      </c>
    </row>
    <row r="172" spans="1:8" ht="144" customHeight="1" x14ac:dyDescent="0.2">
      <c r="A172" s="113">
        <f>'High Risk Non-Compliant'!B128</f>
        <v>0</v>
      </c>
      <c r="B172" s="302">
        <f>'High Risk Non-Compliant'!C128</f>
        <v>0</v>
      </c>
      <c r="C172" s="302"/>
      <c r="D172" s="301">
        <f>'High Risk Non-Compliant'!D128</f>
        <v>0</v>
      </c>
      <c r="E172" s="301"/>
      <c r="F172" s="301"/>
      <c r="G172" s="112" t="e">
        <f>IF(VLOOKUP(A172,'High Risk Non-Compliant'!B:K,$H$48,FALSE)=0,"N/A",VLOOKUP(A172,'High Risk Non-Compliant'!B:K,$H$48,FALSE))</f>
        <v>#REF!</v>
      </c>
      <c r="H172" s="112" t="e">
        <f>IF(G172="N/A","N/A",VLOOKUP(G172,'Crosswalk Detail'!A:B,2,FALSE))</f>
        <v>#REF!</v>
      </c>
    </row>
    <row r="173" spans="1:8" ht="144" customHeight="1" x14ac:dyDescent="0.2">
      <c r="A173" s="113">
        <f>'High Risk Non-Compliant'!B129</f>
        <v>0</v>
      </c>
      <c r="B173" s="302">
        <f>'High Risk Non-Compliant'!C129</f>
        <v>0</v>
      </c>
      <c r="C173" s="302"/>
      <c r="D173" s="301">
        <f>'High Risk Non-Compliant'!D129</f>
        <v>0</v>
      </c>
      <c r="E173" s="301"/>
      <c r="F173" s="301"/>
      <c r="G173" s="112" t="e">
        <f>IF(VLOOKUP(A173,'High Risk Non-Compliant'!B:K,$H$48,FALSE)=0,"N/A",VLOOKUP(A173,'High Risk Non-Compliant'!B:K,$H$48,FALSE))</f>
        <v>#REF!</v>
      </c>
      <c r="H173" s="112" t="e">
        <f>IF(G173="N/A","N/A",VLOOKUP(G173,'Crosswalk Detail'!A:B,2,FALSE))</f>
        <v>#REF!</v>
      </c>
    </row>
    <row r="174" spans="1:8" ht="144" customHeight="1" x14ac:dyDescent="0.2">
      <c r="A174" s="113">
        <f>'High Risk Non-Compliant'!B130</f>
        <v>0</v>
      </c>
      <c r="B174" s="302">
        <f>'High Risk Non-Compliant'!C130</f>
        <v>0</v>
      </c>
      <c r="C174" s="302"/>
      <c r="D174" s="301">
        <f>'High Risk Non-Compliant'!D130</f>
        <v>0</v>
      </c>
      <c r="E174" s="301"/>
      <c r="F174" s="301"/>
      <c r="G174" s="112" t="e">
        <f>IF(VLOOKUP(A174,'High Risk Non-Compliant'!B:K,$H$48,FALSE)=0,"N/A",VLOOKUP(A174,'High Risk Non-Compliant'!B:K,$H$48,FALSE))</f>
        <v>#REF!</v>
      </c>
      <c r="H174" s="112" t="e">
        <f>IF(G174="N/A","N/A",VLOOKUP(G174,'Crosswalk Detail'!A:B,2,FALSE))</f>
        <v>#REF!</v>
      </c>
    </row>
    <row r="175" spans="1:8" ht="144" customHeight="1" x14ac:dyDescent="0.2">
      <c r="A175" s="113">
        <f>'High Risk Non-Compliant'!B131</f>
        <v>0</v>
      </c>
      <c r="B175" s="302">
        <f>'High Risk Non-Compliant'!C131</f>
        <v>0</v>
      </c>
      <c r="C175" s="302"/>
      <c r="D175" s="301">
        <f>'High Risk Non-Compliant'!D131</f>
        <v>0</v>
      </c>
      <c r="E175" s="301"/>
      <c r="F175" s="301"/>
      <c r="G175" s="112" t="e">
        <f>IF(VLOOKUP(A175,'High Risk Non-Compliant'!B:K,$H$48,FALSE)=0,"N/A",VLOOKUP(A175,'High Risk Non-Compliant'!B:K,$H$48,FALSE))</f>
        <v>#REF!</v>
      </c>
      <c r="H175" s="112" t="e">
        <f>IF(G175="N/A","N/A",VLOOKUP(G175,'Crosswalk Detail'!A:B,2,FALSE))</f>
        <v>#REF!</v>
      </c>
    </row>
    <row r="176" spans="1:8" ht="144" customHeight="1" x14ac:dyDescent="0.2">
      <c r="A176" s="113">
        <f>'High Risk Non-Compliant'!B132</f>
        <v>0</v>
      </c>
      <c r="B176" s="302">
        <f>'High Risk Non-Compliant'!C132</f>
        <v>0</v>
      </c>
      <c r="C176" s="302"/>
      <c r="D176" s="301">
        <f>'High Risk Non-Compliant'!D132</f>
        <v>0</v>
      </c>
      <c r="E176" s="301"/>
      <c r="F176" s="301"/>
      <c r="G176" s="112" t="e">
        <f>IF(VLOOKUP(A176,'High Risk Non-Compliant'!B:K,$H$48,FALSE)=0,"N/A",VLOOKUP(A176,'High Risk Non-Compliant'!B:K,$H$48,FALSE))</f>
        <v>#REF!</v>
      </c>
      <c r="H176" s="112" t="e">
        <f>IF(G176="N/A","N/A",VLOOKUP(G176,'Crosswalk Detail'!A:B,2,FALSE))</f>
        <v>#REF!</v>
      </c>
    </row>
    <row r="177" spans="1:8" ht="144" customHeight="1" x14ac:dyDescent="0.2">
      <c r="A177" s="113">
        <f>'High Risk Non-Compliant'!B133</f>
        <v>0</v>
      </c>
      <c r="B177" s="302">
        <f>'High Risk Non-Compliant'!C133</f>
        <v>0</v>
      </c>
      <c r="C177" s="302"/>
      <c r="D177" s="301">
        <f>'High Risk Non-Compliant'!D133</f>
        <v>0</v>
      </c>
      <c r="E177" s="301"/>
      <c r="F177" s="301"/>
      <c r="G177" s="112" t="e">
        <f>IF(VLOOKUP(A177,'High Risk Non-Compliant'!B:K,$H$48,FALSE)=0,"N/A",VLOOKUP(A177,'High Risk Non-Compliant'!B:K,$H$48,FALSE))</f>
        <v>#REF!</v>
      </c>
      <c r="H177" s="112" t="e">
        <f>IF(G177="N/A","N/A",VLOOKUP(G177,'Crosswalk Detail'!A:B,2,FALSE))</f>
        <v>#REF!</v>
      </c>
    </row>
    <row r="178" spans="1:8" ht="144" customHeight="1" x14ac:dyDescent="0.2">
      <c r="A178" s="113">
        <f>'High Risk Non-Compliant'!B134</f>
        <v>0</v>
      </c>
      <c r="B178" s="302">
        <f>'High Risk Non-Compliant'!C134</f>
        <v>0</v>
      </c>
      <c r="C178" s="302"/>
      <c r="D178" s="301">
        <f>'High Risk Non-Compliant'!D134</f>
        <v>0</v>
      </c>
      <c r="E178" s="301"/>
      <c r="F178" s="301"/>
      <c r="G178" s="112" t="e">
        <f>IF(VLOOKUP(A178,'High Risk Non-Compliant'!B:K,$H$48,FALSE)=0,"N/A",VLOOKUP(A178,'High Risk Non-Compliant'!B:K,$H$48,FALSE))</f>
        <v>#REF!</v>
      </c>
      <c r="H178" s="112" t="e">
        <f>IF(G178="N/A","N/A",VLOOKUP(G178,'Crosswalk Detail'!A:B,2,FALSE))</f>
        <v>#REF!</v>
      </c>
    </row>
    <row r="179" spans="1:8" ht="144" customHeight="1" x14ac:dyDescent="0.2">
      <c r="A179" s="113">
        <f>'High Risk Non-Compliant'!B135</f>
        <v>0</v>
      </c>
      <c r="B179" s="302">
        <f>'High Risk Non-Compliant'!C135</f>
        <v>0</v>
      </c>
      <c r="C179" s="302"/>
      <c r="D179" s="301">
        <f>'High Risk Non-Compliant'!D135</f>
        <v>0</v>
      </c>
      <c r="E179" s="301"/>
      <c r="F179" s="301"/>
      <c r="G179" s="112" t="e">
        <f>IF(VLOOKUP(A179,'High Risk Non-Compliant'!B:K,$H$48,FALSE)=0,"N/A",VLOOKUP(A179,'High Risk Non-Compliant'!B:K,$H$48,FALSE))</f>
        <v>#REF!</v>
      </c>
      <c r="H179" s="112" t="e">
        <f>IF(G179="N/A","N/A",VLOOKUP(G179,'Crosswalk Detail'!A:B,2,FALSE))</f>
        <v>#REF!</v>
      </c>
    </row>
    <row r="180" spans="1:8" ht="144" customHeight="1" x14ac:dyDescent="0.2">
      <c r="A180" s="113">
        <f>'High Risk Non-Compliant'!B136</f>
        <v>0</v>
      </c>
      <c r="B180" s="302">
        <f>'High Risk Non-Compliant'!C136</f>
        <v>0</v>
      </c>
      <c r="C180" s="302"/>
      <c r="D180" s="301">
        <f>'High Risk Non-Compliant'!D136</f>
        <v>0</v>
      </c>
      <c r="E180" s="301"/>
      <c r="F180" s="301"/>
      <c r="G180" s="112" t="e">
        <f>IF(VLOOKUP(A180,'High Risk Non-Compliant'!B:K,$H$48,FALSE)=0,"N/A",VLOOKUP(A180,'High Risk Non-Compliant'!B:K,$H$48,FALSE))</f>
        <v>#REF!</v>
      </c>
      <c r="H180" s="112" t="e">
        <f>IF(G180="N/A","N/A",VLOOKUP(G180,'Crosswalk Detail'!A:B,2,FALSE))</f>
        <v>#REF!</v>
      </c>
    </row>
    <row r="181" spans="1:8" ht="144" customHeight="1" x14ac:dyDescent="0.2">
      <c r="A181" s="113">
        <f>'High Risk Non-Compliant'!B137</f>
        <v>0</v>
      </c>
      <c r="B181" s="302">
        <f>'High Risk Non-Compliant'!C137</f>
        <v>0</v>
      </c>
      <c r="C181" s="302"/>
      <c r="D181" s="301">
        <f>'High Risk Non-Compliant'!D137</f>
        <v>0</v>
      </c>
      <c r="E181" s="301"/>
      <c r="F181" s="301"/>
      <c r="G181" s="112" t="e">
        <f>IF(VLOOKUP(A181,'High Risk Non-Compliant'!B:K,$H$48,FALSE)=0,"N/A",VLOOKUP(A181,'High Risk Non-Compliant'!B:K,$H$48,FALSE))</f>
        <v>#REF!</v>
      </c>
      <c r="H181" s="112" t="e">
        <f>IF(G181="N/A","N/A",VLOOKUP(G181,'Crosswalk Detail'!A:B,2,FALSE))</f>
        <v>#REF!</v>
      </c>
    </row>
    <row r="182" spans="1:8" ht="144" customHeight="1" x14ac:dyDescent="0.2">
      <c r="A182" s="113">
        <f>'High Risk Non-Compliant'!B138</f>
        <v>0</v>
      </c>
      <c r="B182" s="302">
        <f>'High Risk Non-Compliant'!C138</f>
        <v>0</v>
      </c>
      <c r="C182" s="302"/>
      <c r="D182" s="301">
        <f>'High Risk Non-Compliant'!D138</f>
        <v>0</v>
      </c>
      <c r="E182" s="301"/>
      <c r="F182" s="301"/>
      <c r="G182" s="112" t="e">
        <f>IF(VLOOKUP(A182,'High Risk Non-Compliant'!B:K,$H$48,FALSE)=0,"N/A",VLOOKUP(A182,'High Risk Non-Compliant'!B:K,$H$48,FALSE))</f>
        <v>#REF!</v>
      </c>
      <c r="H182" s="112" t="e">
        <f>IF(G182="N/A","N/A",VLOOKUP(G182,'Crosswalk Detail'!A:B,2,FALSE))</f>
        <v>#REF!</v>
      </c>
    </row>
    <row r="183" spans="1:8" ht="144" customHeight="1" x14ac:dyDescent="0.2">
      <c r="A183" s="113">
        <f>'High Risk Non-Compliant'!B139</f>
        <v>0</v>
      </c>
      <c r="B183" s="302">
        <f>'High Risk Non-Compliant'!C139</f>
        <v>0</v>
      </c>
      <c r="C183" s="302"/>
      <c r="D183" s="301">
        <f>'High Risk Non-Compliant'!D139</f>
        <v>0</v>
      </c>
      <c r="E183" s="301"/>
      <c r="F183" s="301"/>
      <c r="G183" s="112" t="e">
        <f>IF(VLOOKUP(A183,'High Risk Non-Compliant'!B:K,$H$48,FALSE)=0,"N/A",VLOOKUP(A183,'High Risk Non-Compliant'!B:K,$H$48,FALSE))</f>
        <v>#REF!</v>
      </c>
      <c r="H183" s="112" t="e">
        <f>IF(G183="N/A","N/A",VLOOKUP(G183,'Crosswalk Detail'!A:B,2,FALSE))</f>
        <v>#REF!</v>
      </c>
    </row>
    <row r="184" spans="1:8" ht="144" customHeight="1" x14ac:dyDescent="0.2">
      <c r="A184" s="113">
        <f>'High Risk Non-Compliant'!B140</f>
        <v>0</v>
      </c>
      <c r="B184" s="302">
        <f>'High Risk Non-Compliant'!C140</f>
        <v>0</v>
      </c>
      <c r="C184" s="302"/>
      <c r="D184" s="301">
        <f>'High Risk Non-Compliant'!D140</f>
        <v>0</v>
      </c>
      <c r="E184" s="301"/>
      <c r="F184" s="301"/>
      <c r="G184" s="112" t="e">
        <f>IF(VLOOKUP(A184,'High Risk Non-Compliant'!B:K,$H$48,FALSE)=0,"N/A",VLOOKUP(A184,'High Risk Non-Compliant'!B:K,$H$48,FALSE))</f>
        <v>#REF!</v>
      </c>
      <c r="H184" s="112" t="e">
        <f>IF(G184="N/A","N/A",VLOOKUP(G184,'Crosswalk Detail'!A:B,2,FALSE))</f>
        <v>#REF!</v>
      </c>
    </row>
    <row r="185" spans="1:8" ht="144" customHeight="1" x14ac:dyDescent="0.2">
      <c r="A185" s="113">
        <f>'High Risk Non-Compliant'!B141</f>
        <v>0</v>
      </c>
      <c r="B185" s="302">
        <f>'High Risk Non-Compliant'!C141</f>
        <v>0</v>
      </c>
      <c r="C185" s="302"/>
      <c r="D185" s="301">
        <f>'High Risk Non-Compliant'!D141</f>
        <v>0</v>
      </c>
      <c r="E185" s="301"/>
      <c r="F185" s="301"/>
      <c r="G185" s="112" t="e">
        <f>IF(VLOOKUP(A185,'High Risk Non-Compliant'!B:K,$H$48,FALSE)=0,"N/A",VLOOKUP(A185,'High Risk Non-Compliant'!B:K,$H$48,FALSE))</f>
        <v>#REF!</v>
      </c>
      <c r="H185" s="112" t="e">
        <f>IF(G185="N/A","N/A",VLOOKUP(G185,'Crosswalk Detail'!A:B,2,FALSE))</f>
        <v>#REF!</v>
      </c>
    </row>
    <row r="186" spans="1:8" ht="144" customHeight="1" x14ac:dyDescent="0.2">
      <c r="A186" s="113">
        <f>'High Risk Non-Compliant'!B142</f>
        <v>0</v>
      </c>
      <c r="B186" s="302">
        <f>'High Risk Non-Compliant'!C142</f>
        <v>0</v>
      </c>
      <c r="C186" s="302"/>
      <c r="D186" s="301">
        <f>'High Risk Non-Compliant'!D142</f>
        <v>0</v>
      </c>
      <c r="E186" s="301"/>
      <c r="F186" s="301"/>
      <c r="G186" s="112" t="e">
        <f>IF(VLOOKUP(A186,'High Risk Non-Compliant'!B:K,$H$48,FALSE)=0,"N/A",VLOOKUP(A186,'High Risk Non-Compliant'!B:K,$H$48,FALSE))</f>
        <v>#REF!</v>
      </c>
      <c r="H186" s="112" t="e">
        <f>IF(G186="N/A","N/A",VLOOKUP(G186,'Crosswalk Detail'!A:B,2,FALSE))</f>
        <v>#REF!</v>
      </c>
    </row>
    <row r="187" spans="1:8" ht="144" customHeight="1" x14ac:dyDescent="0.2">
      <c r="A187" s="113">
        <f>'High Risk Non-Compliant'!B143</f>
        <v>0</v>
      </c>
      <c r="B187" s="302">
        <f>'High Risk Non-Compliant'!C143</f>
        <v>0</v>
      </c>
      <c r="C187" s="302"/>
      <c r="D187" s="301">
        <f>'High Risk Non-Compliant'!D143</f>
        <v>0</v>
      </c>
      <c r="E187" s="301"/>
      <c r="F187" s="301"/>
      <c r="G187" s="112" t="e">
        <f>IF(VLOOKUP(A187,'High Risk Non-Compliant'!B:K,$H$48,FALSE)=0,"N/A",VLOOKUP(A187,'High Risk Non-Compliant'!B:K,$H$48,FALSE))</f>
        <v>#REF!</v>
      </c>
      <c r="H187" s="112" t="e">
        <f>IF(G187="N/A","N/A",VLOOKUP(G187,'Crosswalk Detail'!A:B,2,FALSE))</f>
        <v>#REF!</v>
      </c>
    </row>
    <row r="188" spans="1:8" ht="144" customHeight="1" x14ac:dyDescent="0.2">
      <c r="A188" s="113">
        <f>'High Risk Non-Compliant'!B144</f>
        <v>0</v>
      </c>
      <c r="B188" s="302">
        <f>'High Risk Non-Compliant'!C144</f>
        <v>0</v>
      </c>
      <c r="C188" s="302"/>
      <c r="D188" s="301">
        <f>'High Risk Non-Compliant'!D144</f>
        <v>0</v>
      </c>
      <c r="E188" s="301"/>
      <c r="F188" s="301"/>
      <c r="G188" s="112" t="e">
        <f>IF(VLOOKUP(A188,'High Risk Non-Compliant'!B:K,$H$48,FALSE)=0,"N/A",VLOOKUP(A188,'High Risk Non-Compliant'!B:K,$H$48,FALSE))</f>
        <v>#REF!</v>
      </c>
      <c r="H188" s="112" t="e">
        <f>IF(G188="N/A","N/A",VLOOKUP(G188,'Crosswalk Detail'!A:B,2,FALSE))</f>
        <v>#REF!</v>
      </c>
    </row>
    <row r="189" spans="1:8" ht="144" customHeight="1" x14ac:dyDescent="0.2">
      <c r="A189" s="113">
        <f>'High Risk Non-Compliant'!B145</f>
        <v>0</v>
      </c>
      <c r="B189" s="302">
        <f>'High Risk Non-Compliant'!C145</f>
        <v>0</v>
      </c>
      <c r="C189" s="302"/>
      <c r="D189" s="301">
        <f>'High Risk Non-Compliant'!D145</f>
        <v>0</v>
      </c>
      <c r="E189" s="301"/>
      <c r="F189" s="301"/>
      <c r="G189" s="112" t="e">
        <f>IF(VLOOKUP(A189,'High Risk Non-Compliant'!B:K,$H$48,FALSE)=0,"N/A",VLOOKUP(A189,'High Risk Non-Compliant'!B:K,$H$48,FALSE))</f>
        <v>#REF!</v>
      </c>
      <c r="H189" s="112" t="e">
        <f>IF(G189="N/A","N/A",VLOOKUP(G189,'Crosswalk Detail'!A:B,2,FALSE))</f>
        <v>#REF!</v>
      </c>
    </row>
    <row r="190" spans="1:8" ht="144" customHeight="1" x14ac:dyDescent="0.2">
      <c r="A190" s="113">
        <f>'High Risk Non-Compliant'!B146</f>
        <v>0</v>
      </c>
      <c r="B190" s="302">
        <f>'High Risk Non-Compliant'!C146</f>
        <v>0</v>
      </c>
      <c r="C190" s="302"/>
      <c r="D190" s="301">
        <f>'High Risk Non-Compliant'!D146</f>
        <v>0</v>
      </c>
      <c r="E190" s="301"/>
      <c r="F190" s="301"/>
      <c r="G190" s="112" t="e">
        <f>IF(VLOOKUP(A190,'High Risk Non-Compliant'!B:K,$H$48,FALSE)=0,"N/A",VLOOKUP(A190,'High Risk Non-Compliant'!B:K,$H$48,FALSE))</f>
        <v>#REF!</v>
      </c>
      <c r="H190" s="112" t="e">
        <f>IF(G190="N/A","N/A",VLOOKUP(G190,'Crosswalk Detail'!A:B,2,FALSE))</f>
        <v>#REF!</v>
      </c>
    </row>
    <row r="191" spans="1:8" ht="144" customHeight="1" x14ac:dyDescent="0.2">
      <c r="A191" s="113">
        <f>'High Risk Non-Compliant'!B147</f>
        <v>0</v>
      </c>
      <c r="B191" s="302">
        <f>'High Risk Non-Compliant'!C147</f>
        <v>0</v>
      </c>
      <c r="C191" s="302"/>
      <c r="D191" s="301">
        <f>'High Risk Non-Compliant'!D147</f>
        <v>0</v>
      </c>
      <c r="E191" s="301"/>
      <c r="F191" s="301"/>
      <c r="G191" s="112" t="e">
        <f>IF(VLOOKUP(A191,'High Risk Non-Compliant'!B:K,$H$48,FALSE)=0,"N/A",VLOOKUP(A191,'High Risk Non-Compliant'!B:K,$H$48,FALSE))</f>
        <v>#REF!</v>
      </c>
      <c r="H191" s="112" t="e">
        <f>IF(G191="N/A","N/A",VLOOKUP(G191,'Crosswalk Detail'!A:B,2,FALSE))</f>
        <v>#REF!</v>
      </c>
    </row>
    <row r="192" spans="1:8" ht="144" customHeight="1" x14ac:dyDescent="0.2">
      <c r="A192" s="113">
        <f>'High Risk Non-Compliant'!B148</f>
        <v>0</v>
      </c>
      <c r="B192" s="302">
        <f>'High Risk Non-Compliant'!C148</f>
        <v>0</v>
      </c>
      <c r="C192" s="302"/>
      <c r="D192" s="301">
        <f>'High Risk Non-Compliant'!D148</f>
        <v>0</v>
      </c>
      <c r="E192" s="301"/>
      <c r="F192" s="301"/>
      <c r="G192" s="112" t="e">
        <f>IF(VLOOKUP(A192,'High Risk Non-Compliant'!B:K,$H$48,FALSE)=0,"N/A",VLOOKUP(A192,'High Risk Non-Compliant'!B:K,$H$48,FALSE))</f>
        <v>#REF!</v>
      </c>
      <c r="H192" s="112" t="e">
        <f>IF(G192="N/A","N/A",VLOOKUP(G192,'Crosswalk Detail'!A:B,2,FALSE))</f>
        <v>#REF!</v>
      </c>
    </row>
    <row r="193" spans="1:8" ht="144" customHeight="1" x14ac:dyDescent="0.2">
      <c r="A193" s="113">
        <f>'High Risk Non-Compliant'!B149</f>
        <v>0</v>
      </c>
      <c r="B193" s="302">
        <f>'High Risk Non-Compliant'!C149</f>
        <v>0</v>
      </c>
      <c r="C193" s="302"/>
      <c r="D193" s="301">
        <f>'High Risk Non-Compliant'!D149</f>
        <v>0</v>
      </c>
      <c r="E193" s="301"/>
      <c r="F193" s="301"/>
      <c r="G193" s="112" t="e">
        <f>IF(VLOOKUP(A193,'High Risk Non-Compliant'!B:K,$H$48,FALSE)=0,"N/A",VLOOKUP(A193,'High Risk Non-Compliant'!B:K,$H$48,FALSE))</f>
        <v>#REF!</v>
      </c>
      <c r="H193" s="112" t="e">
        <f>IF(G193="N/A","N/A",VLOOKUP(G193,'Crosswalk Detail'!A:B,2,FALSE))</f>
        <v>#REF!</v>
      </c>
    </row>
    <row r="194" spans="1:8" ht="144" customHeight="1" x14ac:dyDescent="0.2">
      <c r="A194" s="113">
        <f>'High Risk Non-Compliant'!B150</f>
        <v>0</v>
      </c>
      <c r="B194" s="302">
        <f>'High Risk Non-Compliant'!C150</f>
        <v>0</v>
      </c>
      <c r="C194" s="302"/>
      <c r="D194" s="301">
        <f>'High Risk Non-Compliant'!D150</f>
        <v>0</v>
      </c>
      <c r="E194" s="301"/>
      <c r="F194" s="301"/>
      <c r="G194" s="112" t="e">
        <f>IF(VLOOKUP(A194,'High Risk Non-Compliant'!B:K,$H$48,FALSE)=0,"N/A",VLOOKUP(A194,'High Risk Non-Compliant'!B:K,$H$48,FALSE))</f>
        <v>#REF!</v>
      </c>
      <c r="H194" s="112" t="e">
        <f>IF(G194="N/A","N/A",VLOOKUP(G194,'Crosswalk Detail'!A:B,2,FALSE))</f>
        <v>#REF!</v>
      </c>
    </row>
    <row r="195" spans="1:8" ht="144" customHeight="1" x14ac:dyDescent="0.2">
      <c r="A195" s="113">
        <f>'High Risk Non-Compliant'!B151</f>
        <v>0</v>
      </c>
      <c r="B195" s="302">
        <f>'High Risk Non-Compliant'!C151</f>
        <v>0</v>
      </c>
      <c r="C195" s="302"/>
      <c r="D195" s="301">
        <f>'High Risk Non-Compliant'!D151</f>
        <v>0</v>
      </c>
      <c r="E195" s="301"/>
      <c r="F195" s="301"/>
      <c r="G195" s="112" t="e">
        <f>IF(VLOOKUP(A195,'High Risk Non-Compliant'!B:K,$H$48,FALSE)=0,"N/A",VLOOKUP(A195,'High Risk Non-Compliant'!B:K,$H$48,FALSE))</f>
        <v>#REF!</v>
      </c>
      <c r="H195" s="112" t="e">
        <f>IF(G195="N/A","N/A",VLOOKUP(G195,'Crosswalk Detail'!A:B,2,FALSE))</f>
        <v>#REF!</v>
      </c>
    </row>
    <row r="196" spans="1:8" ht="144" customHeight="1" x14ac:dyDescent="0.2">
      <c r="A196" s="113">
        <f>'High Risk Non-Compliant'!B152</f>
        <v>0</v>
      </c>
      <c r="B196" s="302">
        <f>'High Risk Non-Compliant'!C152</f>
        <v>0</v>
      </c>
      <c r="C196" s="302"/>
      <c r="D196" s="301">
        <f>'High Risk Non-Compliant'!D152</f>
        <v>0</v>
      </c>
      <c r="E196" s="301"/>
      <c r="F196" s="301"/>
      <c r="G196" s="112" t="e">
        <f>IF(VLOOKUP(A196,'High Risk Non-Compliant'!B:K,$H$48,FALSE)=0,"N/A",VLOOKUP(A196,'High Risk Non-Compliant'!B:K,$H$48,FALSE))</f>
        <v>#REF!</v>
      </c>
      <c r="H196" s="112" t="e">
        <f>IF(G196="N/A","N/A",VLOOKUP(G196,'Crosswalk Detail'!A:B,2,FALSE))</f>
        <v>#REF!</v>
      </c>
    </row>
    <row r="197" spans="1:8" ht="144" customHeight="1" x14ac:dyDescent="0.2">
      <c r="A197" s="113">
        <f>'High Risk Non-Compliant'!B153</f>
        <v>0</v>
      </c>
      <c r="B197" s="302">
        <f>'High Risk Non-Compliant'!C153</f>
        <v>0</v>
      </c>
      <c r="C197" s="302"/>
      <c r="D197" s="301">
        <f>'High Risk Non-Compliant'!D153</f>
        <v>0</v>
      </c>
      <c r="E197" s="301"/>
      <c r="F197" s="301"/>
      <c r="G197" s="112" t="e">
        <f>IF(VLOOKUP(A197,'High Risk Non-Compliant'!B:K,$H$48,FALSE)=0,"N/A",VLOOKUP(A197,'High Risk Non-Compliant'!B:K,$H$48,FALSE))</f>
        <v>#REF!</v>
      </c>
      <c r="H197" s="112" t="e">
        <f>IF(G197="N/A","N/A",VLOOKUP(G197,'Crosswalk Detail'!A:B,2,FALSE))</f>
        <v>#REF!</v>
      </c>
    </row>
    <row r="198" spans="1:8" ht="144" customHeight="1" x14ac:dyDescent="0.2">
      <c r="A198" s="113">
        <f>'High Risk Non-Compliant'!B154</f>
        <v>0</v>
      </c>
      <c r="B198" s="302">
        <f>'High Risk Non-Compliant'!C154</f>
        <v>0</v>
      </c>
      <c r="C198" s="302"/>
      <c r="D198" s="301">
        <f>'High Risk Non-Compliant'!D154</f>
        <v>0</v>
      </c>
      <c r="E198" s="301"/>
      <c r="F198" s="301"/>
      <c r="G198" s="112" t="e">
        <f>IF(VLOOKUP(A198,'High Risk Non-Compliant'!B:K,$H$48,FALSE)=0,"N/A",VLOOKUP(A198,'High Risk Non-Compliant'!B:K,$H$48,FALSE))</f>
        <v>#REF!</v>
      </c>
      <c r="H198" s="112" t="e">
        <f>IF(G198="N/A","N/A",VLOOKUP(G198,'Crosswalk Detail'!A:B,2,FALSE))</f>
        <v>#REF!</v>
      </c>
    </row>
    <row r="199" spans="1:8" ht="144" customHeight="1" x14ac:dyDescent="0.2">
      <c r="A199" s="113">
        <f>'High Risk Non-Compliant'!B155</f>
        <v>0</v>
      </c>
      <c r="B199" s="302">
        <f>'High Risk Non-Compliant'!C155</f>
        <v>0</v>
      </c>
      <c r="C199" s="302"/>
      <c r="D199" s="301">
        <f>'High Risk Non-Compliant'!D155</f>
        <v>0</v>
      </c>
      <c r="E199" s="301"/>
      <c r="F199" s="301"/>
      <c r="G199" s="112" t="e">
        <f>IF(VLOOKUP(A199,'High Risk Non-Compliant'!B:K,$H$48,FALSE)=0,"N/A",VLOOKUP(A199,'High Risk Non-Compliant'!B:K,$H$48,FALSE))</f>
        <v>#REF!</v>
      </c>
      <c r="H199" s="112" t="e">
        <f>IF(G199="N/A","N/A",VLOOKUP(G199,'Crosswalk Detail'!A:B,2,FALSE))</f>
        <v>#REF!</v>
      </c>
    </row>
    <row r="200" spans="1:8" ht="144" customHeight="1" x14ac:dyDescent="0.2">
      <c r="A200" s="113">
        <f>'High Risk Non-Compliant'!B156</f>
        <v>0</v>
      </c>
      <c r="B200" s="302">
        <f>'High Risk Non-Compliant'!C156</f>
        <v>0</v>
      </c>
      <c r="C200" s="302"/>
      <c r="D200" s="301">
        <f>'High Risk Non-Compliant'!D156</f>
        <v>0</v>
      </c>
      <c r="E200" s="301"/>
      <c r="F200" s="301"/>
      <c r="G200" s="112" t="e">
        <f>IF(VLOOKUP(A200,'High Risk Non-Compliant'!B:K,$H$48,FALSE)=0,"N/A",VLOOKUP(A200,'High Risk Non-Compliant'!B:K,$H$48,FALSE))</f>
        <v>#REF!</v>
      </c>
      <c r="H200" s="112" t="e">
        <f>IF(G200="N/A","N/A",VLOOKUP(G200,'Crosswalk Detail'!A:B,2,FALSE))</f>
        <v>#REF!</v>
      </c>
    </row>
    <row r="201" spans="1:8" ht="144" customHeight="1" x14ac:dyDescent="0.2">
      <c r="A201" s="113">
        <f>'High Risk Non-Compliant'!B157</f>
        <v>0</v>
      </c>
      <c r="B201" s="302">
        <f>'High Risk Non-Compliant'!C157</f>
        <v>0</v>
      </c>
      <c r="C201" s="302"/>
      <c r="D201" s="301">
        <f>'High Risk Non-Compliant'!D157</f>
        <v>0</v>
      </c>
      <c r="E201" s="301"/>
      <c r="F201" s="301"/>
      <c r="G201" s="112" t="e">
        <f>IF(VLOOKUP(A201,'High Risk Non-Compliant'!B:K,$H$48,FALSE)=0,"N/A",VLOOKUP(A201,'High Risk Non-Compliant'!B:K,$H$48,FALSE))</f>
        <v>#REF!</v>
      </c>
      <c r="H201" s="112" t="e">
        <f>IF(G201="N/A","N/A",VLOOKUP(G201,'Crosswalk Detail'!A:B,2,FALSE))</f>
        <v>#REF!</v>
      </c>
    </row>
    <row r="202" spans="1:8" ht="144" customHeight="1" x14ac:dyDescent="0.2">
      <c r="A202" s="113">
        <f>'High Risk Non-Compliant'!B158</f>
        <v>0</v>
      </c>
      <c r="B202" s="302">
        <f>'High Risk Non-Compliant'!C158</f>
        <v>0</v>
      </c>
      <c r="C202" s="302"/>
      <c r="D202" s="301">
        <f>'High Risk Non-Compliant'!D158</f>
        <v>0</v>
      </c>
      <c r="E202" s="301"/>
      <c r="F202" s="301"/>
      <c r="G202" s="112" t="e">
        <f>IF(VLOOKUP(A202,'High Risk Non-Compliant'!B:K,$H$48,FALSE)=0,"N/A",VLOOKUP(A202,'High Risk Non-Compliant'!B:K,$H$48,FALSE))</f>
        <v>#REF!</v>
      </c>
      <c r="H202" s="112" t="e">
        <f>IF(G202="N/A","N/A",VLOOKUP(G202,'Crosswalk Detail'!A:B,2,FALSE))</f>
        <v>#REF!</v>
      </c>
    </row>
    <row r="203" spans="1:8" ht="144" customHeight="1" x14ac:dyDescent="0.2">
      <c r="A203" s="113">
        <f>'High Risk Non-Compliant'!B159</f>
        <v>0</v>
      </c>
      <c r="B203" s="302">
        <f>'High Risk Non-Compliant'!C159</f>
        <v>0</v>
      </c>
      <c r="C203" s="302"/>
      <c r="D203" s="301">
        <f>'High Risk Non-Compliant'!D159</f>
        <v>0</v>
      </c>
      <c r="E203" s="301"/>
      <c r="F203" s="301"/>
      <c r="G203" s="112" t="e">
        <f>IF(VLOOKUP(A203,'High Risk Non-Compliant'!B:K,$H$48,FALSE)=0,"N/A",VLOOKUP(A203,'High Risk Non-Compliant'!B:K,$H$48,FALSE))</f>
        <v>#REF!</v>
      </c>
      <c r="H203" s="112" t="e">
        <f>IF(G203="N/A","N/A",VLOOKUP(G203,'Crosswalk Detail'!A:B,2,FALSE))</f>
        <v>#REF!</v>
      </c>
    </row>
    <row r="204" spans="1:8" ht="144" customHeight="1" x14ac:dyDescent="0.2">
      <c r="A204" s="113">
        <f>'High Risk Non-Compliant'!B160</f>
        <v>0</v>
      </c>
      <c r="B204" s="302">
        <f>'High Risk Non-Compliant'!C160</f>
        <v>0</v>
      </c>
      <c r="C204" s="302"/>
      <c r="D204" s="301">
        <f>'High Risk Non-Compliant'!D160</f>
        <v>0</v>
      </c>
      <c r="E204" s="301"/>
      <c r="F204" s="301"/>
      <c r="G204" s="112" t="e">
        <f>IF(VLOOKUP(A204,'High Risk Non-Compliant'!B:K,$H$48,FALSE)=0,"N/A",VLOOKUP(A204,'High Risk Non-Compliant'!B:K,$H$48,FALSE))</f>
        <v>#REF!</v>
      </c>
      <c r="H204" s="112" t="e">
        <f>IF(G204="N/A","N/A",VLOOKUP(G204,'Crosswalk Detail'!A:B,2,FALSE))</f>
        <v>#REF!</v>
      </c>
    </row>
    <row r="205" spans="1:8" ht="144" customHeight="1" x14ac:dyDescent="0.2">
      <c r="A205" s="113">
        <f>'High Risk Non-Compliant'!B161</f>
        <v>0</v>
      </c>
      <c r="B205" s="302">
        <f>'High Risk Non-Compliant'!C161</f>
        <v>0</v>
      </c>
      <c r="C205" s="302"/>
      <c r="D205" s="301">
        <f>'High Risk Non-Compliant'!D161</f>
        <v>0</v>
      </c>
      <c r="E205" s="301"/>
      <c r="F205" s="301"/>
      <c r="G205" s="112" t="e">
        <f>IF(VLOOKUP(A205,'High Risk Non-Compliant'!B:K,$H$48,FALSE)=0,"N/A",VLOOKUP(A205,'High Risk Non-Compliant'!B:K,$H$48,FALSE))</f>
        <v>#REF!</v>
      </c>
      <c r="H205" s="112" t="e">
        <f>IF(G205="N/A","N/A",VLOOKUP(G205,'Crosswalk Detail'!A:B,2,FALSE))</f>
        <v>#REF!</v>
      </c>
    </row>
    <row r="206" spans="1:8" ht="144" customHeight="1" x14ac:dyDescent="0.2">
      <c r="A206" s="113">
        <f>'High Risk Non-Compliant'!B162</f>
        <v>0</v>
      </c>
      <c r="B206" s="302">
        <f>'High Risk Non-Compliant'!C162</f>
        <v>0</v>
      </c>
      <c r="C206" s="302"/>
      <c r="D206" s="301">
        <f>'High Risk Non-Compliant'!D162</f>
        <v>0</v>
      </c>
      <c r="E206" s="301"/>
      <c r="F206" s="301"/>
      <c r="G206" s="112" t="e">
        <f>IF(VLOOKUP(A206,'High Risk Non-Compliant'!B:K,$H$48,FALSE)=0,"N/A",VLOOKUP(A206,'High Risk Non-Compliant'!B:K,$H$48,FALSE))</f>
        <v>#REF!</v>
      </c>
      <c r="H206" s="112" t="e">
        <f>IF(G206="N/A","N/A",VLOOKUP(G206,'Crosswalk Detail'!A:B,2,FALSE))</f>
        <v>#REF!</v>
      </c>
    </row>
    <row r="207" spans="1:8" ht="144" customHeight="1" x14ac:dyDescent="0.2">
      <c r="A207" s="113">
        <f>'High Risk Non-Compliant'!B163</f>
        <v>0</v>
      </c>
      <c r="B207" s="302">
        <f>'High Risk Non-Compliant'!C163</f>
        <v>0</v>
      </c>
      <c r="C207" s="302"/>
      <c r="D207" s="301">
        <f>'High Risk Non-Compliant'!D163</f>
        <v>0</v>
      </c>
      <c r="E207" s="301"/>
      <c r="F207" s="301"/>
      <c r="G207" s="112" t="e">
        <f>IF(VLOOKUP(A207,'High Risk Non-Compliant'!B:K,$H$48,FALSE)=0,"N/A",VLOOKUP(A207,'High Risk Non-Compliant'!B:K,$H$48,FALSE))</f>
        <v>#REF!</v>
      </c>
      <c r="H207" s="112" t="e">
        <f>IF(G207="N/A","N/A",VLOOKUP(G207,'Crosswalk Detail'!A:B,2,FALSE))</f>
        <v>#REF!</v>
      </c>
    </row>
    <row r="208" spans="1:8" ht="144" customHeight="1" x14ac:dyDescent="0.2">
      <c r="A208" s="113">
        <f>'High Risk Non-Compliant'!B164</f>
        <v>0</v>
      </c>
      <c r="B208" s="302">
        <f>'High Risk Non-Compliant'!C164</f>
        <v>0</v>
      </c>
      <c r="C208" s="302"/>
      <c r="D208" s="301">
        <f>'High Risk Non-Compliant'!D164</f>
        <v>0</v>
      </c>
      <c r="E208" s="301"/>
      <c r="F208" s="301"/>
      <c r="G208" s="112" t="e">
        <f>IF(VLOOKUP(A208,'High Risk Non-Compliant'!B:K,$H$48,FALSE)=0,"N/A",VLOOKUP(A208,'High Risk Non-Compliant'!B:K,$H$48,FALSE))</f>
        <v>#REF!</v>
      </c>
      <c r="H208" s="112" t="e">
        <f>IF(G208="N/A","N/A",VLOOKUP(G208,'Crosswalk Detail'!A:B,2,FALSE))</f>
        <v>#REF!</v>
      </c>
    </row>
    <row r="209" spans="1:8" ht="144" customHeight="1" x14ac:dyDescent="0.2">
      <c r="A209" s="113">
        <f>'High Risk Non-Compliant'!B165</f>
        <v>0</v>
      </c>
      <c r="B209" s="302">
        <f>'High Risk Non-Compliant'!C165</f>
        <v>0</v>
      </c>
      <c r="C209" s="302"/>
      <c r="D209" s="301">
        <f>'High Risk Non-Compliant'!D165</f>
        <v>0</v>
      </c>
      <c r="E209" s="301"/>
      <c r="F209" s="301"/>
      <c r="G209" s="112" t="e">
        <f>IF(VLOOKUP(A209,'High Risk Non-Compliant'!B:K,$H$48,FALSE)=0,"N/A",VLOOKUP(A209,'High Risk Non-Compliant'!B:K,$H$48,FALSE))</f>
        <v>#REF!</v>
      </c>
      <c r="H209" s="112" t="e">
        <f>IF(G209="N/A","N/A",VLOOKUP(G209,'Crosswalk Detail'!A:B,2,FALSE))</f>
        <v>#REF!</v>
      </c>
    </row>
    <row r="210" spans="1:8" ht="144" customHeight="1" x14ac:dyDescent="0.2">
      <c r="A210" s="113">
        <f>'High Risk Non-Compliant'!B166</f>
        <v>0</v>
      </c>
      <c r="B210" s="302">
        <f>'High Risk Non-Compliant'!C166</f>
        <v>0</v>
      </c>
      <c r="C210" s="302"/>
      <c r="D210" s="301">
        <f>'High Risk Non-Compliant'!D166</f>
        <v>0</v>
      </c>
      <c r="E210" s="301"/>
      <c r="F210" s="301"/>
      <c r="G210" s="112" t="e">
        <f>IF(VLOOKUP(A210,'High Risk Non-Compliant'!B:K,$H$48,FALSE)=0,"N/A",VLOOKUP(A210,'High Risk Non-Compliant'!B:K,$H$48,FALSE))</f>
        <v>#REF!</v>
      </c>
      <c r="H210" s="112" t="e">
        <f>IF(G210="N/A","N/A",VLOOKUP(G210,'Crosswalk Detail'!A:B,2,FALSE))</f>
        <v>#REF!</v>
      </c>
    </row>
    <row r="211" spans="1:8" ht="144" customHeight="1" x14ac:dyDescent="0.2">
      <c r="A211" s="113">
        <f>'High Risk Non-Compliant'!B167</f>
        <v>0</v>
      </c>
      <c r="B211" s="302">
        <f>'High Risk Non-Compliant'!C167</f>
        <v>0</v>
      </c>
      <c r="C211" s="302"/>
      <c r="D211" s="301">
        <f>'High Risk Non-Compliant'!D167</f>
        <v>0</v>
      </c>
      <c r="E211" s="301"/>
      <c r="F211" s="301"/>
      <c r="G211" s="112" t="e">
        <f>IF(VLOOKUP(A211,'High Risk Non-Compliant'!B:K,$H$48,FALSE)=0,"N/A",VLOOKUP(A211,'High Risk Non-Compliant'!B:K,$H$48,FALSE))</f>
        <v>#REF!</v>
      </c>
      <c r="H211" s="112" t="e">
        <f>IF(G211="N/A","N/A",VLOOKUP(G211,'Crosswalk Detail'!A:B,2,FALSE))</f>
        <v>#REF!</v>
      </c>
    </row>
    <row r="212" spans="1:8" ht="144" customHeight="1" x14ac:dyDescent="0.2">
      <c r="A212" s="113">
        <f>'High Risk Non-Compliant'!B168</f>
        <v>0</v>
      </c>
      <c r="B212" s="302">
        <f>'High Risk Non-Compliant'!C168</f>
        <v>0</v>
      </c>
      <c r="C212" s="302"/>
      <c r="D212" s="301">
        <f>'High Risk Non-Compliant'!D168</f>
        <v>0</v>
      </c>
      <c r="E212" s="301"/>
      <c r="F212" s="301"/>
      <c r="G212" s="112" t="e">
        <f>IF(VLOOKUP(A212,'High Risk Non-Compliant'!B:K,$H$48,FALSE)=0,"N/A",VLOOKUP(A212,'High Risk Non-Compliant'!B:K,$H$48,FALSE))</f>
        <v>#REF!</v>
      </c>
      <c r="H212" s="112" t="e">
        <f>IF(G212="N/A","N/A",VLOOKUP(G212,'Crosswalk Detail'!A:B,2,FALSE))</f>
        <v>#REF!</v>
      </c>
    </row>
    <row r="213" spans="1:8" ht="144" customHeight="1" x14ac:dyDescent="0.2">
      <c r="A213" s="113">
        <f>'High Risk Non-Compliant'!B169</f>
        <v>0</v>
      </c>
      <c r="B213" s="302">
        <f>'High Risk Non-Compliant'!C169</f>
        <v>0</v>
      </c>
      <c r="C213" s="302"/>
      <c r="D213" s="301">
        <f>'High Risk Non-Compliant'!D169</f>
        <v>0</v>
      </c>
      <c r="E213" s="301"/>
      <c r="F213" s="301"/>
      <c r="G213" s="112" t="e">
        <f>IF(VLOOKUP(A213,'High Risk Non-Compliant'!B:K,$H$48,FALSE)=0,"N/A",VLOOKUP(A213,'High Risk Non-Compliant'!B:K,$H$48,FALSE))</f>
        <v>#REF!</v>
      </c>
      <c r="H213" s="112" t="e">
        <f>IF(G213="N/A","N/A",VLOOKUP(G213,'Crosswalk Detail'!A:B,2,FALSE))</f>
        <v>#REF!</v>
      </c>
    </row>
    <row r="214" spans="1:8" ht="144" customHeight="1" x14ac:dyDescent="0.2">
      <c r="A214" s="113">
        <f>'High Risk Non-Compliant'!B170</f>
        <v>0</v>
      </c>
      <c r="B214" s="302">
        <f>'High Risk Non-Compliant'!C170</f>
        <v>0</v>
      </c>
      <c r="C214" s="302"/>
      <c r="D214" s="301">
        <f>'High Risk Non-Compliant'!D170</f>
        <v>0</v>
      </c>
      <c r="E214" s="301"/>
      <c r="F214" s="301"/>
      <c r="G214" s="112" t="e">
        <f>IF(VLOOKUP(A214,'High Risk Non-Compliant'!B:K,$H$48,FALSE)=0,"N/A",VLOOKUP(A214,'High Risk Non-Compliant'!B:K,$H$48,FALSE))</f>
        <v>#REF!</v>
      </c>
      <c r="H214" s="112" t="e">
        <f>IF(G214="N/A","N/A",VLOOKUP(G214,'Crosswalk Detail'!A:B,2,FALSE))</f>
        <v>#REF!</v>
      </c>
    </row>
    <row r="215" spans="1:8" ht="144" customHeight="1" x14ac:dyDescent="0.2">
      <c r="A215" s="113">
        <f>'High Risk Non-Compliant'!B171</f>
        <v>0</v>
      </c>
      <c r="B215" s="302">
        <f>'High Risk Non-Compliant'!C171</f>
        <v>0</v>
      </c>
      <c r="C215" s="302"/>
      <c r="D215" s="301">
        <f>'High Risk Non-Compliant'!D171</f>
        <v>0</v>
      </c>
      <c r="E215" s="301"/>
      <c r="F215" s="301"/>
      <c r="G215" s="112" t="e">
        <f>IF(VLOOKUP(A215,'High Risk Non-Compliant'!B:K,$H$48,FALSE)=0,"N/A",VLOOKUP(A215,'High Risk Non-Compliant'!B:K,$H$48,FALSE))</f>
        <v>#REF!</v>
      </c>
      <c r="H215" s="112" t="e">
        <f>IF(G215="N/A","N/A",VLOOKUP(G215,'Crosswalk Detail'!A:B,2,FALSE))</f>
        <v>#REF!</v>
      </c>
    </row>
    <row r="216" spans="1:8" ht="144" customHeight="1" x14ac:dyDescent="0.2">
      <c r="A216" s="113">
        <f>'High Risk Non-Compliant'!B172</f>
        <v>0</v>
      </c>
      <c r="B216" s="302">
        <f>'High Risk Non-Compliant'!C172</f>
        <v>0</v>
      </c>
      <c r="C216" s="302"/>
      <c r="D216" s="301">
        <f>'High Risk Non-Compliant'!D172</f>
        <v>0</v>
      </c>
      <c r="E216" s="301"/>
      <c r="F216" s="301"/>
      <c r="G216" s="112" t="e">
        <f>IF(VLOOKUP(A216,'High Risk Non-Compliant'!B:K,$H$48,FALSE)=0,"N/A",VLOOKUP(A216,'High Risk Non-Compliant'!B:K,$H$48,FALSE))</f>
        <v>#REF!</v>
      </c>
      <c r="H216" s="112" t="e">
        <f>IF(G216="N/A","N/A",VLOOKUP(G216,'Crosswalk Detail'!A:B,2,FALSE))</f>
        <v>#REF!</v>
      </c>
    </row>
    <row r="217" spans="1:8" ht="144" customHeight="1" x14ac:dyDescent="0.2">
      <c r="A217" s="114">
        <f>'High Risk Non-Compliant'!B173</f>
        <v>0</v>
      </c>
      <c r="B217" s="301">
        <f>'High Risk Non-Compliant'!C173</f>
        <v>0</v>
      </c>
      <c r="C217" s="301"/>
      <c r="D217" s="301">
        <f>'High Risk Non-Compliant'!D173</f>
        <v>0</v>
      </c>
      <c r="E217" s="301"/>
      <c r="F217" s="301"/>
      <c r="G217" s="112" t="e">
        <f>IF(VLOOKUP(A217,'High Risk Non-Compliant'!B:K,$H$48,FALSE)=0,"N/A",VLOOKUP(A217,'High Risk Non-Compliant'!B:K,$H$48,FALSE))</f>
        <v>#REF!</v>
      </c>
      <c r="H217" s="112" t="e">
        <f>IF(G217="N/A","N/A",VLOOKUP(G217,'Crosswalk Detail'!A:B,2,FALSE))</f>
        <v>#REF!</v>
      </c>
    </row>
    <row r="218" spans="1:8" ht="144" customHeight="1" x14ac:dyDescent="0.2">
      <c r="A218" s="114">
        <f>'High Risk Non-Compliant'!B174</f>
        <v>0</v>
      </c>
      <c r="B218" s="301">
        <f>'High Risk Non-Compliant'!C174</f>
        <v>0</v>
      </c>
      <c r="C218" s="301"/>
      <c r="D218" s="301">
        <f>'High Risk Non-Compliant'!D174</f>
        <v>0</v>
      </c>
      <c r="E218" s="301"/>
      <c r="F218" s="301"/>
      <c r="G218" s="112" t="e">
        <f>IF(VLOOKUP(A218,'High Risk Non-Compliant'!B:K,$H$48,FALSE)=0,"N/A",VLOOKUP(A218,'High Risk Non-Compliant'!B:K,$H$48,FALSE))</f>
        <v>#REF!</v>
      </c>
      <c r="H218" s="112" t="e">
        <f>IF(G218="N/A","N/A",VLOOKUP(G218,'Crosswalk Detail'!A:B,2,FALSE))</f>
        <v>#REF!</v>
      </c>
    </row>
    <row r="219" spans="1:8" ht="144" customHeight="1" x14ac:dyDescent="0.2">
      <c r="A219" s="114">
        <f>'High Risk Non-Compliant'!B175</f>
        <v>0</v>
      </c>
      <c r="B219" s="301">
        <f>'High Risk Non-Compliant'!C175</f>
        <v>0</v>
      </c>
      <c r="C219" s="301"/>
      <c r="D219" s="301">
        <f>'High Risk Non-Compliant'!D175</f>
        <v>0</v>
      </c>
      <c r="E219" s="301"/>
      <c r="F219" s="301"/>
      <c r="G219" s="112" t="e">
        <f>IF(VLOOKUP(A219,'High Risk Non-Compliant'!B:K,$H$48,FALSE)=0,"N/A",VLOOKUP(A219,'High Risk Non-Compliant'!B:K,$H$48,FALSE))</f>
        <v>#REF!</v>
      </c>
      <c r="H219" s="112" t="e">
        <f>IF(G219="N/A","N/A",VLOOKUP(G219,'Crosswalk Detail'!A:B,2,FALSE))</f>
        <v>#REF!</v>
      </c>
    </row>
    <row r="220" spans="1:8" ht="144" customHeight="1" x14ac:dyDescent="0.2">
      <c r="A220" s="114">
        <f>'High Risk Non-Compliant'!B176</f>
        <v>0</v>
      </c>
      <c r="B220" s="301">
        <f>'High Risk Non-Compliant'!C176</f>
        <v>0</v>
      </c>
      <c r="C220" s="301"/>
      <c r="D220" s="301">
        <f>'High Risk Non-Compliant'!D176</f>
        <v>0</v>
      </c>
      <c r="E220" s="301"/>
      <c r="F220" s="301"/>
      <c r="G220" s="112" t="e">
        <f>VLOOKUP(A220,'High Risk Non-Compliant'!B:K,$H$48,FALSE)</f>
        <v>#REF!</v>
      </c>
      <c r="H220" s="112" t="e">
        <f>VLOOKUP(G220,'Crosswalk Detail'!A:B,2,FALSE)</f>
        <v>#REF!</v>
      </c>
    </row>
    <row r="221" spans="1:8" ht="144" customHeight="1" x14ac:dyDescent="0.2">
      <c r="A221" s="114">
        <f>'High Risk Non-Compliant'!B177</f>
        <v>0</v>
      </c>
      <c r="B221" s="301">
        <f>'High Risk Non-Compliant'!C177</f>
        <v>0</v>
      </c>
      <c r="C221" s="301"/>
      <c r="D221" s="301">
        <f>'High Risk Non-Compliant'!D177</f>
        <v>0</v>
      </c>
      <c r="E221" s="301"/>
      <c r="F221" s="301"/>
      <c r="G221" s="112" t="e">
        <f>VLOOKUP(A221,'High Risk Non-Compliant'!B:K,$H$48,FALSE)</f>
        <v>#REF!</v>
      </c>
      <c r="H221" s="112" t="e">
        <f>VLOOKUP(G221,'Crosswalk Detail'!A:B,2,FALSE)</f>
        <v>#REF!</v>
      </c>
    </row>
    <row r="222" spans="1:8" ht="144" customHeight="1" x14ac:dyDescent="0.2">
      <c r="A222" s="114">
        <f>'High Risk Non-Compliant'!B178</f>
        <v>0</v>
      </c>
      <c r="B222" s="301">
        <f>'High Risk Non-Compliant'!C178</f>
        <v>0</v>
      </c>
      <c r="C222" s="301"/>
      <c r="D222" s="301">
        <f>'High Risk Non-Compliant'!D178</f>
        <v>0</v>
      </c>
      <c r="E222" s="301"/>
      <c r="F222" s="301"/>
      <c r="G222" s="112" t="e">
        <f>VLOOKUP(A222,'High Risk Non-Compliant'!B:K,$H$48,FALSE)</f>
        <v>#REF!</v>
      </c>
      <c r="H222" s="112" t="e">
        <f>VLOOKUP(G222,'Crosswalk Detail'!A:B,2,FALSE)</f>
        <v>#REF!</v>
      </c>
    </row>
    <row r="223" spans="1:8" ht="144" customHeight="1" x14ac:dyDescent="0.2">
      <c r="A223" s="114">
        <f>'High Risk Non-Compliant'!B179</f>
        <v>0</v>
      </c>
      <c r="B223" s="301">
        <f>'High Risk Non-Compliant'!C179</f>
        <v>0</v>
      </c>
      <c r="C223" s="301"/>
      <c r="D223" s="301">
        <f>'High Risk Non-Compliant'!D179</f>
        <v>0</v>
      </c>
      <c r="E223" s="301"/>
      <c r="F223" s="301"/>
      <c r="G223" s="112" t="e">
        <f>VLOOKUP(A223,'High Risk Non-Compliant'!B:K,$H$48,FALSE)</f>
        <v>#REF!</v>
      </c>
      <c r="H223" s="112" t="e">
        <f>VLOOKUP(G223,'Crosswalk Detail'!A:B,2,FALSE)</f>
        <v>#REF!</v>
      </c>
    </row>
    <row r="224" spans="1:8" ht="144" customHeight="1" x14ac:dyDescent="0.2">
      <c r="A224" s="114">
        <f>'High Risk Non-Compliant'!B180</f>
        <v>0</v>
      </c>
      <c r="B224" s="301">
        <f>'High Risk Non-Compliant'!C180</f>
        <v>0</v>
      </c>
      <c r="C224" s="301"/>
      <c r="D224" s="301">
        <f>'High Risk Non-Compliant'!D180</f>
        <v>0</v>
      </c>
      <c r="E224" s="301"/>
      <c r="F224" s="301"/>
      <c r="G224" s="112" t="e">
        <f>VLOOKUP(A224,'High Risk Non-Compliant'!B:K,$H$48,FALSE)</f>
        <v>#REF!</v>
      </c>
      <c r="H224" s="112" t="e">
        <f>VLOOKUP(G224,'Crosswalk Detail'!A:B,2,FALSE)</f>
        <v>#REF!</v>
      </c>
    </row>
    <row r="225" spans="1:8" ht="144" customHeight="1" x14ac:dyDescent="0.2">
      <c r="A225" s="114">
        <f>'High Risk Non-Compliant'!B181</f>
        <v>0</v>
      </c>
      <c r="B225" s="301">
        <f>'High Risk Non-Compliant'!C181</f>
        <v>0</v>
      </c>
      <c r="C225" s="301"/>
      <c r="D225" s="301">
        <f>'High Risk Non-Compliant'!D181</f>
        <v>0</v>
      </c>
      <c r="E225" s="301"/>
      <c r="F225" s="301"/>
      <c r="G225" s="112" t="e">
        <f>VLOOKUP(A225,'High Risk Non-Compliant'!B:K,$H$48,FALSE)</f>
        <v>#REF!</v>
      </c>
      <c r="H225" s="112" t="e">
        <f>VLOOKUP(G225,'Crosswalk Detail'!A:B,2,FALSE)</f>
        <v>#REF!</v>
      </c>
    </row>
    <row r="226" spans="1:8" x14ac:dyDescent="0.2">
      <c r="A226" s="115">
        <f>'High Risk Non-Compliant'!B182</f>
        <v>0</v>
      </c>
      <c r="B226" s="298">
        <f>'High Risk Non-Compliant'!C182</f>
        <v>0</v>
      </c>
      <c r="C226" s="298"/>
      <c r="D226" s="298">
        <f>'High Risk Non-Compliant'!D182</f>
        <v>0</v>
      </c>
      <c r="E226" s="298"/>
      <c r="F226" s="298"/>
      <c r="G226" s="112"/>
      <c r="H226" s="112"/>
    </row>
    <row r="227" spans="1:8" ht="29.25" customHeight="1" x14ac:dyDescent="0.2">
      <c r="A227" s="115">
        <f>'High Risk Non-Compliant'!B183</f>
        <v>0</v>
      </c>
      <c r="B227" s="298">
        <f>'High Risk Non-Compliant'!C183</f>
        <v>0</v>
      </c>
      <c r="C227" s="298"/>
      <c r="D227" s="298">
        <f>'High Risk Non-Compliant'!D183</f>
        <v>0</v>
      </c>
      <c r="E227" s="298"/>
      <c r="F227" s="298"/>
      <c r="G227" s="112"/>
      <c r="H227" s="112"/>
    </row>
    <row r="228" spans="1:8" ht="29.25" customHeight="1" x14ac:dyDescent="0.2">
      <c r="A228" s="115">
        <f>'High Risk Non-Compliant'!B184</f>
        <v>0</v>
      </c>
      <c r="B228" s="298">
        <f>'High Risk Non-Compliant'!C184</f>
        <v>0</v>
      </c>
      <c r="C228" s="298"/>
      <c r="D228" s="298">
        <f>'High Risk Non-Compliant'!D184</f>
        <v>0</v>
      </c>
      <c r="E228" s="298"/>
      <c r="F228" s="298"/>
      <c r="G228" s="112"/>
      <c r="H228" s="112"/>
    </row>
    <row r="229" spans="1:8" x14ac:dyDescent="0.2">
      <c r="A229" s="115">
        <f>'High Risk Non-Compliant'!B185</f>
        <v>0</v>
      </c>
      <c r="B229" s="298">
        <f>'High Risk Non-Compliant'!C185</f>
        <v>0</v>
      </c>
      <c r="C229" s="298"/>
      <c r="D229" s="298">
        <f>'High Risk Non-Compliant'!D185</f>
        <v>0</v>
      </c>
      <c r="E229" s="298"/>
      <c r="F229" s="298"/>
      <c r="G229" s="112"/>
      <c r="H229" s="112"/>
    </row>
    <row r="230" spans="1:8" ht="29.25" customHeight="1" x14ac:dyDescent="0.2">
      <c r="A230" s="115">
        <f>'High Risk Non-Compliant'!B186</f>
        <v>0</v>
      </c>
      <c r="B230" s="298">
        <f>'High Risk Non-Compliant'!C186</f>
        <v>0</v>
      </c>
      <c r="C230" s="298"/>
      <c r="D230" s="298">
        <f>'High Risk Non-Compliant'!D186</f>
        <v>0</v>
      </c>
      <c r="E230" s="298"/>
      <c r="F230" s="298"/>
      <c r="G230" s="112"/>
      <c r="H230" s="112"/>
    </row>
    <row r="231" spans="1:8" ht="29.25" customHeight="1" x14ac:dyDescent="0.2">
      <c r="A231" s="115">
        <f>'High Risk Non-Compliant'!B187</f>
        <v>0</v>
      </c>
      <c r="B231" s="298">
        <f>'High Risk Non-Compliant'!C187</f>
        <v>0</v>
      </c>
      <c r="C231" s="298"/>
      <c r="D231" s="298">
        <f>'High Risk Non-Compliant'!D187</f>
        <v>0</v>
      </c>
      <c r="E231" s="298"/>
      <c r="F231" s="298"/>
      <c r="G231" s="112"/>
      <c r="H231" s="112"/>
    </row>
    <row r="232" spans="1:8" ht="44" customHeight="1" x14ac:dyDescent="0.2">
      <c r="A232" s="115">
        <f>'High Risk Non-Compliant'!B188</f>
        <v>0</v>
      </c>
      <c r="B232" s="298">
        <f>'High Risk Non-Compliant'!C188</f>
        <v>0</v>
      </c>
      <c r="C232" s="298"/>
      <c r="D232" s="298">
        <f>'High Risk Non-Compliant'!D188</f>
        <v>0</v>
      </c>
      <c r="E232" s="298"/>
      <c r="F232" s="298"/>
      <c r="G232" s="112"/>
      <c r="H232" s="112"/>
    </row>
    <row r="233" spans="1:8" x14ac:dyDescent="0.2">
      <c r="A233" s="115">
        <f>'High Risk Non-Compliant'!B189</f>
        <v>0</v>
      </c>
      <c r="B233" s="298">
        <f>'High Risk Non-Compliant'!C189</f>
        <v>0</v>
      </c>
      <c r="C233" s="298"/>
      <c r="D233" s="298">
        <f>'High Risk Non-Compliant'!D189</f>
        <v>0</v>
      </c>
      <c r="E233" s="298"/>
      <c r="F233" s="298"/>
      <c r="G233" s="112"/>
      <c r="H233" s="112"/>
    </row>
    <row r="234" spans="1:8" x14ac:dyDescent="0.2">
      <c r="A234" s="115">
        <f>'High Risk Non-Compliant'!B190</f>
        <v>0</v>
      </c>
      <c r="B234" s="298">
        <f>'High Risk Non-Compliant'!C190</f>
        <v>0</v>
      </c>
      <c r="C234" s="298"/>
      <c r="D234" s="298">
        <f>'High Risk Non-Compliant'!D190</f>
        <v>0</v>
      </c>
      <c r="E234" s="298"/>
      <c r="F234" s="298"/>
      <c r="G234" s="112"/>
      <c r="H234" s="112"/>
    </row>
    <row r="235" spans="1:8" x14ac:dyDescent="0.2">
      <c r="A235" s="115">
        <f>'High Risk Non-Compliant'!B191</f>
        <v>0</v>
      </c>
      <c r="B235" s="298">
        <f>'High Risk Non-Compliant'!C191</f>
        <v>0</v>
      </c>
      <c r="C235" s="298"/>
      <c r="D235" s="298">
        <f>'High Risk Non-Compliant'!D191</f>
        <v>0</v>
      </c>
      <c r="E235" s="298"/>
      <c r="F235" s="298"/>
      <c r="G235" s="112"/>
      <c r="H235" s="112"/>
    </row>
    <row r="236" spans="1:8" x14ac:dyDescent="0.2">
      <c r="A236" s="115">
        <f>'High Risk Non-Compliant'!B192</f>
        <v>0</v>
      </c>
      <c r="B236" s="298">
        <f>'High Risk Non-Compliant'!C192</f>
        <v>0</v>
      </c>
      <c r="C236" s="298"/>
      <c r="D236" s="298">
        <f>'High Risk Non-Compliant'!D192</f>
        <v>0</v>
      </c>
      <c r="E236" s="298"/>
      <c r="F236" s="298"/>
      <c r="G236" s="112"/>
      <c r="H236" s="112"/>
    </row>
    <row r="237" spans="1:8" x14ac:dyDescent="0.2">
      <c r="A237" s="115">
        <f>'High Risk Non-Compliant'!B193</f>
        <v>0</v>
      </c>
      <c r="B237" s="298">
        <f>'High Risk Non-Compliant'!C193</f>
        <v>0</v>
      </c>
      <c r="C237" s="298"/>
      <c r="D237" s="298">
        <f>'High Risk Non-Compliant'!D193</f>
        <v>0</v>
      </c>
      <c r="E237" s="298"/>
      <c r="F237" s="298"/>
      <c r="G237" s="112"/>
      <c r="H237" s="112"/>
    </row>
    <row r="238" spans="1:8" x14ac:dyDescent="0.2">
      <c r="A238" s="115">
        <f>'High Risk Non-Compliant'!B194</f>
        <v>0</v>
      </c>
      <c r="B238" s="298">
        <f>'High Risk Non-Compliant'!C194</f>
        <v>0</v>
      </c>
      <c r="C238" s="298"/>
      <c r="D238" s="298">
        <f>'High Risk Non-Compliant'!D194</f>
        <v>0</v>
      </c>
      <c r="E238" s="298"/>
      <c r="F238" s="298"/>
      <c r="G238" s="112"/>
      <c r="H238" s="112"/>
    </row>
    <row r="239" spans="1:8" x14ac:dyDescent="0.2">
      <c r="A239" s="115">
        <f>'High Risk Non-Compliant'!B195</f>
        <v>0</v>
      </c>
      <c r="B239" s="298">
        <f>'High Risk Non-Compliant'!C195</f>
        <v>0</v>
      </c>
      <c r="C239" s="298"/>
      <c r="D239" s="298">
        <f>'High Risk Non-Compliant'!D195</f>
        <v>0</v>
      </c>
      <c r="E239" s="298"/>
      <c r="F239" s="298"/>
      <c r="G239" s="112"/>
      <c r="H239" s="112"/>
    </row>
    <row r="240" spans="1:8" x14ac:dyDescent="0.2">
      <c r="A240" s="115">
        <f>'High Risk Non-Compliant'!B196</f>
        <v>0</v>
      </c>
      <c r="B240" s="298">
        <f>'High Risk Non-Compliant'!C196</f>
        <v>0</v>
      </c>
      <c r="C240" s="298"/>
      <c r="D240" s="298">
        <f>'High Risk Non-Compliant'!D196</f>
        <v>0</v>
      </c>
      <c r="E240" s="298"/>
      <c r="F240" s="298"/>
      <c r="G240" s="112"/>
      <c r="H240" s="112"/>
    </row>
    <row r="241" spans="1:8" x14ac:dyDescent="0.2">
      <c r="A241" s="115">
        <f>'High Risk Non-Compliant'!B197</f>
        <v>0</v>
      </c>
      <c r="B241" s="298">
        <f>'High Risk Non-Compliant'!C197</f>
        <v>0</v>
      </c>
      <c r="C241" s="298"/>
      <c r="D241" s="298">
        <f>'High Risk Non-Compliant'!D197</f>
        <v>0</v>
      </c>
      <c r="E241" s="298"/>
      <c r="F241" s="298"/>
      <c r="G241" s="112"/>
      <c r="H241" s="112"/>
    </row>
    <row r="242" spans="1:8" x14ac:dyDescent="0.2">
      <c r="A242" s="115">
        <f>'High Risk Non-Compliant'!B198</f>
        <v>0</v>
      </c>
      <c r="B242" s="298">
        <f>'High Risk Non-Compliant'!C198</f>
        <v>0</v>
      </c>
      <c r="C242" s="298"/>
      <c r="D242" s="298">
        <f>'High Risk Non-Compliant'!D198</f>
        <v>0</v>
      </c>
      <c r="E242" s="298"/>
      <c r="F242" s="298"/>
      <c r="G242" s="112"/>
      <c r="H242" s="112"/>
    </row>
    <row r="243" spans="1:8" ht="29.25" customHeight="1" x14ac:dyDescent="0.2">
      <c r="A243" s="115">
        <f>'High Risk Non-Compliant'!B199</f>
        <v>0</v>
      </c>
      <c r="B243" s="298">
        <f>'High Risk Non-Compliant'!C199</f>
        <v>0</v>
      </c>
      <c r="C243" s="298"/>
      <c r="D243" s="298">
        <f>'High Risk Non-Compliant'!D199</f>
        <v>0</v>
      </c>
      <c r="E243" s="298"/>
      <c r="F243" s="298"/>
      <c r="G243" s="112"/>
      <c r="H243" s="112"/>
    </row>
    <row r="244" spans="1:8" ht="29.25" customHeight="1" x14ac:dyDescent="0.2">
      <c r="A244" s="115">
        <f>'High Risk Non-Compliant'!B200</f>
        <v>0</v>
      </c>
      <c r="B244" s="298">
        <f>'High Risk Non-Compliant'!C200</f>
        <v>0</v>
      </c>
      <c r="C244" s="298"/>
      <c r="D244" s="298">
        <f>'High Risk Non-Compliant'!D200</f>
        <v>0</v>
      </c>
      <c r="E244" s="298"/>
      <c r="F244" s="298"/>
      <c r="G244" s="112"/>
      <c r="H244" s="112"/>
    </row>
    <row r="245" spans="1:8" ht="58.5" customHeight="1" x14ac:dyDescent="0.2">
      <c r="A245" s="115">
        <f>'High Risk Non-Compliant'!B201</f>
        <v>0</v>
      </c>
      <c r="B245" s="298">
        <f>'High Risk Non-Compliant'!C201</f>
        <v>0</v>
      </c>
      <c r="C245" s="298"/>
      <c r="D245" s="298">
        <f>'High Risk Non-Compliant'!D201</f>
        <v>0</v>
      </c>
      <c r="E245" s="298"/>
      <c r="F245" s="298"/>
      <c r="G245" s="112"/>
      <c r="H245" s="112"/>
    </row>
    <row r="246" spans="1:8" ht="44" customHeight="1" x14ac:dyDescent="0.2">
      <c r="A246" s="115">
        <f>'High Risk Non-Compliant'!B202</f>
        <v>0</v>
      </c>
      <c r="B246" s="298">
        <f>'High Risk Non-Compliant'!C202</f>
        <v>0</v>
      </c>
      <c r="C246" s="298"/>
      <c r="D246" s="298">
        <f>'High Risk Non-Compliant'!D202</f>
        <v>0</v>
      </c>
      <c r="E246" s="298"/>
      <c r="F246" s="298"/>
      <c r="G246" s="112"/>
      <c r="H246" s="112"/>
    </row>
    <row r="247" spans="1:8" ht="29.25" customHeight="1" x14ac:dyDescent="0.2">
      <c r="A247" s="115">
        <f>'High Risk Non-Compliant'!B203</f>
        <v>0</v>
      </c>
      <c r="B247" s="298">
        <f>'High Risk Non-Compliant'!C203</f>
        <v>0</v>
      </c>
      <c r="C247" s="298"/>
      <c r="D247" s="298">
        <f>'High Risk Non-Compliant'!D203</f>
        <v>0</v>
      </c>
      <c r="E247" s="298"/>
      <c r="F247" s="298"/>
      <c r="G247" s="112"/>
      <c r="H247" s="112"/>
    </row>
    <row r="248" spans="1:8" ht="44" customHeight="1" x14ac:dyDescent="0.2">
      <c r="A248" s="115">
        <f>'High Risk Non-Compliant'!B204</f>
        <v>0</v>
      </c>
      <c r="B248" s="298">
        <f>'High Risk Non-Compliant'!C204</f>
        <v>0</v>
      </c>
      <c r="C248" s="298"/>
      <c r="D248" s="298">
        <f>'High Risk Non-Compliant'!D204</f>
        <v>0</v>
      </c>
      <c r="E248" s="298"/>
      <c r="F248" s="298"/>
      <c r="G248" s="112"/>
      <c r="H248" s="112"/>
    </row>
    <row r="249" spans="1:8" ht="29.25" customHeight="1" x14ac:dyDescent="0.2">
      <c r="A249" s="115">
        <f>'High Risk Non-Compliant'!B205</f>
        <v>0</v>
      </c>
      <c r="B249" s="298">
        <f>'High Risk Non-Compliant'!C205</f>
        <v>0</v>
      </c>
      <c r="C249" s="298"/>
      <c r="D249" s="298">
        <f>'High Risk Non-Compliant'!D205</f>
        <v>0</v>
      </c>
      <c r="E249" s="298"/>
      <c r="F249" s="298"/>
      <c r="G249" s="112"/>
      <c r="H249" s="112"/>
    </row>
    <row r="250" spans="1:8" ht="175.5" customHeight="1" x14ac:dyDescent="0.2">
      <c r="A250" s="115">
        <f>'High Risk Non-Compliant'!B206</f>
        <v>0</v>
      </c>
      <c r="B250" s="298">
        <f>'High Risk Non-Compliant'!C206</f>
        <v>0</v>
      </c>
      <c r="C250" s="298"/>
      <c r="D250" s="298">
        <f>'High Risk Non-Compliant'!D206</f>
        <v>0</v>
      </c>
      <c r="E250" s="298"/>
      <c r="F250" s="298"/>
      <c r="G250" s="112"/>
      <c r="H250" s="112"/>
    </row>
    <row r="251" spans="1:8" ht="73.25" customHeight="1" x14ac:dyDescent="0.2">
      <c r="A251" s="115">
        <f>'High Risk Non-Compliant'!B207</f>
        <v>0</v>
      </c>
      <c r="B251" s="298">
        <f>'High Risk Non-Compliant'!C207</f>
        <v>0</v>
      </c>
      <c r="C251" s="298"/>
      <c r="D251" s="298">
        <f>'High Risk Non-Compliant'!D207</f>
        <v>0</v>
      </c>
      <c r="E251" s="298"/>
      <c r="F251" s="298"/>
      <c r="G251" s="112"/>
      <c r="H251" s="112"/>
    </row>
    <row r="252" spans="1:8" ht="87.75" customHeight="1" x14ac:dyDescent="0.2">
      <c r="A252" s="115">
        <f>'High Risk Non-Compliant'!B208</f>
        <v>0</v>
      </c>
      <c r="B252" s="298">
        <f>'High Risk Non-Compliant'!C208</f>
        <v>0</v>
      </c>
      <c r="C252" s="298"/>
      <c r="D252" s="298">
        <f>'High Risk Non-Compliant'!D208</f>
        <v>0</v>
      </c>
      <c r="E252" s="298"/>
      <c r="F252" s="298"/>
      <c r="G252" s="112"/>
      <c r="H252" s="112"/>
    </row>
    <row r="253" spans="1:8" x14ac:dyDescent="0.2">
      <c r="A253" s="115">
        <f>'High Risk Non-Compliant'!B209</f>
        <v>0</v>
      </c>
      <c r="B253" s="298">
        <f>'High Risk Non-Compliant'!C209</f>
        <v>0</v>
      </c>
      <c r="C253" s="298"/>
      <c r="D253" s="298">
        <f>'High Risk Non-Compliant'!D209</f>
        <v>0</v>
      </c>
      <c r="E253" s="298"/>
      <c r="F253" s="298"/>
      <c r="G253" s="112"/>
      <c r="H253" s="112"/>
    </row>
    <row r="254" spans="1:8" ht="29.25" customHeight="1" x14ac:dyDescent="0.2">
      <c r="A254" s="115">
        <f>'High Risk Non-Compliant'!B210</f>
        <v>0</v>
      </c>
      <c r="B254" s="298">
        <f>'High Risk Non-Compliant'!C210</f>
        <v>0</v>
      </c>
      <c r="C254" s="298"/>
      <c r="D254" s="298">
        <f>'High Risk Non-Compliant'!D210</f>
        <v>0</v>
      </c>
      <c r="E254" s="298"/>
      <c r="F254" s="298"/>
      <c r="G254" s="112"/>
      <c r="H254" s="112"/>
    </row>
    <row r="255" spans="1:8" x14ac:dyDescent="0.2">
      <c r="A255" s="115">
        <f>'High Risk Non-Compliant'!B211</f>
        <v>0</v>
      </c>
      <c r="B255" s="298">
        <f>'High Risk Non-Compliant'!C211</f>
        <v>0</v>
      </c>
      <c r="C255" s="298"/>
      <c r="D255" s="298">
        <f>'High Risk Non-Compliant'!D211</f>
        <v>0</v>
      </c>
      <c r="E255" s="298"/>
      <c r="F255" s="298"/>
      <c r="G255" s="112"/>
      <c r="H255" s="112"/>
    </row>
    <row r="256" spans="1:8" x14ac:dyDescent="0.2">
      <c r="A256" s="115">
        <f>'High Risk Non-Compliant'!B212</f>
        <v>0</v>
      </c>
      <c r="B256" s="298">
        <f>'High Risk Non-Compliant'!C212</f>
        <v>0</v>
      </c>
      <c r="C256" s="298"/>
      <c r="D256" s="298">
        <f>'High Risk Non-Compliant'!D212</f>
        <v>0</v>
      </c>
      <c r="E256" s="298"/>
      <c r="F256" s="298"/>
      <c r="G256" s="112"/>
      <c r="H256" s="112"/>
    </row>
    <row r="257" spans="1:8" x14ac:dyDescent="0.2">
      <c r="A257" s="115">
        <f>'High Risk Non-Compliant'!B213</f>
        <v>0</v>
      </c>
      <c r="B257" s="298">
        <f>'High Risk Non-Compliant'!C213</f>
        <v>0</v>
      </c>
      <c r="C257" s="298"/>
      <c r="D257" s="298">
        <f>'High Risk Non-Compliant'!D213</f>
        <v>0</v>
      </c>
      <c r="E257" s="298"/>
      <c r="F257" s="298"/>
      <c r="G257" s="112"/>
      <c r="H257" s="112"/>
    </row>
    <row r="258" spans="1:8" x14ac:dyDescent="0.2">
      <c r="A258" s="115">
        <f>'High Risk Non-Compliant'!B214</f>
        <v>0</v>
      </c>
      <c r="B258" s="298">
        <f>'High Risk Non-Compliant'!C214</f>
        <v>0</v>
      </c>
      <c r="C258" s="298"/>
      <c r="D258" s="298">
        <f>'High Risk Non-Compliant'!D214</f>
        <v>0</v>
      </c>
      <c r="E258" s="298"/>
      <c r="F258" s="298"/>
      <c r="G258" s="112"/>
      <c r="H258" s="112"/>
    </row>
    <row r="259" spans="1:8" x14ac:dyDescent="0.2">
      <c r="A259" s="115">
        <f>'High Risk Non-Compliant'!B215</f>
        <v>0</v>
      </c>
      <c r="B259" s="298">
        <f>'High Risk Non-Compliant'!C215</f>
        <v>0</v>
      </c>
      <c r="C259" s="298"/>
      <c r="D259" s="298">
        <f>'High Risk Non-Compliant'!D215</f>
        <v>0</v>
      </c>
      <c r="E259" s="298"/>
      <c r="F259" s="298"/>
      <c r="G259" s="112"/>
      <c r="H259" s="112"/>
    </row>
    <row r="260" spans="1:8" x14ac:dyDescent="0.2">
      <c r="A260" s="115">
        <f>'High Risk Non-Compliant'!B216</f>
        <v>0</v>
      </c>
      <c r="B260" s="298">
        <f>'High Risk Non-Compliant'!C216</f>
        <v>0</v>
      </c>
      <c r="C260" s="298"/>
      <c r="D260" s="298">
        <f>'High Risk Non-Compliant'!D216</f>
        <v>0</v>
      </c>
      <c r="E260" s="298"/>
      <c r="F260" s="298"/>
      <c r="G260" s="112"/>
      <c r="H260" s="112"/>
    </row>
    <row r="261" spans="1:8" x14ac:dyDescent="0.2">
      <c r="A261" s="115">
        <f>'High Risk Non-Compliant'!B217</f>
        <v>0</v>
      </c>
      <c r="B261" s="298">
        <f>'High Risk Non-Compliant'!C217</f>
        <v>0</v>
      </c>
      <c r="C261" s="298"/>
      <c r="D261" s="298">
        <f>'High Risk Non-Compliant'!D217</f>
        <v>0</v>
      </c>
      <c r="E261" s="298"/>
      <c r="F261" s="298"/>
      <c r="G261" s="112"/>
      <c r="H261" s="112"/>
    </row>
    <row r="262" spans="1:8" x14ac:dyDescent="0.2">
      <c r="A262" s="115">
        <f>'High Risk Non-Compliant'!B218</f>
        <v>0</v>
      </c>
      <c r="B262" s="298">
        <f>'High Risk Non-Compliant'!C218</f>
        <v>0</v>
      </c>
      <c r="C262" s="298"/>
      <c r="D262" s="298">
        <f>'High Risk Non-Compliant'!D218</f>
        <v>0</v>
      </c>
      <c r="E262" s="298"/>
      <c r="F262" s="298"/>
      <c r="G262" s="112"/>
      <c r="H262" s="112"/>
    </row>
    <row r="263" spans="1:8" x14ac:dyDescent="0.2">
      <c r="A263" s="115">
        <f>'High Risk Non-Compliant'!B219</f>
        <v>0</v>
      </c>
      <c r="B263" s="298">
        <f>'High Risk Non-Compliant'!C219</f>
        <v>0</v>
      </c>
      <c r="C263" s="298"/>
      <c r="D263" s="298">
        <f>'High Risk Non-Compliant'!D219</f>
        <v>0</v>
      </c>
      <c r="E263" s="298"/>
      <c r="F263" s="298"/>
      <c r="G263" s="112"/>
      <c r="H263" s="112"/>
    </row>
    <row r="264" spans="1:8" x14ac:dyDescent="0.2">
      <c r="A264" s="115">
        <f>'High Risk Non-Compliant'!B220</f>
        <v>0</v>
      </c>
      <c r="B264" s="298">
        <f>'High Risk Non-Compliant'!C220</f>
        <v>0</v>
      </c>
      <c r="C264" s="298"/>
      <c r="D264" s="298">
        <f>'High Risk Non-Compliant'!D220</f>
        <v>0</v>
      </c>
      <c r="E264" s="298"/>
      <c r="F264" s="298"/>
      <c r="G264" s="112"/>
      <c r="H264" s="112"/>
    </row>
    <row r="265" spans="1:8" ht="58.5" customHeight="1" x14ac:dyDescent="0.2">
      <c r="A265" s="115">
        <f>'High Risk Non-Compliant'!B221</f>
        <v>0</v>
      </c>
      <c r="B265" s="298">
        <f>'High Risk Non-Compliant'!C221</f>
        <v>0</v>
      </c>
      <c r="C265" s="298"/>
      <c r="D265" s="298">
        <f>'High Risk Non-Compliant'!D221</f>
        <v>0</v>
      </c>
      <c r="E265" s="298"/>
      <c r="F265" s="298"/>
      <c r="G265" s="112"/>
      <c r="H265" s="112"/>
    </row>
    <row r="266" spans="1:8" ht="58.5" customHeight="1" x14ac:dyDescent="0.2">
      <c r="A266" s="115">
        <f>'High Risk Non-Compliant'!B222</f>
        <v>0</v>
      </c>
      <c r="B266" s="298">
        <f>'High Risk Non-Compliant'!C222</f>
        <v>0</v>
      </c>
      <c r="C266" s="298"/>
      <c r="D266" s="298">
        <f>'High Risk Non-Compliant'!D222</f>
        <v>0</v>
      </c>
      <c r="E266" s="298"/>
      <c r="F266" s="298"/>
      <c r="G266" s="112"/>
      <c r="H266" s="112"/>
    </row>
    <row r="267" spans="1:8" ht="58.5" customHeight="1" x14ac:dyDescent="0.2">
      <c r="A267" s="115">
        <f>'High Risk Non-Compliant'!B223</f>
        <v>0</v>
      </c>
      <c r="B267" s="298">
        <f>'High Risk Non-Compliant'!C223</f>
        <v>0</v>
      </c>
      <c r="C267" s="298"/>
      <c r="D267" s="298">
        <f>'High Risk Non-Compliant'!D223</f>
        <v>0</v>
      </c>
      <c r="E267" s="298"/>
      <c r="F267" s="298"/>
      <c r="G267" s="112"/>
      <c r="H267" s="112"/>
    </row>
    <row r="268" spans="1:8" ht="58.5" customHeight="1" x14ac:dyDescent="0.2">
      <c r="A268" s="115">
        <f>'High Risk Non-Compliant'!B224</f>
        <v>0</v>
      </c>
      <c r="B268" s="298">
        <f>'High Risk Non-Compliant'!C224</f>
        <v>0</v>
      </c>
      <c r="C268" s="298"/>
      <c r="D268" s="298">
        <f>'High Risk Non-Compliant'!D224</f>
        <v>0</v>
      </c>
      <c r="E268" s="298"/>
      <c r="F268" s="298"/>
      <c r="G268" s="112"/>
      <c r="H268" s="112"/>
    </row>
    <row r="269" spans="1:8" ht="58.5" customHeight="1" x14ac:dyDescent="0.2">
      <c r="A269" s="115">
        <f>'High Risk Non-Compliant'!B225</f>
        <v>0</v>
      </c>
      <c r="B269" s="298">
        <f>'High Risk Non-Compliant'!C225</f>
        <v>0</v>
      </c>
      <c r="C269" s="298"/>
      <c r="D269" s="298">
        <f>'High Risk Non-Compliant'!D225</f>
        <v>0</v>
      </c>
      <c r="E269" s="298"/>
      <c r="F269" s="298"/>
      <c r="G269" s="112"/>
      <c r="H269" s="112"/>
    </row>
    <row r="270" spans="1:8" ht="58.5" customHeight="1" x14ac:dyDescent="0.2">
      <c r="A270" s="115">
        <f>'High Risk Non-Compliant'!B226</f>
        <v>0</v>
      </c>
      <c r="B270" s="298">
        <f>'High Risk Non-Compliant'!C226</f>
        <v>0</v>
      </c>
      <c r="C270" s="298"/>
      <c r="D270" s="298">
        <f>'High Risk Non-Compliant'!D226</f>
        <v>0</v>
      </c>
      <c r="E270" s="298"/>
      <c r="F270" s="298"/>
      <c r="G270" s="112"/>
      <c r="H270" s="112"/>
    </row>
    <row r="271" spans="1:8" ht="58.5" customHeight="1" x14ac:dyDescent="0.2">
      <c r="A271" s="115">
        <f>'High Risk Non-Compliant'!B227</f>
        <v>0</v>
      </c>
      <c r="B271" s="298">
        <f>'High Risk Non-Compliant'!C227</f>
        <v>0</v>
      </c>
      <c r="C271" s="298"/>
      <c r="D271" s="298">
        <f>'High Risk Non-Compliant'!D227</f>
        <v>0</v>
      </c>
      <c r="E271" s="298"/>
      <c r="F271" s="298"/>
      <c r="G271" s="112"/>
      <c r="H271" s="112"/>
    </row>
    <row r="272" spans="1:8" x14ac:dyDescent="0.2">
      <c r="A272" s="115">
        <f>'High Risk Non-Compliant'!B228</f>
        <v>0</v>
      </c>
      <c r="B272" s="298">
        <f>'High Risk Non-Compliant'!C228</f>
        <v>0</v>
      </c>
      <c r="C272" s="298"/>
      <c r="D272" s="298">
        <f>'High Risk Non-Compliant'!D228</f>
        <v>0</v>
      </c>
      <c r="E272" s="298"/>
      <c r="F272" s="298"/>
      <c r="G272" s="112"/>
      <c r="H272" s="112"/>
    </row>
    <row r="273" spans="1:8" x14ac:dyDescent="0.2">
      <c r="A273" s="115">
        <f>'High Risk Non-Compliant'!B229</f>
        <v>0</v>
      </c>
      <c r="B273" s="298">
        <f>'High Risk Non-Compliant'!C229</f>
        <v>0</v>
      </c>
      <c r="C273" s="298"/>
      <c r="D273" s="298">
        <f>'High Risk Non-Compliant'!D229</f>
        <v>0</v>
      </c>
      <c r="E273" s="298"/>
      <c r="F273" s="298"/>
      <c r="G273" s="112"/>
      <c r="H273" s="112"/>
    </row>
    <row r="274" spans="1:8" x14ac:dyDescent="0.2">
      <c r="A274" s="115">
        <f>'High Risk Non-Compliant'!B230</f>
        <v>0</v>
      </c>
      <c r="B274" s="298">
        <f>'High Risk Non-Compliant'!C230</f>
        <v>0</v>
      </c>
      <c r="C274" s="298"/>
      <c r="D274" s="298">
        <f>'High Risk Non-Compliant'!D230</f>
        <v>0</v>
      </c>
      <c r="E274" s="298"/>
      <c r="F274" s="298"/>
      <c r="G274" s="112"/>
      <c r="H274" s="112"/>
    </row>
    <row r="275" spans="1:8" ht="44" customHeight="1" x14ac:dyDescent="0.2">
      <c r="A275" s="115">
        <f>'High Risk Non-Compliant'!B231</f>
        <v>0</v>
      </c>
      <c r="B275" s="298">
        <f>'High Risk Non-Compliant'!C231</f>
        <v>0</v>
      </c>
      <c r="C275" s="298"/>
      <c r="D275" s="298">
        <f>'High Risk Non-Compliant'!D231</f>
        <v>0</v>
      </c>
      <c r="E275" s="298"/>
      <c r="F275" s="298"/>
      <c r="G275" s="112"/>
      <c r="H275" s="112"/>
    </row>
    <row r="276" spans="1:8" ht="44" customHeight="1" x14ac:dyDescent="0.2">
      <c r="A276" s="115">
        <f>'High Risk Non-Compliant'!B232</f>
        <v>0</v>
      </c>
      <c r="B276" s="298">
        <f>'High Risk Non-Compliant'!C232</f>
        <v>0</v>
      </c>
      <c r="C276" s="298"/>
      <c r="D276" s="298">
        <f>'High Risk Non-Compliant'!D232</f>
        <v>0</v>
      </c>
      <c r="E276" s="298"/>
      <c r="F276" s="298"/>
      <c r="G276" s="112"/>
      <c r="H276" s="112"/>
    </row>
    <row r="277" spans="1:8" ht="44" customHeight="1" x14ac:dyDescent="0.2">
      <c r="A277" s="115">
        <f>'High Risk Non-Compliant'!B233</f>
        <v>0</v>
      </c>
      <c r="B277" s="298">
        <f>'High Risk Non-Compliant'!C233</f>
        <v>0</v>
      </c>
      <c r="C277" s="298"/>
      <c r="D277" s="298">
        <f>'High Risk Non-Compliant'!D233</f>
        <v>0</v>
      </c>
      <c r="E277" s="298"/>
      <c r="F277" s="298"/>
      <c r="G277" s="112"/>
      <c r="H277" s="112"/>
    </row>
    <row r="278" spans="1:8" ht="44" customHeight="1" x14ac:dyDescent="0.2">
      <c r="A278" s="115">
        <f>'High Risk Non-Compliant'!B234</f>
        <v>0</v>
      </c>
      <c r="B278" s="298">
        <f>'High Risk Non-Compliant'!C234</f>
        <v>0</v>
      </c>
      <c r="C278" s="298"/>
      <c r="D278" s="298">
        <f>'High Risk Non-Compliant'!D234</f>
        <v>0</v>
      </c>
      <c r="E278" s="298"/>
      <c r="F278" s="298"/>
      <c r="G278" s="112"/>
      <c r="H278" s="112"/>
    </row>
    <row r="279" spans="1:8" ht="44" customHeight="1" x14ac:dyDescent="0.2">
      <c r="A279" s="115">
        <f>'High Risk Non-Compliant'!B235</f>
        <v>0</v>
      </c>
      <c r="B279" s="298">
        <f>'High Risk Non-Compliant'!C235</f>
        <v>0</v>
      </c>
      <c r="C279" s="298"/>
      <c r="D279" s="298">
        <f>'High Risk Non-Compliant'!D235</f>
        <v>0</v>
      </c>
      <c r="E279" s="298"/>
      <c r="F279" s="298"/>
      <c r="G279" s="112"/>
      <c r="H279" s="112"/>
    </row>
    <row r="280" spans="1:8" ht="44" customHeight="1" x14ac:dyDescent="0.2">
      <c r="A280" s="115">
        <f>'High Risk Non-Compliant'!B236</f>
        <v>0</v>
      </c>
      <c r="B280" s="298">
        <f>'High Risk Non-Compliant'!C236</f>
        <v>0</v>
      </c>
      <c r="C280" s="298"/>
      <c r="D280" s="298">
        <f>'High Risk Non-Compliant'!D236</f>
        <v>0</v>
      </c>
      <c r="E280" s="298"/>
      <c r="F280" s="298"/>
      <c r="G280" s="112"/>
      <c r="H280" s="112"/>
    </row>
    <row r="281" spans="1:8" ht="44" customHeight="1" x14ac:dyDescent="0.2">
      <c r="A281" s="115">
        <f>'High Risk Non-Compliant'!B237</f>
        <v>0</v>
      </c>
      <c r="B281" s="298">
        <f>'High Risk Non-Compliant'!C237</f>
        <v>0</v>
      </c>
      <c r="C281" s="298"/>
      <c r="D281" s="298">
        <f>'High Risk Non-Compliant'!D237</f>
        <v>0</v>
      </c>
      <c r="E281" s="298"/>
      <c r="F281" s="298"/>
      <c r="G281" s="112"/>
      <c r="H281" s="112"/>
    </row>
    <row r="282" spans="1:8" ht="29.25" customHeight="1" x14ac:dyDescent="0.2">
      <c r="A282" s="115">
        <f>'High Risk Non-Compliant'!B238</f>
        <v>0</v>
      </c>
      <c r="B282" s="298">
        <f>'High Risk Non-Compliant'!C238</f>
        <v>0</v>
      </c>
      <c r="C282" s="298"/>
      <c r="D282" s="298">
        <f>'High Risk Non-Compliant'!D238</f>
        <v>0</v>
      </c>
      <c r="E282" s="298"/>
      <c r="F282" s="298"/>
      <c r="G282" s="112"/>
      <c r="H282" s="112"/>
    </row>
    <row r="283" spans="1:8" ht="29.25" customHeight="1" x14ac:dyDescent="0.2">
      <c r="A283" s="115">
        <f>'High Risk Non-Compliant'!B239</f>
        <v>0</v>
      </c>
      <c r="B283" s="298">
        <f>'High Risk Non-Compliant'!C239</f>
        <v>0</v>
      </c>
      <c r="C283" s="298"/>
      <c r="D283" s="298">
        <f>'High Risk Non-Compliant'!D239</f>
        <v>0</v>
      </c>
      <c r="E283" s="298"/>
      <c r="F283" s="298"/>
      <c r="G283" s="112"/>
      <c r="H283" s="112"/>
    </row>
    <row r="284" spans="1:8" ht="29.25" customHeight="1" x14ac:dyDescent="0.2">
      <c r="A284" s="115">
        <f>'High Risk Non-Compliant'!B240</f>
        <v>0</v>
      </c>
      <c r="B284" s="298">
        <f>'High Risk Non-Compliant'!C240</f>
        <v>0</v>
      </c>
      <c r="C284" s="298"/>
      <c r="D284" s="298">
        <f>'High Risk Non-Compliant'!D240</f>
        <v>0</v>
      </c>
      <c r="E284" s="298"/>
      <c r="F284" s="298"/>
      <c r="G284" s="112"/>
      <c r="H284" s="112"/>
    </row>
    <row r="285" spans="1:8" x14ac:dyDescent="0.2">
      <c r="A285" s="115">
        <f>'High Risk Non-Compliant'!B241</f>
        <v>0</v>
      </c>
      <c r="B285" s="298">
        <f>'High Risk Non-Compliant'!C241</f>
        <v>0</v>
      </c>
      <c r="C285" s="298"/>
      <c r="D285" s="298">
        <f>'High Risk Non-Compliant'!D241</f>
        <v>0</v>
      </c>
      <c r="E285" s="298"/>
      <c r="F285" s="298"/>
      <c r="G285" s="112"/>
      <c r="H285" s="112"/>
    </row>
    <row r="286" spans="1:8" x14ac:dyDescent="0.2">
      <c r="A286" s="115">
        <f>'High Risk Non-Compliant'!B242</f>
        <v>0</v>
      </c>
      <c r="B286" s="298">
        <f>'High Risk Non-Compliant'!C242</f>
        <v>0</v>
      </c>
      <c r="C286" s="298"/>
      <c r="D286" s="298">
        <f>'High Risk Non-Compliant'!D242</f>
        <v>0</v>
      </c>
      <c r="E286" s="298"/>
      <c r="F286" s="298"/>
      <c r="G286" s="112"/>
      <c r="H286" s="112"/>
    </row>
    <row r="287" spans="1:8" ht="44" customHeight="1" x14ac:dyDescent="0.2">
      <c r="A287" s="115">
        <f>'High Risk Non-Compliant'!B243</f>
        <v>0</v>
      </c>
      <c r="B287" s="298">
        <f>'High Risk Non-Compliant'!C243</f>
        <v>0</v>
      </c>
      <c r="C287" s="298"/>
      <c r="D287" s="298">
        <f>'High Risk Non-Compliant'!D243</f>
        <v>0</v>
      </c>
      <c r="E287" s="298"/>
      <c r="F287" s="298"/>
      <c r="G287" s="112"/>
      <c r="H287" s="112"/>
    </row>
    <row r="288" spans="1:8" ht="44" customHeight="1" x14ac:dyDescent="0.2">
      <c r="A288" s="115">
        <f>'High Risk Non-Compliant'!B244</f>
        <v>0</v>
      </c>
      <c r="B288" s="298">
        <f>'High Risk Non-Compliant'!C244</f>
        <v>0</v>
      </c>
      <c r="C288" s="298"/>
      <c r="D288" s="298">
        <f>'High Risk Non-Compliant'!D244</f>
        <v>0</v>
      </c>
      <c r="E288" s="298"/>
      <c r="F288" s="298"/>
      <c r="G288" s="112"/>
      <c r="H288" s="112"/>
    </row>
    <row r="289" spans="1:8" ht="87.75" customHeight="1" x14ac:dyDescent="0.2">
      <c r="A289" s="115">
        <f>'High Risk Non-Compliant'!B245</f>
        <v>0</v>
      </c>
      <c r="B289" s="298">
        <f>'High Risk Non-Compliant'!C245</f>
        <v>0</v>
      </c>
      <c r="C289" s="298"/>
      <c r="D289" s="298">
        <f>'High Risk Non-Compliant'!D245</f>
        <v>0</v>
      </c>
      <c r="E289" s="298"/>
      <c r="F289" s="298"/>
      <c r="G289" s="112"/>
      <c r="H289" s="112"/>
    </row>
    <row r="290" spans="1:8" ht="73.25" customHeight="1" x14ac:dyDescent="0.2">
      <c r="A290" s="115">
        <f>'High Risk Non-Compliant'!B246</f>
        <v>0</v>
      </c>
      <c r="B290" s="298">
        <f>'High Risk Non-Compliant'!C246</f>
        <v>0</v>
      </c>
      <c r="C290" s="298"/>
      <c r="D290" s="298">
        <f>'High Risk Non-Compliant'!D246</f>
        <v>0</v>
      </c>
      <c r="E290" s="298"/>
      <c r="F290" s="298"/>
      <c r="G290" s="112"/>
      <c r="H290" s="112"/>
    </row>
    <row r="291" spans="1:8" ht="73.25" customHeight="1" x14ac:dyDescent="0.2">
      <c r="A291" s="115">
        <f>'High Risk Non-Compliant'!B247</f>
        <v>0</v>
      </c>
      <c r="B291" s="298">
        <f>'High Risk Non-Compliant'!C247</f>
        <v>0</v>
      </c>
      <c r="C291" s="298"/>
      <c r="D291" s="298">
        <f>'High Risk Non-Compliant'!D247</f>
        <v>0</v>
      </c>
      <c r="E291" s="298"/>
      <c r="F291" s="298"/>
      <c r="G291" s="112"/>
      <c r="H291" s="112"/>
    </row>
    <row r="292" spans="1:8" ht="44" customHeight="1" x14ac:dyDescent="0.2">
      <c r="A292" s="115">
        <f>'High Risk Non-Compliant'!B248</f>
        <v>0</v>
      </c>
      <c r="B292" s="298">
        <f>'High Risk Non-Compliant'!C248</f>
        <v>0</v>
      </c>
      <c r="C292" s="298"/>
      <c r="D292" s="298">
        <f>'High Risk Non-Compliant'!D248</f>
        <v>0</v>
      </c>
      <c r="E292" s="298"/>
      <c r="F292" s="298"/>
      <c r="G292" s="112"/>
      <c r="H292" s="112"/>
    </row>
    <row r="293" spans="1:8" ht="29.25" customHeight="1" x14ac:dyDescent="0.2">
      <c r="A293" s="115">
        <f>'High Risk Non-Compliant'!B249</f>
        <v>0</v>
      </c>
      <c r="B293" s="298">
        <f>'High Risk Non-Compliant'!C249</f>
        <v>0</v>
      </c>
      <c r="C293" s="298"/>
      <c r="D293" s="298">
        <f>'High Risk Non-Compliant'!D249</f>
        <v>0</v>
      </c>
      <c r="E293" s="298"/>
      <c r="F293" s="298"/>
      <c r="G293" s="112"/>
      <c r="H293" s="112"/>
    </row>
    <row r="294" spans="1:8" ht="29.25" customHeight="1" x14ac:dyDescent="0.2">
      <c r="A294" s="115">
        <f>'High Risk Non-Compliant'!B250</f>
        <v>0</v>
      </c>
      <c r="B294" s="298">
        <f>'High Risk Non-Compliant'!C250</f>
        <v>0</v>
      </c>
      <c r="C294" s="298"/>
      <c r="D294" s="298">
        <f>'High Risk Non-Compliant'!D250</f>
        <v>0</v>
      </c>
      <c r="E294" s="298"/>
      <c r="F294" s="298"/>
      <c r="G294" s="112"/>
      <c r="H294" s="112"/>
    </row>
    <row r="295" spans="1:8" ht="29.25" customHeight="1" x14ac:dyDescent="0.2">
      <c r="A295" s="115">
        <f>'High Risk Non-Compliant'!B251</f>
        <v>0</v>
      </c>
      <c r="B295" s="298">
        <f>'High Risk Non-Compliant'!C251</f>
        <v>0</v>
      </c>
      <c r="C295" s="298"/>
      <c r="D295" s="298">
        <f>'High Risk Non-Compliant'!D251</f>
        <v>0</v>
      </c>
      <c r="E295" s="298"/>
      <c r="F295" s="298"/>
      <c r="G295" s="112"/>
      <c r="H295" s="112"/>
    </row>
    <row r="296" spans="1:8" ht="44" customHeight="1" x14ac:dyDescent="0.2">
      <c r="A296" s="115">
        <f>'High Risk Non-Compliant'!B252</f>
        <v>0</v>
      </c>
      <c r="B296" s="298">
        <f>'High Risk Non-Compliant'!C252</f>
        <v>0</v>
      </c>
      <c r="C296" s="298"/>
      <c r="D296" s="298">
        <f>'High Risk Non-Compliant'!D252</f>
        <v>0</v>
      </c>
      <c r="E296" s="298"/>
      <c r="F296" s="298"/>
      <c r="G296" s="112"/>
      <c r="H296" s="112"/>
    </row>
    <row r="297" spans="1:8" ht="29.25" customHeight="1" x14ac:dyDescent="0.2">
      <c r="A297" s="115">
        <f>'High Risk Non-Compliant'!B253</f>
        <v>0</v>
      </c>
      <c r="B297" s="298">
        <f>'High Risk Non-Compliant'!C253</f>
        <v>0</v>
      </c>
      <c r="C297" s="298"/>
      <c r="D297" s="298">
        <f>'High Risk Non-Compliant'!D253</f>
        <v>0</v>
      </c>
      <c r="E297" s="298"/>
      <c r="F297" s="298"/>
      <c r="G297" s="112"/>
      <c r="H297" s="112"/>
    </row>
    <row r="298" spans="1:8" ht="73.25" customHeight="1" x14ac:dyDescent="0.2">
      <c r="A298" s="115">
        <f>'High Risk Non-Compliant'!B254</f>
        <v>0</v>
      </c>
      <c r="B298" s="298">
        <f>'High Risk Non-Compliant'!C254</f>
        <v>0</v>
      </c>
      <c r="C298" s="298"/>
      <c r="D298" s="298">
        <f>'High Risk Non-Compliant'!D254</f>
        <v>0</v>
      </c>
      <c r="E298" s="298"/>
      <c r="F298" s="298"/>
      <c r="G298" s="112"/>
      <c r="H298" s="112"/>
    </row>
    <row r="299" spans="1:8" ht="58.5" customHeight="1" x14ac:dyDescent="0.2">
      <c r="A299" s="115">
        <f>'High Risk Non-Compliant'!B255</f>
        <v>0</v>
      </c>
      <c r="B299" s="298">
        <f>'High Risk Non-Compliant'!C255</f>
        <v>0</v>
      </c>
      <c r="C299" s="298"/>
      <c r="D299" s="298">
        <f>'High Risk Non-Compliant'!D255</f>
        <v>0</v>
      </c>
      <c r="E299" s="298"/>
      <c r="F299" s="298"/>
      <c r="G299" s="112"/>
      <c r="H299" s="112"/>
    </row>
    <row r="300" spans="1:8" ht="73.25" customHeight="1" x14ac:dyDescent="0.2">
      <c r="A300" s="115">
        <f>'High Risk Non-Compliant'!B256</f>
        <v>0</v>
      </c>
      <c r="B300" s="298">
        <f>'High Risk Non-Compliant'!C256</f>
        <v>0</v>
      </c>
      <c r="C300" s="298"/>
      <c r="D300" s="298">
        <f>'High Risk Non-Compliant'!D256</f>
        <v>0</v>
      </c>
      <c r="E300" s="298"/>
      <c r="F300" s="298"/>
      <c r="G300" s="112"/>
      <c r="H300" s="112"/>
    </row>
    <row r="301" spans="1:8" ht="87.75" customHeight="1" x14ac:dyDescent="0.2">
      <c r="A301" s="115">
        <f>'High Risk Non-Compliant'!B257</f>
        <v>0</v>
      </c>
      <c r="B301" s="298">
        <f>'High Risk Non-Compliant'!C257</f>
        <v>0</v>
      </c>
      <c r="C301" s="298"/>
      <c r="D301" s="298">
        <f>'High Risk Non-Compliant'!D257</f>
        <v>0</v>
      </c>
      <c r="E301" s="298"/>
      <c r="F301" s="298"/>
      <c r="G301" s="112"/>
      <c r="H301" s="112"/>
    </row>
    <row r="302" spans="1:8" ht="29.25" customHeight="1" x14ac:dyDescent="0.2">
      <c r="A302" s="115">
        <f>'High Risk Non-Compliant'!B258</f>
        <v>0</v>
      </c>
      <c r="B302" s="298">
        <f>'High Risk Non-Compliant'!C258</f>
        <v>0</v>
      </c>
      <c r="C302" s="298"/>
      <c r="D302" s="298">
        <f>'High Risk Non-Compliant'!D258</f>
        <v>0</v>
      </c>
      <c r="E302" s="298"/>
      <c r="F302" s="298"/>
      <c r="G302" s="112"/>
      <c r="H302" s="112"/>
    </row>
    <row r="303" spans="1:8" ht="29.25" customHeight="1" x14ac:dyDescent="0.2">
      <c r="A303" s="115">
        <f>'High Risk Non-Compliant'!B259</f>
        <v>0</v>
      </c>
      <c r="B303" s="298">
        <f>'High Risk Non-Compliant'!C259</f>
        <v>0</v>
      </c>
      <c r="C303" s="298"/>
      <c r="D303" s="298">
        <f>'High Risk Non-Compliant'!D259</f>
        <v>0</v>
      </c>
      <c r="E303" s="298"/>
      <c r="F303" s="298"/>
      <c r="G303" s="112"/>
      <c r="H303" s="112"/>
    </row>
    <row r="304" spans="1:8" ht="29.25" customHeight="1" x14ac:dyDescent="0.2">
      <c r="A304" s="115">
        <f>'High Risk Non-Compliant'!B260</f>
        <v>0</v>
      </c>
      <c r="B304" s="298">
        <f>'High Risk Non-Compliant'!C260</f>
        <v>0</v>
      </c>
      <c r="C304" s="298"/>
      <c r="D304" s="298">
        <f>'High Risk Non-Compliant'!D260</f>
        <v>0</v>
      </c>
      <c r="E304" s="298"/>
      <c r="F304" s="298"/>
      <c r="G304" s="112"/>
      <c r="H304" s="112"/>
    </row>
    <row r="305" spans="1:8" ht="29.25" customHeight="1" x14ac:dyDescent="0.2">
      <c r="A305" s="115">
        <f>'High Risk Non-Compliant'!B261</f>
        <v>0</v>
      </c>
      <c r="B305" s="298">
        <f>'High Risk Non-Compliant'!C261</f>
        <v>0</v>
      </c>
      <c r="C305" s="298"/>
      <c r="D305" s="298">
        <f>'High Risk Non-Compliant'!D261</f>
        <v>0</v>
      </c>
      <c r="E305" s="298"/>
      <c r="F305" s="298"/>
      <c r="G305" s="112"/>
      <c r="H305" s="112"/>
    </row>
    <row r="306" spans="1:8" ht="29.25" customHeight="1" x14ac:dyDescent="0.2">
      <c r="A306" s="115">
        <f>'High Risk Non-Compliant'!B262</f>
        <v>0</v>
      </c>
      <c r="B306" s="298">
        <f>'High Risk Non-Compliant'!C262</f>
        <v>0</v>
      </c>
      <c r="C306" s="298"/>
      <c r="D306" s="298">
        <f>'High Risk Non-Compliant'!D262</f>
        <v>0</v>
      </c>
      <c r="E306" s="298"/>
      <c r="F306" s="298"/>
      <c r="G306" s="112"/>
      <c r="H306" s="112"/>
    </row>
    <row r="307" spans="1:8" ht="44" customHeight="1" x14ac:dyDescent="0.2">
      <c r="A307" s="115">
        <f>'High Risk Non-Compliant'!B263</f>
        <v>0</v>
      </c>
      <c r="B307" s="298">
        <f>'High Risk Non-Compliant'!C263</f>
        <v>0</v>
      </c>
      <c r="C307" s="298"/>
      <c r="D307" s="298">
        <f>'High Risk Non-Compliant'!D263</f>
        <v>0</v>
      </c>
      <c r="E307" s="298"/>
      <c r="F307" s="298"/>
      <c r="G307" s="112"/>
      <c r="H307" s="112"/>
    </row>
    <row r="308" spans="1:8" ht="29.25" customHeight="1" x14ac:dyDescent="0.2">
      <c r="A308" s="115">
        <f>'High Risk Non-Compliant'!B264</f>
        <v>0</v>
      </c>
      <c r="B308" s="298">
        <f>'High Risk Non-Compliant'!C264</f>
        <v>0</v>
      </c>
      <c r="C308" s="298"/>
      <c r="D308" s="298">
        <f>'High Risk Non-Compliant'!D264</f>
        <v>0</v>
      </c>
      <c r="E308" s="298"/>
      <c r="F308" s="298"/>
      <c r="G308" s="112"/>
      <c r="H308" s="112"/>
    </row>
    <row r="309" spans="1:8" x14ac:dyDescent="0.2">
      <c r="A309" s="115">
        <f>'High Risk Non-Compliant'!B265</f>
        <v>0</v>
      </c>
      <c r="B309" s="298">
        <f>'High Risk Non-Compliant'!C265</f>
        <v>0</v>
      </c>
      <c r="C309" s="298"/>
      <c r="D309" s="298">
        <f>'High Risk Non-Compliant'!D265</f>
        <v>0</v>
      </c>
      <c r="E309" s="298"/>
      <c r="F309" s="298"/>
      <c r="G309" s="112"/>
      <c r="H309" s="112"/>
    </row>
    <row r="310" spans="1:8" x14ac:dyDescent="0.2">
      <c r="A310" s="115">
        <f>'High Risk Non-Compliant'!B266</f>
        <v>0</v>
      </c>
      <c r="B310" s="298">
        <f>'High Risk Non-Compliant'!C266</f>
        <v>0</v>
      </c>
      <c r="C310" s="298"/>
      <c r="D310" s="298">
        <f>'High Risk Non-Compliant'!D266</f>
        <v>0</v>
      </c>
      <c r="E310" s="298"/>
      <c r="F310" s="298"/>
      <c r="G310" s="112"/>
      <c r="H310" s="112"/>
    </row>
    <row r="311" spans="1:8" ht="44" customHeight="1" x14ac:dyDescent="0.2">
      <c r="A311" s="115">
        <f>'High Risk Non-Compliant'!B267</f>
        <v>0</v>
      </c>
      <c r="B311" s="298">
        <f>'High Risk Non-Compliant'!C267</f>
        <v>0</v>
      </c>
      <c r="C311" s="298"/>
      <c r="D311" s="298">
        <f>'High Risk Non-Compliant'!D267</f>
        <v>0</v>
      </c>
      <c r="E311" s="298"/>
      <c r="F311" s="298"/>
      <c r="G311" s="112"/>
      <c r="H311" s="112"/>
    </row>
    <row r="312" spans="1:8" ht="44" customHeight="1" x14ac:dyDescent="0.2">
      <c r="A312" s="115">
        <f>'High Risk Non-Compliant'!B268</f>
        <v>0</v>
      </c>
      <c r="B312" s="298">
        <f>'High Risk Non-Compliant'!C268</f>
        <v>0</v>
      </c>
      <c r="C312" s="298"/>
      <c r="D312" s="298">
        <f>'High Risk Non-Compliant'!D268</f>
        <v>0</v>
      </c>
      <c r="E312" s="298"/>
      <c r="F312" s="298"/>
      <c r="G312" s="112"/>
      <c r="H312" s="112"/>
    </row>
    <row r="313" spans="1:8" ht="44" customHeight="1" x14ac:dyDescent="0.2">
      <c r="A313" s="115">
        <f>'High Risk Non-Compliant'!B269</f>
        <v>0</v>
      </c>
      <c r="B313" s="298">
        <f>'High Risk Non-Compliant'!C269</f>
        <v>0</v>
      </c>
      <c r="C313" s="298"/>
      <c r="D313" s="298">
        <f>'High Risk Non-Compliant'!D269</f>
        <v>0</v>
      </c>
      <c r="E313" s="298"/>
      <c r="F313" s="298"/>
      <c r="G313" s="112"/>
      <c r="H313" s="112"/>
    </row>
    <row r="314" spans="1:8" ht="44" customHeight="1" x14ac:dyDescent="0.2">
      <c r="A314" s="115">
        <f>'High Risk Non-Compliant'!B270</f>
        <v>0</v>
      </c>
      <c r="B314" s="298">
        <f>'High Risk Non-Compliant'!C270</f>
        <v>0</v>
      </c>
      <c r="C314" s="298"/>
      <c r="D314" s="298">
        <f>'High Risk Non-Compliant'!D270</f>
        <v>0</v>
      </c>
      <c r="E314" s="298"/>
      <c r="F314" s="298"/>
      <c r="G314" s="112"/>
      <c r="H314" s="112"/>
    </row>
    <row r="315" spans="1:8" ht="29.25" customHeight="1" x14ac:dyDescent="0.2">
      <c r="A315" s="115">
        <f>'High Risk Non-Compliant'!B271</f>
        <v>0</v>
      </c>
      <c r="B315" s="298">
        <f>'High Risk Non-Compliant'!C271</f>
        <v>0</v>
      </c>
      <c r="C315" s="298"/>
      <c r="D315" s="298">
        <f>'High Risk Non-Compliant'!D271</f>
        <v>0</v>
      </c>
      <c r="E315" s="298"/>
      <c r="F315" s="298"/>
      <c r="G315" s="112"/>
      <c r="H315" s="112"/>
    </row>
    <row r="316" spans="1:8" ht="29.25" customHeight="1" x14ac:dyDescent="0.2">
      <c r="A316" s="115">
        <f>'High Risk Non-Compliant'!B272</f>
        <v>0</v>
      </c>
      <c r="B316" s="298">
        <f>'High Risk Non-Compliant'!C272</f>
        <v>0</v>
      </c>
      <c r="C316" s="298"/>
      <c r="D316" s="298">
        <f>'High Risk Non-Compliant'!D272</f>
        <v>0</v>
      </c>
      <c r="E316" s="298"/>
      <c r="F316" s="298"/>
      <c r="G316" s="112"/>
      <c r="H316" s="112"/>
    </row>
  </sheetData>
  <mergeCells count="547">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72:C172"/>
    <mergeCell ref="D172:F172"/>
    <mergeCell ref="B173:C173"/>
    <mergeCell ref="D173:F173"/>
    <mergeCell ref="B174:C174"/>
    <mergeCell ref="D174:F174"/>
    <mergeCell ref="B169:C169"/>
    <mergeCell ref="D169:F169"/>
    <mergeCell ref="B170:C170"/>
    <mergeCell ref="D170:F170"/>
    <mergeCell ref="B171:C171"/>
    <mergeCell ref="D171:F171"/>
    <mergeCell ref="B178:C178"/>
    <mergeCell ref="D178:F178"/>
    <mergeCell ref="B179:C179"/>
    <mergeCell ref="D179:F179"/>
    <mergeCell ref="B180:C180"/>
    <mergeCell ref="D180:F180"/>
    <mergeCell ref="B175:C175"/>
    <mergeCell ref="D175:F175"/>
    <mergeCell ref="B176:C176"/>
    <mergeCell ref="D176:F176"/>
    <mergeCell ref="B177:C177"/>
    <mergeCell ref="D177:F177"/>
    <mergeCell ref="B184:C184"/>
    <mergeCell ref="D184:F184"/>
    <mergeCell ref="B185:C185"/>
    <mergeCell ref="D185:F185"/>
    <mergeCell ref="B186:C186"/>
    <mergeCell ref="D186:F186"/>
    <mergeCell ref="B181:C181"/>
    <mergeCell ref="D181:F181"/>
    <mergeCell ref="B182:C182"/>
    <mergeCell ref="D182:F182"/>
    <mergeCell ref="B183:C183"/>
    <mergeCell ref="D183:F183"/>
    <mergeCell ref="B190:C190"/>
    <mergeCell ref="D190:F190"/>
    <mergeCell ref="B191:C191"/>
    <mergeCell ref="D191:F191"/>
    <mergeCell ref="B192:C192"/>
    <mergeCell ref="D192:F192"/>
    <mergeCell ref="B187:C187"/>
    <mergeCell ref="D187:F187"/>
    <mergeCell ref="B188:C188"/>
    <mergeCell ref="D188:F188"/>
    <mergeCell ref="B189:C189"/>
    <mergeCell ref="D189:F189"/>
    <mergeCell ref="B196:C196"/>
    <mergeCell ref="D196:F196"/>
    <mergeCell ref="B197:C197"/>
    <mergeCell ref="D197:F197"/>
    <mergeCell ref="B198:C198"/>
    <mergeCell ref="D198:F198"/>
    <mergeCell ref="B193:C193"/>
    <mergeCell ref="D193:F193"/>
    <mergeCell ref="B194:C194"/>
    <mergeCell ref="D194:F194"/>
    <mergeCell ref="B195:C195"/>
    <mergeCell ref="D195:F195"/>
    <mergeCell ref="B202:C202"/>
    <mergeCell ref="D202:F202"/>
    <mergeCell ref="B203:C203"/>
    <mergeCell ref="D203:F203"/>
    <mergeCell ref="B204:C204"/>
    <mergeCell ref="D204:F204"/>
    <mergeCell ref="B199:C199"/>
    <mergeCell ref="D199:F199"/>
    <mergeCell ref="B200:C200"/>
    <mergeCell ref="D200:F200"/>
    <mergeCell ref="B201:C201"/>
    <mergeCell ref="D201:F201"/>
    <mergeCell ref="B208:C208"/>
    <mergeCell ref="D208:F208"/>
    <mergeCell ref="B209:C209"/>
    <mergeCell ref="D209:F209"/>
    <mergeCell ref="B210:C210"/>
    <mergeCell ref="D210:F210"/>
    <mergeCell ref="B205:C205"/>
    <mergeCell ref="D205:F205"/>
    <mergeCell ref="B206:C206"/>
    <mergeCell ref="D206:F206"/>
    <mergeCell ref="B207:C207"/>
    <mergeCell ref="D207:F207"/>
    <mergeCell ref="B214:C214"/>
    <mergeCell ref="D214:F214"/>
    <mergeCell ref="B215:C215"/>
    <mergeCell ref="D215:F215"/>
    <mergeCell ref="B216:C216"/>
    <mergeCell ref="D216:F216"/>
    <mergeCell ref="B211:C211"/>
    <mergeCell ref="D211:F211"/>
    <mergeCell ref="B212:C212"/>
    <mergeCell ref="D212:F212"/>
    <mergeCell ref="B213:C213"/>
    <mergeCell ref="D213:F213"/>
    <mergeCell ref="B220:C220"/>
    <mergeCell ref="D220:F220"/>
    <mergeCell ref="B221:C221"/>
    <mergeCell ref="D221:F221"/>
    <mergeCell ref="B222:C222"/>
    <mergeCell ref="D222:F222"/>
    <mergeCell ref="B217:C217"/>
    <mergeCell ref="D217:F217"/>
    <mergeCell ref="B218:C218"/>
    <mergeCell ref="D218:F218"/>
    <mergeCell ref="B219:C219"/>
    <mergeCell ref="D219:F219"/>
    <mergeCell ref="B226:C226"/>
    <mergeCell ref="D226:F226"/>
    <mergeCell ref="B227:C227"/>
    <mergeCell ref="D227:F227"/>
    <mergeCell ref="B228:C228"/>
    <mergeCell ref="D228:F228"/>
    <mergeCell ref="B223:C223"/>
    <mergeCell ref="D223:F223"/>
    <mergeCell ref="B224:C224"/>
    <mergeCell ref="D224:F224"/>
    <mergeCell ref="B225:C225"/>
    <mergeCell ref="D225:F225"/>
    <mergeCell ref="B232:C232"/>
    <mergeCell ref="D232:F232"/>
    <mergeCell ref="B233:C233"/>
    <mergeCell ref="D233:F233"/>
    <mergeCell ref="B234:C234"/>
    <mergeCell ref="D234:F234"/>
    <mergeCell ref="B229:C229"/>
    <mergeCell ref="D229:F229"/>
    <mergeCell ref="B230:C230"/>
    <mergeCell ref="D230:F230"/>
    <mergeCell ref="B231:C231"/>
    <mergeCell ref="D231:F231"/>
    <mergeCell ref="B238:C238"/>
    <mergeCell ref="D238:F238"/>
    <mergeCell ref="B239:C239"/>
    <mergeCell ref="D239:F239"/>
    <mergeCell ref="B240:C240"/>
    <mergeCell ref="D240:F240"/>
    <mergeCell ref="B235:C235"/>
    <mergeCell ref="D235:F235"/>
    <mergeCell ref="B236:C236"/>
    <mergeCell ref="D236:F236"/>
    <mergeCell ref="B237:C237"/>
    <mergeCell ref="D237:F237"/>
    <mergeCell ref="B244:C244"/>
    <mergeCell ref="D244:F244"/>
    <mergeCell ref="B245:C245"/>
    <mergeCell ref="D245:F245"/>
    <mergeCell ref="B246:C246"/>
    <mergeCell ref="D246:F246"/>
    <mergeCell ref="B241:C241"/>
    <mergeCell ref="D241:F241"/>
    <mergeCell ref="B242:C242"/>
    <mergeCell ref="D242:F242"/>
    <mergeCell ref="B243:C243"/>
    <mergeCell ref="D243:F243"/>
    <mergeCell ref="B250:C250"/>
    <mergeCell ref="D250:F250"/>
    <mergeCell ref="B251:C251"/>
    <mergeCell ref="D251:F251"/>
    <mergeCell ref="B252:C252"/>
    <mergeCell ref="D252:F252"/>
    <mergeCell ref="B247:C247"/>
    <mergeCell ref="D247:F247"/>
    <mergeCell ref="B248:C248"/>
    <mergeCell ref="D248:F248"/>
    <mergeCell ref="B249:C249"/>
    <mergeCell ref="D249:F249"/>
    <mergeCell ref="B256:C256"/>
    <mergeCell ref="D256:F256"/>
    <mergeCell ref="B257:C257"/>
    <mergeCell ref="D257:F257"/>
    <mergeCell ref="B258:C258"/>
    <mergeCell ref="D258:F258"/>
    <mergeCell ref="B253:C253"/>
    <mergeCell ref="D253:F253"/>
    <mergeCell ref="B254:C254"/>
    <mergeCell ref="D254:F254"/>
    <mergeCell ref="B255:C255"/>
    <mergeCell ref="D255:F255"/>
    <mergeCell ref="B262:C262"/>
    <mergeCell ref="D262:F262"/>
    <mergeCell ref="B263:C263"/>
    <mergeCell ref="D263:F263"/>
    <mergeCell ref="B264:C264"/>
    <mergeCell ref="D264:F264"/>
    <mergeCell ref="B259:C259"/>
    <mergeCell ref="D259:F259"/>
    <mergeCell ref="B260:C260"/>
    <mergeCell ref="D260:F260"/>
    <mergeCell ref="B261:C261"/>
    <mergeCell ref="D261:F261"/>
    <mergeCell ref="B268:C268"/>
    <mergeCell ref="D268:F268"/>
    <mergeCell ref="B269:C269"/>
    <mergeCell ref="D269:F269"/>
    <mergeCell ref="B270:C270"/>
    <mergeCell ref="D270:F270"/>
    <mergeCell ref="B265:C265"/>
    <mergeCell ref="D265:F265"/>
    <mergeCell ref="B266:C266"/>
    <mergeCell ref="D266:F266"/>
    <mergeCell ref="B267:C267"/>
    <mergeCell ref="D267:F267"/>
    <mergeCell ref="B274:C274"/>
    <mergeCell ref="D274:F274"/>
    <mergeCell ref="B275:C275"/>
    <mergeCell ref="D275:F275"/>
    <mergeCell ref="B276:C276"/>
    <mergeCell ref="D276:F276"/>
    <mergeCell ref="B271:C271"/>
    <mergeCell ref="D271:F271"/>
    <mergeCell ref="B272:C272"/>
    <mergeCell ref="D272:F272"/>
    <mergeCell ref="B273:C273"/>
    <mergeCell ref="D273:F273"/>
    <mergeCell ref="B280:C280"/>
    <mergeCell ref="D280:F280"/>
    <mergeCell ref="B281:C281"/>
    <mergeCell ref="D281:F281"/>
    <mergeCell ref="B282:C282"/>
    <mergeCell ref="D282:F282"/>
    <mergeCell ref="B277:C277"/>
    <mergeCell ref="D277:F277"/>
    <mergeCell ref="B278:C278"/>
    <mergeCell ref="D278:F278"/>
    <mergeCell ref="B279:C279"/>
    <mergeCell ref="D279:F279"/>
    <mergeCell ref="B286:C286"/>
    <mergeCell ref="D286:F286"/>
    <mergeCell ref="B287:C287"/>
    <mergeCell ref="D287:F287"/>
    <mergeCell ref="B288:C288"/>
    <mergeCell ref="D288:F288"/>
    <mergeCell ref="B283:C283"/>
    <mergeCell ref="D283:F283"/>
    <mergeCell ref="B284:C284"/>
    <mergeCell ref="D284:F284"/>
    <mergeCell ref="B285:C285"/>
    <mergeCell ref="D285:F285"/>
    <mergeCell ref="B292:C292"/>
    <mergeCell ref="D292:F292"/>
    <mergeCell ref="B293:C293"/>
    <mergeCell ref="D293:F293"/>
    <mergeCell ref="B294:C294"/>
    <mergeCell ref="D294:F294"/>
    <mergeCell ref="B289:C289"/>
    <mergeCell ref="D289:F289"/>
    <mergeCell ref="B290:C290"/>
    <mergeCell ref="D290:F290"/>
    <mergeCell ref="B291:C291"/>
    <mergeCell ref="D291:F291"/>
    <mergeCell ref="B298:C298"/>
    <mergeCell ref="D298:F298"/>
    <mergeCell ref="B299:C299"/>
    <mergeCell ref="D299:F299"/>
    <mergeCell ref="B300:C300"/>
    <mergeCell ref="D300:F300"/>
    <mergeCell ref="B295:C295"/>
    <mergeCell ref="D295:F295"/>
    <mergeCell ref="B296:C296"/>
    <mergeCell ref="D296:F296"/>
    <mergeCell ref="B297:C297"/>
    <mergeCell ref="D297:F297"/>
    <mergeCell ref="B305:C305"/>
    <mergeCell ref="D305:F305"/>
    <mergeCell ref="B306:C306"/>
    <mergeCell ref="D306:F306"/>
    <mergeCell ref="B301:C301"/>
    <mergeCell ref="D301:F301"/>
    <mergeCell ref="B302:C302"/>
    <mergeCell ref="D302:F302"/>
    <mergeCell ref="B303:C303"/>
    <mergeCell ref="D303:F303"/>
    <mergeCell ref="B316:C316"/>
    <mergeCell ref="D316:F316"/>
    <mergeCell ref="B48:C48"/>
    <mergeCell ref="D48:F48"/>
    <mergeCell ref="B313:C313"/>
    <mergeCell ref="D313:F313"/>
    <mergeCell ref="B314:C314"/>
    <mergeCell ref="D314:F314"/>
    <mergeCell ref="B315:C315"/>
    <mergeCell ref="D315:F315"/>
    <mergeCell ref="B310:C310"/>
    <mergeCell ref="D310:F310"/>
    <mergeCell ref="B311:C311"/>
    <mergeCell ref="D311:F311"/>
    <mergeCell ref="B312:C312"/>
    <mergeCell ref="D312:F312"/>
    <mergeCell ref="B307:C307"/>
    <mergeCell ref="D307:F307"/>
    <mergeCell ref="B308:C308"/>
    <mergeCell ref="D308:F308"/>
    <mergeCell ref="B309:C309"/>
    <mergeCell ref="D309:F309"/>
    <mergeCell ref="B304:C304"/>
    <mergeCell ref="D304:F304"/>
    <mergeCell ref="D5:E5"/>
    <mergeCell ref="A46:H46"/>
    <mergeCell ref="A47:F47"/>
    <mergeCell ref="G47:H47"/>
    <mergeCell ref="A1:G1"/>
    <mergeCell ref="A2:H2"/>
    <mergeCell ref="B4:H4"/>
    <mergeCell ref="B3:C3"/>
    <mergeCell ref="E3:H3"/>
  </mergeCells>
  <conditionalFormatting sqref="E6">
    <cfRule type="cellIs" dxfId="4" priority="1" operator="equal">
      <formula>"D"</formula>
    </cfRule>
    <cfRule type="cellIs" dxfId="3" priority="2" operator="equal">
      <formula>"C"</formula>
    </cfRule>
    <cfRule type="cellIs" dxfId="2" priority="3" operator="equal">
      <formula>"B"</formula>
    </cfRule>
    <cfRule type="cellIs" dxfId="1" priority="4" operator="equal">
      <formula>"A"</formula>
    </cfRule>
    <cfRule type="cellIs" dxfId="0" priority="5" operator="equal">
      <formula>"F"</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52" t="s">
        <v>674</v>
      </c>
      <c r="B1" s="53" t="s">
        <v>904</v>
      </c>
    </row>
    <row r="2" spans="1:2" ht="85" x14ac:dyDescent="0.2">
      <c r="A2" s="52" t="s">
        <v>905</v>
      </c>
      <c r="B2" s="53" t="s">
        <v>906</v>
      </c>
    </row>
    <row r="3" spans="1:2" ht="85" x14ac:dyDescent="0.2">
      <c r="A3" s="52" t="s">
        <v>907</v>
      </c>
      <c r="B3" s="53" t="s">
        <v>908</v>
      </c>
    </row>
    <row r="4" spans="1:2" ht="34" x14ac:dyDescent="0.2">
      <c r="A4" s="52" t="s">
        <v>909</v>
      </c>
      <c r="B4" s="53" t="s">
        <v>910</v>
      </c>
    </row>
    <row r="5" spans="1:2" ht="51" x14ac:dyDescent="0.2">
      <c r="A5" s="52" t="s">
        <v>911</v>
      </c>
      <c r="B5" s="53" t="s">
        <v>912</v>
      </c>
    </row>
    <row r="6" spans="1:2" ht="85" x14ac:dyDescent="0.2">
      <c r="A6" s="52" t="s">
        <v>913</v>
      </c>
      <c r="B6" s="53" t="s">
        <v>914</v>
      </c>
    </row>
    <row r="7" spans="1:2" ht="85" x14ac:dyDescent="0.2">
      <c r="A7" s="52" t="s">
        <v>915</v>
      </c>
      <c r="B7" s="53" t="s">
        <v>916</v>
      </c>
    </row>
    <row r="8" spans="1:2" ht="51" x14ac:dyDescent="0.2">
      <c r="A8" s="52" t="s">
        <v>684</v>
      </c>
      <c r="B8" s="53" t="s">
        <v>917</v>
      </c>
    </row>
    <row r="9" spans="1:2" ht="34" x14ac:dyDescent="0.2">
      <c r="A9" s="52" t="s">
        <v>918</v>
      </c>
      <c r="B9" s="53" t="s">
        <v>919</v>
      </c>
    </row>
    <row r="10" spans="1:2" ht="17" x14ac:dyDescent="0.2">
      <c r="A10" s="52" t="s">
        <v>677</v>
      </c>
      <c r="B10" s="53" t="s">
        <v>920</v>
      </c>
    </row>
    <row r="11" spans="1:2" ht="85" x14ac:dyDescent="0.2">
      <c r="A11" s="52" t="s">
        <v>678</v>
      </c>
      <c r="B11" s="53" t="s">
        <v>921</v>
      </c>
    </row>
    <row r="12" spans="1:2" ht="68" x14ac:dyDescent="0.2">
      <c r="A12" s="52" t="s">
        <v>922</v>
      </c>
      <c r="B12" s="53" t="s">
        <v>923</v>
      </c>
    </row>
    <row r="13" spans="1:2" ht="102" x14ac:dyDescent="0.2">
      <c r="A13" s="52" t="s">
        <v>679</v>
      </c>
      <c r="B13" s="53" t="s">
        <v>924</v>
      </c>
    </row>
    <row r="14" spans="1:2" ht="34" x14ac:dyDescent="0.2">
      <c r="A14" s="52" t="s">
        <v>925</v>
      </c>
      <c r="B14" s="53" t="s">
        <v>926</v>
      </c>
    </row>
    <row r="15" spans="1:2" ht="119" x14ac:dyDescent="0.2">
      <c r="A15" s="52" t="s">
        <v>927</v>
      </c>
      <c r="B15" s="53" t="s">
        <v>928</v>
      </c>
    </row>
    <row r="16" spans="1:2" ht="34" x14ac:dyDescent="0.2">
      <c r="A16" s="52" t="s">
        <v>929</v>
      </c>
      <c r="B16" s="53" t="s">
        <v>930</v>
      </c>
    </row>
    <row r="17" spans="1:2" ht="34" x14ac:dyDescent="0.2">
      <c r="A17" s="52" t="s">
        <v>653</v>
      </c>
      <c r="B17" s="53" t="s">
        <v>931</v>
      </c>
    </row>
    <row r="18" spans="1:2" ht="51" x14ac:dyDescent="0.2">
      <c r="A18" s="52" t="s">
        <v>932</v>
      </c>
      <c r="B18" s="53" t="s">
        <v>933</v>
      </c>
    </row>
    <row r="19" spans="1:2" ht="34" x14ac:dyDescent="0.2">
      <c r="A19" s="52" t="s">
        <v>651</v>
      </c>
      <c r="B19" s="53" t="s">
        <v>934</v>
      </c>
    </row>
    <row r="20" spans="1:2" ht="51" x14ac:dyDescent="0.2">
      <c r="A20" s="52" t="s">
        <v>648</v>
      </c>
      <c r="B20" s="53" t="s">
        <v>935</v>
      </c>
    </row>
    <row r="21" spans="1:2" ht="51" x14ac:dyDescent="0.2">
      <c r="A21" s="52" t="s">
        <v>936</v>
      </c>
      <c r="B21" s="53" t="s">
        <v>937</v>
      </c>
    </row>
    <row r="22" spans="1:2" ht="34" x14ac:dyDescent="0.2">
      <c r="A22" s="52" t="s">
        <v>668</v>
      </c>
      <c r="B22" s="53" t="s">
        <v>938</v>
      </c>
    </row>
    <row r="23" spans="1:2" ht="68" x14ac:dyDescent="0.2">
      <c r="A23" s="52" t="s">
        <v>655</v>
      </c>
      <c r="B23" s="53" t="s">
        <v>939</v>
      </c>
    </row>
    <row r="24" spans="1:2" ht="34" x14ac:dyDescent="0.2">
      <c r="A24" s="52" t="s">
        <v>940</v>
      </c>
      <c r="B24" s="53" t="s">
        <v>941</v>
      </c>
    </row>
    <row r="25" spans="1:2" ht="51" x14ac:dyDescent="0.2">
      <c r="A25" s="52" t="s">
        <v>942</v>
      </c>
      <c r="B25" s="53" t="s">
        <v>943</v>
      </c>
    </row>
    <row r="26" spans="1:2" ht="51" x14ac:dyDescent="0.2">
      <c r="A26" s="52" t="s">
        <v>627</v>
      </c>
      <c r="B26" s="53" t="s">
        <v>944</v>
      </c>
    </row>
    <row r="27" spans="1:2" ht="85" x14ac:dyDescent="0.2">
      <c r="A27" s="52" t="s">
        <v>623</v>
      </c>
      <c r="B27" s="53" t="s">
        <v>945</v>
      </c>
    </row>
    <row r="28" spans="1:2" ht="68" x14ac:dyDescent="0.2">
      <c r="A28" s="52" t="s">
        <v>946</v>
      </c>
      <c r="B28" s="53" t="s">
        <v>947</v>
      </c>
    </row>
    <row r="29" spans="1:2" ht="68" x14ac:dyDescent="0.2">
      <c r="A29" s="52" t="s">
        <v>626</v>
      </c>
      <c r="B29" s="53" t="s">
        <v>948</v>
      </c>
    </row>
    <row r="30" spans="1:2" ht="85" x14ac:dyDescent="0.2">
      <c r="A30" s="52" t="s">
        <v>687</v>
      </c>
      <c r="B30" s="53" t="s">
        <v>949</v>
      </c>
    </row>
    <row r="31" spans="1:2" ht="119" x14ac:dyDescent="0.2">
      <c r="A31" s="52" t="s">
        <v>950</v>
      </c>
      <c r="B31" s="53" t="s">
        <v>951</v>
      </c>
    </row>
    <row r="32" spans="1:2" ht="68" x14ac:dyDescent="0.2">
      <c r="A32" s="52" t="s">
        <v>680</v>
      </c>
      <c r="B32" s="53" t="s">
        <v>952</v>
      </c>
    </row>
    <row r="33" spans="1:2" ht="85" x14ac:dyDescent="0.2">
      <c r="A33" s="52" t="s">
        <v>624</v>
      </c>
      <c r="B33" s="53" t="s">
        <v>953</v>
      </c>
    </row>
    <row r="34" spans="1:2" ht="85" x14ac:dyDescent="0.2">
      <c r="A34" s="52" t="s">
        <v>954</v>
      </c>
      <c r="B34" s="53" t="s">
        <v>955</v>
      </c>
    </row>
    <row r="35" spans="1:2" ht="51" x14ac:dyDescent="0.2">
      <c r="A35" s="52" t="s">
        <v>956</v>
      </c>
      <c r="B35" s="53" t="s">
        <v>957</v>
      </c>
    </row>
    <row r="36" spans="1:2" ht="68" x14ac:dyDescent="0.2">
      <c r="A36" s="52" t="s">
        <v>669</v>
      </c>
      <c r="B36" s="53" t="s">
        <v>958</v>
      </c>
    </row>
    <row r="37" spans="1:2" ht="51" x14ac:dyDescent="0.2">
      <c r="A37" s="52" t="s">
        <v>633</v>
      </c>
      <c r="B37" s="53" t="s">
        <v>959</v>
      </c>
    </row>
    <row r="38" spans="1:2" ht="68" x14ac:dyDescent="0.2">
      <c r="A38" s="52" t="s">
        <v>960</v>
      </c>
      <c r="B38" s="53" t="s">
        <v>961</v>
      </c>
    </row>
    <row r="39" spans="1:2" ht="85" x14ac:dyDescent="0.2">
      <c r="A39" s="52" t="s">
        <v>962</v>
      </c>
      <c r="B39" s="53" t="s">
        <v>963</v>
      </c>
    </row>
    <row r="40" spans="1:2" ht="85" x14ac:dyDescent="0.2">
      <c r="A40" s="52" t="s">
        <v>649</v>
      </c>
      <c r="B40" s="53" t="s">
        <v>964</v>
      </c>
    </row>
    <row r="41" spans="1:2" ht="51" x14ac:dyDescent="0.2">
      <c r="A41" s="52" t="s">
        <v>654</v>
      </c>
      <c r="B41" s="53" t="s">
        <v>965</v>
      </c>
    </row>
    <row r="42" spans="1:2" ht="51" x14ac:dyDescent="0.2">
      <c r="A42" s="52" t="s">
        <v>658</v>
      </c>
      <c r="B42" s="53" t="s">
        <v>966</v>
      </c>
    </row>
    <row r="43" spans="1:2" ht="51" x14ac:dyDescent="0.2">
      <c r="A43" s="52" t="s">
        <v>671</v>
      </c>
      <c r="B43" s="53" t="s">
        <v>967</v>
      </c>
    </row>
    <row r="44" spans="1:2" ht="68" x14ac:dyDescent="0.2">
      <c r="A44" s="52" t="s">
        <v>968</v>
      </c>
      <c r="B44" s="53" t="s">
        <v>969</v>
      </c>
    </row>
    <row r="45" spans="1:2" ht="102" x14ac:dyDescent="0.2">
      <c r="A45" s="52" t="s">
        <v>661</v>
      </c>
      <c r="B45" s="53" t="s">
        <v>970</v>
      </c>
    </row>
    <row r="46" spans="1:2" ht="51" x14ac:dyDescent="0.2">
      <c r="A46" s="52" t="s">
        <v>971</v>
      </c>
      <c r="B46" s="53" t="s">
        <v>972</v>
      </c>
    </row>
    <row r="47" spans="1:2" ht="68" x14ac:dyDescent="0.2">
      <c r="A47" s="52" t="s">
        <v>973</v>
      </c>
      <c r="B47" s="53" t="s">
        <v>974</v>
      </c>
    </row>
    <row r="48" spans="1:2" ht="51" x14ac:dyDescent="0.2">
      <c r="A48" s="52" t="s">
        <v>660</v>
      </c>
      <c r="B48" s="53" t="s">
        <v>975</v>
      </c>
    </row>
    <row r="49" spans="1:2" ht="34" x14ac:dyDescent="0.2">
      <c r="A49" s="52" t="s">
        <v>976</v>
      </c>
      <c r="B49" s="53" t="s">
        <v>977</v>
      </c>
    </row>
    <row r="50" spans="1:2" ht="34" x14ac:dyDescent="0.2">
      <c r="A50" s="52" t="s">
        <v>978</v>
      </c>
      <c r="B50" s="53" t="s">
        <v>979</v>
      </c>
    </row>
    <row r="51" spans="1:2" ht="51" x14ac:dyDescent="0.2">
      <c r="A51" s="52" t="s">
        <v>980</v>
      </c>
      <c r="B51" s="53" t="s">
        <v>981</v>
      </c>
    </row>
    <row r="52" spans="1:2" ht="34" x14ac:dyDescent="0.2">
      <c r="A52" s="52" t="s">
        <v>982</v>
      </c>
      <c r="B52" s="53" t="s">
        <v>983</v>
      </c>
    </row>
    <row r="53" spans="1:2" ht="85" x14ac:dyDescent="0.2">
      <c r="A53" s="52" t="s">
        <v>625</v>
      </c>
      <c r="B53" s="53" t="s">
        <v>984</v>
      </c>
    </row>
    <row r="54" spans="1:2" ht="68" x14ac:dyDescent="0.2">
      <c r="A54" s="52" t="s">
        <v>985</v>
      </c>
      <c r="B54" s="53" t="s">
        <v>986</v>
      </c>
    </row>
    <row r="55" spans="1:2" ht="51" x14ac:dyDescent="0.2">
      <c r="A55" s="52" t="s">
        <v>987</v>
      </c>
      <c r="B55" s="53" t="s">
        <v>988</v>
      </c>
    </row>
    <row r="56" spans="1:2" ht="68" x14ac:dyDescent="0.2">
      <c r="A56" s="52" t="s">
        <v>989</v>
      </c>
      <c r="B56" s="53" t="s">
        <v>990</v>
      </c>
    </row>
    <row r="57" spans="1:2" ht="85" x14ac:dyDescent="0.2">
      <c r="A57" s="52" t="s">
        <v>629</v>
      </c>
      <c r="B57" s="53" t="s">
        <v>991</v>
      </c>
    </row>
    <row r="58" spans="1:2" ht="51" x14ac:dyDescent="0.2">
      <c r="A58" s="52" t="s">
        <v>646</v>
      </c>
      <c r="B58" s="53" t="s">
        <v>992</v>
      </c>
    </row>
    <row r="59" spans="1:2" ht="51" x14ac:dyDescent="0.2">
      <c r="A59" s="52" t="s">
        <v>993</v>
      </c>
      <c r="B59" s="53" t="s">
        <v>994</v>
      </c>
    </row>
    <row r="60" spans="1:2" ht="153" x14ac:dyDescent="0.2">
      <c r="A60" s="52" t="s">
        <v>630</v>
      </c>
      <c r="B60" s="53" t="s">
        <v>995</v>
      </c>
    </row>
    <row r="61" spans="1:2" ht="51" x14ac:dyDescent="0.2">
      <c r="A61" s="52" t="s">
        <v>996</v>
      </c>
      <c r="B61" s="53" t="s">
        <v>997</v>
      </c>
    </row>
    <row r="62" spans="1:2" ht="34" x14ac:dyDescent="0.2">
      <c r="A62" s="52" t="s">
        <v>652</v>
      </c>
      <c r="B62" s="53" t="s">
        <v>998</v>
      </c>
    </row>
    <row r="63" spans="1:2" ht="34" x14ac:dyDescent="0.2">
      <c r="A63" s="52" t="s">
        <v>666</v>
      </c>
      <c r="B63" s="53" t="s">
        <v>999</v>
      </c>
    </row>
    <row r="64" spans="1:2" ht="51" x14ac:dyDescent="0.2">
      <c r="A64" s="52" t="s">
        <v>1000</v>
      </c>
      <c r="B64" s="53" t="s">
        <v>1001</v>
      </c>
    </row>
    <row r="65" spans="1:2" ht="68" x14ac:dyDescent="0.2">
      <c r="A65" s="52" t="s">
        <v>1002</v>
      </c>
      <c r="B65" s="53" t="s">
        <v>1003</v>
      </c>
    </row>
    <row r="66" spans="1:2" ht="51" x14ac:dyDescent="0.2">
      <c r="A66" s="52" t="s">
        <v>1004</v>
      </c>
      <c r="B66" s="53" t="s">
        <v>1005</v>
      </c>
    </row>
    <row r="67" spans="1:2" ht="85" x14ac:dyDescent="0.2">
      <c r="A67" s="52" t="s">
        <v>628</v>
      </c>
      <c r="B67" s="53" t="s">
        <v>1006</v>
      </c>
    </row>
    <row r="68" spans="1:2" ht="85" x14ac:dyDescent="0.2">
      <c r="A68" s="52" t="s">
        <v>647</v>
      </c>
      <c r="B68" s="53" t="s">
        <v>1007</v>
      </c>
    </row>
    <row r="69" spans="1:2" ht="68" x14ac:dyDescent="0.2">
      <c r="A69" s="52" t="s">
        <v>1008</v>
      </c>
      <c r="B69" s="53" t="s">
        <v>1009</v>
      </c>
    </row>
    <row r="70" spans="1:2" ht="68" x14ac:dyDescent="0.2">
      <c r="A70" s="52" t="s">
        <v>681</v>
      </c>
      <c r="B70" s="53" t="s">
        <v>1010</v>
      </c>
    </row>
    <row r="71" spans="1:2" ht="34" x14ac:dyDescent="0.2">
      <c r="A71" s="52" t="s">
        <v>665</v>
      </c>
      <c r="B71" s="53" t="s">
        <v>1011</v>
      </c>
    </row>
    <row r="72" spans="1:2" ht="51" x14ac:dyDescent="0.2">
      <c r="A72" s="52" t="s">
        <v>659</v>
      </c>
      <c r="B72" s="53" t="s">
        <v>1012</v>
      </c>
    </row>
    <row r="73" spans="1:2" ht="51" x14ac:dyDescent="0.2">
      <c r="A73" s="52" t="s">
        <v>1013</v>
      </c>
      <c r="B73" s="53" t="s">
        <v>1014</v>
      </c>
    </row>
    <row r="74" spans="1:2" ht="102" x14ac:dyDescent="0.2">
      <c r="A74" s="52" t="s">
        <v>1015</v>
      </c>
      <c r="B74" s="53" t="s">
        <v>1016</v>
      </c>
    </row>
    <row r="75" spans="1:2" ht="68" x14ac:dyDescent="0.2">
      <c r="A75" s="52" t="s">
        <v>1017</v>
      </c>
      <c r="B75" s="53" t="s">
        <v>1018</v>
      </c>
    </row>
    <row r="76" spans="1:2" ht="34" x14ac:dyDescent="0.2">
      <c r="A76" s="52" t="s">
        <v>1019</v>
      </c>
      <c r="B76" s="53" t="s">
        <v>1020</v>
      </c>
    </row>
    <row r="77" spans="1:2" ht="85" x14ac:dyDescent="0.2">
      <c r="A77" s="52" t="s">
        <v>1021</v>
      </c>
      <c r="B77" s="53" t="s">
        <v>1022</v>
      </c>
    </row>
    <row r="78" spans="1:2" ht="136" x14ac:dyDescent="0.2">
      <c r="A78" s="52" t="s">
        <v>1023</v>
      </c>
      <c r="B78" s="53" t="s">
        <v>1024</v>
      </c>
    </row>
    <row r="79" spans="1:2" ht="85" x14ac:dyDescent="0.2">
      <c r="A79" s="52" t="s">
        <v>1025</v>
      </c>
      <c r="B79" s="53" t="s">
        <v>1026</v>
      </c>
    </row>
    <row r="80" spans="1:2" ht="85" x14ac:dyDescent="0.2">
      <c r="A80" s="52" t="s">
        <v>1027</v>
      </c>
      <c r="B80" s="53" t="s">
        <v>1028</v>
      </c>
    </row>
    <row r="81" spans="1:2" ht="51" x14ac:dyDescent="0.2">
      <c r="A81" s="52" t="s">
        <v>621</v>
      </c>
      <c r="B81" s="53" t="s">
        <v>1029</v>
      </c>
    </row>
    <row r="82" spans="1:2" ht="85" x14ac:dyDescent="0.2">
      <c r="A82" s="52" t="s">
        <v>1030</v>
      </c>
      <c r="B82" s="53" t="s">
        <v>1031</v>
      </c>
    </row>
    <row r="83" spans="1:2" ht="119" x14ac:dyDescent="0.2">
      <c r="A83" s="52" t="s">
        <v>1032</v>
      </c>
      <c r="B83" s="53" t="s">
        <v>1033</v>
      </c>
    </row>
    <row r="84" spans="1:2" ht="85" x14ac:dyDescent="0.2">
      <c r="A84" s="52" t="s">
        <v>1034</v>
      </c>
      <c r="B84" s="53" t="s">
        <v>1035</v>
      </c>
    </row>
    <row r="85" spans="1:2" ht="85" x14ac:dyDescent="0.2">
      <c r="A85" s="52" t="s">
        <v>631</v>
      </c>
      <c r="B85" s="53" t="s">
        <v>1036</v>
      </c>
    </row>
    <row r="86" spans="1:2" ht="85" x14ac:dyDescent="0.2">
      <c r="A86" s="52" t="s">
        <v>1037</v>
      </c>
      <c r="B86" s="53" t="s">
        <v>1038</v>
      </c>
    </row>
    <row r="87" spans="1:2" ht="68" x14ac:dyDescent="0.2">
      <c r="A87" s="52" t="s">
        <v>1039</v>
      </c>
      <c r="B87" s="53" t="s">
        <v>1040</v>
      </c>
    </row>
    <row r="88" spans="1:2" ht="51" x14ac:dyDescent="0.2">
      <c r="A88" s="52" t="s">
        <v>675</v>
      </c>
      <c r="B88" s="53" t="s">
        <v>1041</v>
      </c>
    </row>
    <row r="89" spans="1:2" ht="51" x14ac:dyDescent="0.2">
      <c r="A89" s="52" t="s">
        <v>1042</v>
      </c>
      <c r="B89" s="53" t="s">
        <v>1043</v>
      </c>
    </row>
    <row r="90" spans="1:2" ht="34" x14ac:dyDescent="0.2">
      <c r="A90" s="52" t="s">
        <v>1044</v>
      </c>
      <c r="B90" s="53" t="s">
        <v>1045</v>
      </c>
    </row>
    <row r="91" spans="1:2" ht="102" x14ac:dyDescent="0.2">
      <c r="A91" s="52" t="s">
        <v>1046</v>
      </c>
      <c r="B91" s="53" t="s">
        <v>1047</v>
      </c>
    </row>
    <row r="92" spans="1:2" ht="102" x14ac:dyDescent="0.2">
      <c r="A92" s="52" t="s">
        <v>1048</v>
      </c>
      <c r="B92" s="53" t="s">
        <v>1049</v>
      </c>
    </row>
    <row r="93" spans="1:2" ht="119" x14ac:dyDescent="0.2">
      <c r="A93" s="52" t="s">
        <v>622</v>
      </c>
      <c r="B93" s="53" t="s">
        <v>1050</v>
      </c>
    </row>
    <row r="94" spans="1:2" ht="68" x14ac:dyDescent="0.2">
      <c r="A94" s="52" t="s">
        <v>618</v>
      </c>
      <c r="B94" s="53" t="s">
        <v>1051</v>
      </c>
    </row>
    <row r="95" spans="1:2" ht="68" x14ac:dyDescent="0.2">
      <c r="A95" s="52" t="s">
        <v>620</v>
      </c>
      <c r="B95" s="53" t="s">
        <v>1052</v>
      </c>
    </row>
    <row r="96" spans="1:2" ht="68" x14ac:dyDescent="0.2">
      <c r="A96" s="52" t="s">
        <v>686</v>
      </c>
      <c r="B96" s="53" t="s">
        <v>1053</v>
      </c>
    </row>
    <row r="97" spans="1:2" ht="68" x14ac:dyDescent="0.2">
      <c r="A97" s="52" t="s">
        <v>1054</v>
      </c>
      <c r="B97" s="53" t="s">
        <v>1055</v>
      </c>
    </row>
    <row r="98" spans="1:2" ht="85" x14ac:dyDescent="0.2">
      <c r="A98" s="52" t="s">
        <v>1056</v>
      </c>
      <c r="B98" s="53" t="s">
        <v>1057</v>
      </c>
    </row>
    <row r="99" spans="1:2" ht="119" x14ac:dyDescent="0.2">
      <c r="A99" s="52" t="s">
        <v>1058</v>
      </c>
      <c r="B99" s="53" t="s">
        <v>1059</v>
      </c>
    </row>
    <row r="100" spans="1:2" ht="85" x14ac:dyDescent="0.2">
      <c r="A100" s="52" t="s">
        <v>676</v>
      </c>
      <c r="B100" s="53" t="s">
        <v>1060</v>
      </c>
    </row>
    <row r="101" spans="1:2" ht="85" x14ac:dyDescent="0.2">
      <c r="A101" s="52" t="s">
        <v>1061</v>
      </c>
      <c r="B101" s="53" t="s">
        <v>1062</v>
      </c>
    </row>
    <row r="102" spans="1:2" ht="51" x14ac:dyDescent="0.2">
      <c r="A102" s="52" t="s">
        <v>1063</v>
      </c>
      <c r="B102" s="53" t="s">
        <v>1064</v>
      </c>
    </row>
    <row r="103" spans="1:2" ht="68" x14ac:dyDescent="0.2">
      <c r="A103" s="52" t="s">
        <v>640</v>
      </c>
      <c r="B103" s="53" t="s">
        <v>1065</v>
      </c>
    </row>
    <row r="104" spans="1:2" ht="85" x14ac:dyDescent="0.2">
      <c r="A104" s="52" t="s">
        <v>617</v>
      </c>
      <c r="B104" s="53" t="s">
        <v>1066</v>
      </c>
    </row>
    <row r="105" spans="1:2" ht="102" x14ac:dyDescent="0.2">
      <c r="A105" s="52" t="s">
        <v>641</v>
      </c>
      <c r="B105" s="53" t="s">
        <v>1067</v>
      </c>
    </row>
    <row r="106" spans="1:2" ht="85" x14ac:dyDescent="0.2">
      <c r="A106" s="52" t="s">
        <v>642</v>
      </c>
      <c r="B106" s="53" t="s">
        <v>1068</v>
      </c>
    </row>
    <row r="107" spans="1:2" ht="136" x14ac:dyDescent="0.2">
      <c r="A107" s="52" t="s">
        <v>616</v>
      </c>
      <c r="B107" s="53" t="s">
        <v>1069</v>
      </c>
    </row>
    <row r="108" spans="1:2" ht="51" x14ac:dyDescent="0.2">
      <c r="A108" s="52" t="s">
        <v>1070</v>
      </c>
      <c r="B108" s="53" t="s">
        <v>1071</v>
      </c>
    </row>
    <row r="109" spans="1:2" ht="34" x14ac:dyDescent="0.2">
      <c r="A109" s="52" t="s">
        <v>1072</v>
      </c>
      <c r="B109" s="53" t="s">
        <v>1073</v>
      </c>
    </row>
    <row r="110" spans="1:2" ht="119" x14ac:dyDescent="0.2">
      <c r="A110" s="52" t="s">
        <v>619</v>
      </c>
      <c r="B110" s="53" t="s">
        <v>1074</v>
      </c>
    </row>
    <row r="111" spans="1:2" ht="85" x14ac:dyDescent="0.2">
      <c r="A111" s="52" t="s">
        <v>1075</v>
      </c>
      <c r="B111" s="53" t="s">
        <v>1076</v>
      </c>
    </row>
    <row r="112" spans="1:2" ht="85" x14ac:dyDescent="0.2">
      <c r="A112" s="52" t="s">
        <v>685</v>
      </c>
      <c r="B112" s="53" t="s">
        <v>1077</v>
      </c>
    </row>
    <row r="113" spans="1:2" ht="102" x14ac:dyDescent="0.2">
      <c r="A113" s="52" t="s">
        <v>1078</v>
      </c>
      <c r="B113" s="53" t="s">
        <v>1079</v>
      </c>
    </row>
    <row r="114" spans="1:2" ht="51" x14ac:dyDescent="0.2">
      <c r="A114" s="52" t="s">
        <v>1080</v>
      </c>
      <c r="B114" s="53" t="s">
        <v>1081</v>
      </c>
    </row>
    <row r="115" spans="1:2" ht="30" x14ac:dyDescent="0.15">
      <c r="A115" s="51" t="s">
        <v>650</v>
      </c>
      <c r="B115" s="48" t="s">
        <v>1082</v>
      </c>
    </row>
    <row r="116" spans="1:2" ht="34" x14ac:dyDescent="0.15">
      <c r="A116" s="47" t="s">
        <v>1083</v>
      </c>
      <c r="B116" s="48" t="s">
        <v>1084</v>
      </c>
    </row>
    <row r="117" spans="1:2" ht="45" x14ac:dyDescent="0.15">
      <c r="A117" s="50" t="s">
        <v>635</v>
      </c>
      <c r="B117" s="48" t="s">
        <v>1085</v>
      </c>
    </row>
    <row r="118" spans="1:2" ht="60" x14ac:dyDescent="0.15">
      <c r="A118" s="50" t="s">
        <v>636</v>
      </c>
      <c r="B118" s="48" t="s">
        <v>1086</v>
      </c>
    </row>
    <row r="119" spans="1:2" ht="17" x14ac:dyDescent="0.2">
      <c r="A119" s="47" t="s">
        <v>580</v>
      </c>
      <c r="B119" s="54" t="s">
        <v>1087</v>
      </c>
    </row>
    <row r="120" spans="1:2" ht="17" x14ac:dyDescent="0.2">
      <c r="A120" s="47" t="s">
        <v>574</v>
      </c>
      <c r="B120" s="54" t="s">
        <v>1088</v>
      </c>
    </row>
    <row r="121" spans="1:2" ht="17" x14ac:dyDescent="0.2">
      <c r="A121" s="47" t="s">
        <v>583</v>
      </c>
      <c r="B121" s="54" t="s">
        <v>1089</v>
      </c>
    </row>
    <row r="122" spans="1:2" ht="17" x14ac:dyDescent="0.2">
      <c r="A122" s="47" t="s">
        <v>590</v>
      </c>
      <c r="B122" s="54" t="s">
        <v>1090</v>
      </c>
    </row>
    <row r="123" spans="1:2" ht="17" x14ac:dyDescent="0.2">
      <c r="A123" s="47" t="s">
        <v>576</v>
      </c>
      <c r="B123" s="54" t="s">
        <v>1091</v>
      </c>
    </row>
    <row r="124" spans="1:2" ht="17" x14ac:dyDescent="0.2">
      <c r="A124" s="47" t="s">
        <v>579</v>
      </c>
      <c r="B124" s="54" t="s">
        <v>1092</v>
      </c>
    </row>
    <row r="125" spans="1:2" ht="17" x14ac:dyDescent="0.2">
      <c r="A125" s="47" t="s">
        <v>575</v>
      </c>
      <c r="B125" s="54" t="s">
        <v>1093</v>
      </c>
    </row>
    <row r="126" spans="1:2" ht="17" x14ac:dyDescent="0.2">
      <c r="A126" s="47" t="s">
        <v>1094</v>
      </c>
      <c r="B126" s="54" t="s">
        <v>1095</v>
      </c>
    </row>
    <row r="127" spans="1:2" ht="17" x14ac:dyDescent="0.2">
      <c r="A127" s="47" t="s">
        <v>584</v>
      </c>
      <c r="B127" s="54" t="s">
        <v>1096</v>
      </c>
    </row>
    <row r="128" spans="1:2" ht="17" x14ac:dyDescent="0.2">
      <c r="A128" s="47" t="s">
        <v>570</v>
      </c>
      <c r="B128" s="54" t="s">
        <v>1097</v>
      </c>
    </row>
    <row r="129" spans="1:2" ht="17" x14ac:dyDescent="0.2">
      <c r="A129" s="47" t="s">
        <v>1098</v>
      </c>
      <c r="B129" s="54" t="s">
        <v>1099</v>
      </c>
    </row>
    <row r="130" spans="1:2" ht="17" x14ac:dyDescent="0.2">
      <c r="A130" s="47" t="s">
        <v>573</v>
      </c>
      <c r="B130" s="54" t="s">
        <v>1100</v>
      </c>
    </row>
    <row r="131" spans="1:2" ht="17" x14ac:dyDescent="0.2">
      <c r="A131" s="47" t="s">
        <v>568</v>
      </c>
      <c r="B131" s="54" t="s">
        <v>1101</v>
      </c>
    </row>
    <row r="132" spans="1:2" ht="17" x14ac:dyDescent="0.2">
      <c r="A132" s="47" t="s">
        <v>571</v>
      </c>
      <c r="B132" s="54" t="s">
        <v>1102</v>
      </c>
    </row>
    <row r="133" spans="1:2" ht="17" x14ac:dyDescent="0.2">
      <c r="A133" s="47" t="s">
        <v>1103</v>
      </c>
      <c r="B133" s="54" t="s">
        <v>1104</v>
      </c>
    </row>
    <row r="134" spans="1:2" ht="17" x14ac:dyDescent="0.2">
      <c r="A134" s="47" t="s">
        <v>577</v>
      </c>
      <c r="B134" s="54" t="s">
        <v>1105</v>
      </c>
    </row>
    <row r="135" spans="1:2" ht="17" x14ac:dyDescent="0.2">
      <c r="A135" s="47" t="s">
        <v>591</v>
      </c>
      <c r="B135" s="54" t="s">
        <v>1106</v>
      </c>
    </row>
    <row r="136" spans="1:2" ht="17" x14ac:dyDescent="0.2">
      <c r="A136" s="47" t="s">
        <v>569</v>
      </c>
      <c r="B136" s="54" t="s">
        <v>1107</v>
      </c>
    </row>
    <row r="137" spans="1:2" ht="17" x14ac:dyDescent="0.2">
      <c r="A137" s="47" t="s">
        <v>587</v>
      </c>
      <c r="B137" s="54" t="s">
        <v>1108</v>
      </c>
    </row>
    <row r="138" spans="1:2" ht="17" x14ac:dyDescent="0.2">
      <c r="A138" s="47" t="s">
        <v>593</v>
      </c>
      <c r="B138" s="54" t="s">
        <v>1109</v>
      </c>
    </row>
    <row r="139" spans="1:2" x14ac:dyDescent="0.2">
      <c r="A139" s="55" t="s">
        <v>1110</v>
      </c>
      <c r="B139" s="55" t="s">
        <v>1111</v>
      </c>
    </row>
    <row r="140" spans="1:2" x14ac:dyDescent="0.2">
      <c r="A140" s="55" t="s">
        <v>774</v>
      </c>
      <c r="B140" s="55" t="s">
        <v>1112</v>
      </c>
    </row>
    <row r="141" spans="1:2" x14ac:dyDescent="0.2">
      <c r="A141" s="55" t="s">
        <v>782</v>
      </c>
      <c r="B141" s="55" t="s">
        <v>1113</v>
      </c>
    </row>
    <row r="142" spans="1:2" x14ac:dyDescent="0.2">
      <c r="A142" s="55" t="s">
        <v>1114</v>
      </c>
      <c r="B142" s="55" t="s">
        <v>1115</v>
      </c>
    </row>
    <row r="143" spans="1:2" x14ac:dyDescent="0.2">
      <c r="A143" s="55" t="s">
        <v>769</v>
      </c>
      <c r="B143" s="55" t="s">
        <v>1116</v>
      </c>
    </row>
    <row r="144" spans="1:2" x14ac:dyDescent="0.2">
      <c r="A144" s="55" t="s">
        <v>1117</v>
      </c>
      <c r="B144" s="55" t="s">
        <v>1118</v>
      </c>
    </row>
    <row r="145" spans="1:2" x14ac:dyDescent="0.2">
      <c r="A145" s="55" t="s">
        <v>1119</v>
      </c>
      <c r="B145" s="55" t="s">
        <v>1120</v>
      </c>
    </row>
    <row r="146" spans="1:2" x14ac:dyDescent="0.2">
      <c r="A146" s="55" t="s">
        <v>1121</v>
      </c>
      <c r="B146" s="55" t="s">
        <v>1122</v>
      </c>
    </row>
    <row r="147" spans="1:2" x14ac:dyDescent="0.2">
      <c r="A147" s="55" t="s">
        <v>1123</v>
      </c>
      <c r="B147" s="55" t="s">
        <v>1124</v>
      </c>
    </row>
    <row r="148" spans="1:2" x14ac:dyDescent="0.2">
      <c r="A148" s="55" t="s">
        <v>1125</v>
      </c>
      <c r="B148" s="55" t="s">
        <v>1126</v>
      </c>
    </row>
    <row r="149" spans="1:2" x14ac:dyDescent="0.2">
      <c r="A149" s="55" t="s">
        <v>1127</v>
      </c>
      <c r="B149" s="55" t="s">
        <v>1128</v>
      </c>
    </row>
    <row r="150" spans="1:2" x14ac:dyDescent="0.2">
      <c r="A150" s="55" t="s">
        <v>1129</v>
      </c>
      <c r="B150" s="55" t="s">
        <v>1130</v>
      </c>
    </row>
    <row r="151" spans="1:2" x14ac:dyDescent="0.2">
      <c r="A151" s="55" t="s">
        <v>806</v>
      </c>
      <c r="B151" s="55" t="s">
        <v>1131</v>
      </c>
    </row>
    <row r="152" spans="1:2" x14ac:dyDescent="0.2">
      <c r="A152" s="55" t="s">
        <v>697</v>
      </c>
      <c r="B152" s="55" t="s">
        <v>1132</v>
      </c>
    </row>
    <row r="153" spans="1:2" x14ac:dyDescent="0.2">
      <c r="A153" s="55" t="s">
        <v>1133</v>
      </c>
      <c r="B153" s="55" t="s">
        <v>1134</v>
      </c>
    </row>
    <row r="154" spans="1:2" x14ac:dyDescent="0.2">
      <c r="A154" s="55" t="s">
        <v>1135</v>
      </c>
      <c r="B154" s="55" t="s">
        <v>1136</v>
      </c>
    </row>
    <row r="155" spans="1:2" x14ac:dyDescent="0.2">
      <c r="A155" s="55" t="s">
        <v>1137</v>
      </c>
      <c r="B155" s="55" t="s">
        <v>1138</v>
      </c>
    </row>
    <row r="156" spans="1:2" x14ac:dyDescent="0.2">
      <c r="A156" s="55" t="s">
        <v>1139</v>
      </c>
      <c r="B156" s="55" t="s">
        <v>1140</v>
      </c>
    </row>
    <row r="157" spans="1:2" x14ac:dyDescent="0.2">
      <c r="A157" s="55" t="s">
        <v>1141</v>
      </c>
      <c r="B157" s="55" t="s">
        <v>1142</v>
      </c>
    </row>
    <row r="158" spans="1:2" x14ac:dyDescent="0.2">
      <c r="A158" s="55" t="s">
        <v>1143</v>
      </c>
      <c r="B158" s="55" t="s">
        <v>1144</v>
      </c>
    </row>
    <row r="159" spans="1:2" x14ac:dyDescent="0.2">
      <c r="A159" s="55" t="s">
        <v>1145</v>
      </c>
      <c r="B159" s="55" t="s">
        <v>1146</v>
      </c>
    </row>
    <row r="160" spans="1:2" x14ac:dyDescent="0.2">
      <c r="A160" s="55" t="s">
        <v>1147</v>
      </c>
      <c r="B160" s="55" t="s">
        <v>1148</v>
      </c>
    </row>
    <row r="161" spans="1:2" x14ac:dyDescent="0.2">
      <c r="A161" s="55" t="s">
        <v>1149</v>
      </c>
      <c r="B161" s="55" t="s">
        <v>1150</v>
      </c>
    </row>
    <row r="162" spans="1:2" x14ac:dyDescent="0.2">
      <c r="A162" s="55" t="s">
        <v>1151</v>
      </c>
      <c r="B162" s="55" t="s">
        <v>1152</v>
      </c>
    </row>
    <row r="163" spans="1:2" x14ac:dyDescent="0.2">
      <c r="A163" s="55" t="s">
        <v>777</v>
      </c>
      <c r="B163" s="55" t="s">
        <v>1153</v>
      </c>
    </row>
    <row r="164" spans="1:2" x14ac:dyDescent="0.2">
      <c r="A164" s="55" t="s">
        <v>792</v>
      </c>
      <c r="B164" s="55" t="s">
        <v>1154</v>
      </c>
    </row>
    <row r="165" spans="1:2" x14ac:dyDescent="0.2">
      <c r="A165" s="55" t="s">
        <v>1155</v>
      </c>
      <c r="B165" s="55" t="s">
        <v>1156</v>
      </c>
    </row>
    <row r="166" spans="1:2" x14ac:dyDescent="0.2">
      <c r="A166" s="55" t="s">
        <v>770</v>
      </c>
      <c r="B166" s="55" t="s">
        <v>1157</v>
      </c>
    </row>
    <row r="167" spans="1:2" x14ac:dyDescent="0.2">
      <c r="A167" s="55" t="s">
        <v>793</v>
      </c>
      <c r="B167" s="55" t="s">
        <v>1158</v>
      </c>
    </row>
    <row r="168" spans="1:2" x14ac:dyDescent="0.2">
      <c r="A168" s="55" t="s">
        <v>812</v>
      </c>
      <c r="B168" s="55" t="s">
        <v>1159</v>
      </c>
    </row>
    <row r="169" spans="1:2" x14ac:dyDescent="0.2">
      <c r="A169" s="55" t="s">
        <v>1160</v>
      </c>
      <c r="B169" s="55" t="s">
        <v>1161</v>
      </c>
    </row>
    <row r="170" spans="1:2" x14ac:dyDescent="0.2">
      <c r="A170" s="55" t="s">
        <v>1162</v>
      </c>
      <c r="B170" s="55" t="s">
        <v>1163</v>
      </c>
    </row>
    <row r="171" spans="1:2" x14ac:dyDescent="0.2">
      <c r="A171" s="55" t="s">
        <v>1164</v>
      </c>
      <c r="B171" s="55" t="s">
        <v>1165</v>
      </c>
    </row>
    <row r="172" spans="1:2" x14ac:dyDescent="0.2">
      <c r="A172" s="55" t="s">
        <v>1166</v>
      </c>
      <c r="B172" s="55" t="s">
        <v>1167</v>
      </c>
    </row>
    <row r="173" spans="1:2" x14ac:dyDescent="0.2">
      <c r="A173" s="55" t="s">
        <v>785</v>
      </c>
      <c r="B173" s="55" t="s">
        <v>1168</v>
      </c>
    </row>
    <row r="174" spans="1:2" x14ac:dyDescent="0.2">
      <c r="A174" s="55" t="s">
        <v>784</v>
      </c>
      <c r="B174" s="55" t="s">
        <v>1169</v>
      </c>
    </row>
    <row r="175" spans="1:2" x14ac:dyDescent="0.2">
      <c r="A175" s="55" t="s">
        <v>789</v>
      </c>
      <c r="B175" s="55" t="s">
        <v>1170</v>
      </c>
    </row>
    <row r="176" spans="1:2" x14ac:dyDescent="0.2">
      <c r="A176" s="55" t="s">
        <v>794</v>
      </c>
      <c r="B176" s="55" t="s">
        <v>1171</v>
      </c>
    </row>
    <row r="177" spans="1:2" x14ac:dyDescent="0.2">
      <c r="A177" s="55" t="s">
        <v>795</v>
      </c>
      <c r="B177" s="55" t="s">
        <v>1172</v>
      </c>
    </row>
    <row r="178" spans="1:2" x14ac:dyDescent="0.2">
      <c r="A178" s="55" t="s">
        <v>776</v>
      </c>
      <c r="B178" s="55" t="s">
        <v>1173</v>
      </c>
    </row>
    <row r="179" spans="1:2" x14ac:dyDescent="0.2">
      <c r="A179" s="55" t="s">
        <v>809</v>
      </c>
      <c r="B179" s="55" t="s">
        <v>1174</v>
      </c>
    </row>
    <row r="180" spans="1:2" x14ac:dyDescent="0.2">
      <c r="A180" s="55" t="s">
        <v>814</v>
      </c>
      <c r="B180" s="55" t="s">
        <v>1175</v>
      </c>
    </row>
    <row r="181" spans="1:2" x14ac:dyDescent="0.2">
      <c r="A181" s="55" t="s">
        <v>810</v>
      </c>
      <c r="B181" s="55" t="s">
        <v>1176</v>
      </c>
    </row>
    <row r="182" spans="1:2" x14ac:dyDescent="0.2">
      <c r="A182" s="55" t="s">
        <v>780</v>
      </c>
      <c r="B182" s="55" t="s">
        <v>1177</v>
      </c>
    </row>
    <row r="183" spans="1:2" x14ac:dyDescent="0.2">
      <c r="A183" s="55" t="s">
        <v>786</v>
      </c>
      <c r="B183" s="55" t="s">
        <v>1178</v>
      </c>
    </row>
    <row r="184" spans="1:2" x14ac:dyDescent="0.2">
      <c r="A184" s="55" t="s">
        <v>1179</v>
      </c>
      <c r="B184" s="55" t="s">
        <v>1180</v>
      </c>
    </row>
    <row r="185" spans="1:2" x14ac:dyDescent="0.2">
      <c r="A185" s="55" t="s">
        <v>1181</v>
      </c>
      <c r="B185" s="55" t="s">
        <v>1182</v>
      </c>
    </row>
    <row r="186" spans="1:2" x14ac:dyDescent="0.2">
      <c r="A186" s="55" t="s">
        <v>1183</v>
      </c>
      <c r="B186" s="55" t="s">
        <v>1184</v>
      </c>
    </row>
    <row r="187" spans="1:2" x14ac:dyDescent="0.2">
      <c r="A187" s="55" t="s">
        <v>1185</v>
      </c>
      <c r="B187" s="55" t="s">
        <v>1186</v>
      </c>
    </row>
    <row r="188" spans="1:2" x14ac:dyDescent="0.2">
      <c r="A188" s="55" t="s">
        <v>699</v>
      </c>
      <c r="B188" s="55" t="s">
        <v>1187</v>
      </c>
    </row>
    <row r="189" spans="1:2" x14ac:dyDescent="0.2">
      <c r="A189" s="55" t="s">
        <v>1188</v>
      </c>
      <c r="B189" s="55" t="s">
        <v>1189</v>
      </c>
    </row>
    <row r="190" spans="1:2" x14ac:dyDescent="0.2">
      <c r="A190" s="55" t="s">
        <v>811</v>
      </c>
      <c r="B190" s="55" t="s">
        <v>1190</v>
      </c>
    </row>
    <row r="191" spans="1:2" x14ac:dyDescent="0.2">
      <c r="A191" s="55" t="s">
        <v>807</v>
      </c>
      <c r="B191" s="55" t="s">
        <v>1191</v>
      </c>
    </row>
    <row r="192" spans="1:2" x14ac:dyDescent="0.2">
      <c r="A192" s="55" t="s">
        <v>1192</v>
      </c>
      <c r="B192" s="55" t="s">
        <v>1193</v>
      </c>
    </row>
    <row r="193" spans="1:2" x14ac:dyDescent="0.2">
      <c r="A193" s="55" t="s">
        <v>1194</v>
      </c>
      <c r="B193" s="55" t="s">
        <v>1195</v>
      </c>
    </row>
    <row r="194" spans="1:2" x14ac:dyDescent="0.2">
      <c r="A194" s="55" t="s">
        <v>779</v>
      </c>
      <c r="B194" s="55" t="s">
        <v>1196</v>
      </c>
    </row>
    <row r="195" spans="1:2" x14ac:dyDescent="0.2">
      <c r="A195" s="55" t="s">
        <v>1197</v>
      </c>
      <c r="B195" s="55" t="s">
        <v>1198</v>
      </c>
    </row>
    <row r="196" spans="1:2" x14ac:dyDescent="0.2">
      <c r="A196" s="55" t="s">
        <v>773</v>
      </c>
      <c r="B196" s="55" t="s">
        <v>1199</v>
      </c>
    </row>
    <row r="197" spans="1:2" x14ac:dyDescent="0.2">
      <c r="A197" s="55" t="s">
        <v>813</v>
      </c>
      <c r="B197" s="55" t="s">
        <v>1200</v>
      </c>
    </row>
    <row r="198" spans="1:2" x14ac:dyDescent="0.2">
      <c r="A198" s="55" t="s">
        <v>1201</v>
      </c>
      <c r="B198" s="55" t="s">
        <v>1202</v>
      </c>
    </row>
    <row r="199" spans="1:2" x14ac:dyDescent="0.2">
      <c r="A199" s="55" t="s">
        <v>1203</v>
      </c>
      <c r="B199" s="55" t="s">
        <v>1204</v>
      </c>
    </row>
    <row r="200" spans="1:2" x14ac:dyDescent="0.2">
      <c r="A200" s="55" t="s">
        <v>1205</v>
      </c>
      <c r="B200" s="55" t="s">
        <v>1206</v>
      </c>
    </row>
    <row r="201" spans="1:2" x14ac:dyDescent="0.2">
      <c r="A201" s="55" t="s">
        <v>1207</v>
      </c>
      <c r="B201" s="55" t="s">
        <v>1208</v>
      </c>
    </row>
    <row r="202" spans="1:2" x14ac:dyDescent="0.2">
      <c r="A202" s="55" t="s">
        <v>1209</v>
      </c>
      <c r="B202" s="55" t="s">
        <v>1210</v>
      </c>
    </row>
    <row r="203" spans="1:2" x14ac:dyDescent="0.2">
      <c r="A203" s="55" t="s">
        <v>796</v>
      </c>
      <c r="B203" s="55" t="s">
        <v>1211</v>
      </c>
    </row>
    <row r="204" spans="1:2" x14ac:dyDescent="0.2">
      <c r="A204" s="55" t="s">
        <v>805</v>
      </c>
      <c r="B204" s="55" t="s">
        <v>1212</v>
      </c>
    </row>
    <row r="205" spans="1:2" x14ac:dyDescent="0.2">
      <c r="A205" s="55" t="s">
        <v>1213</v>
      </c>
      <c r="B205" s="55" t="s">
        <v>1214</v>
      </c>
    </row>
    <row r="206" spans="1:2" x14ac:dyDescent="0.2">
      <c r="A206" s="55" t="s">
        <v>1215</v>
      </c>
      <c r="B206" s="55" t="s">
        <v>1216</v>
      </c>
    </row>
    <row r="207" spans="1:2" x14ac:dyDescent="0.2">
      <c r="A207" s="55" t="s">
        <v>1217</v>
      </c>
      <c r="B207" s="55" t="s">
        <v>1218</v>
      </c>
    </row>
    <row r="208" spans="1:2" x14ac:dyDescent="0.2">
      <c r="A208" s="55" t="s">
        <v>1219</v>
      </c>
      <c r="B208" s="55" t="s">
        <v>1220</v>
      </c>
    </row>
    <row r="209" spans="1:2" x14ac:dyDescent="0.2">
      <c r="A209" s="55" t="s">
        <v>799</v>
      </c>
      <c r="B209" s="55" t="s">
        <v>1221</v>
      </c>
    </row>
    <row r="210" spans="1:2" x14ac:dyDescent="0.2">
      <c r="A210" s="55" t="s">
        <v>816</v>
      </c>
      <c r="B210" s="55" t="s">
        <v>1222</v>
      </c>
    </row>
    <row r="211" spans="1:2" x14ac:dyDescent="0.2">
      <c r="A211" s="55" t="s">
        <v>1223</v>
      </c>
      <c r="B211" s="55" t="s">
        <v>1224</v>
      </c>
    </row>
    <row r="212" spans="1:2" x14ac:dyDescent="0.2">
      <c r="A212" s="55" t="s">
        <v>1225</v>
      </c>
      <c r="B212" s="55" t="s">
        <v>1226</v>
      </c>
    </row>
    <row r="213" spans="1:2" x14ac:dyDescent="0.2">
      <c r="A213" s="55" t="s">
        <v>1227</v>
      </c>
      <c r="B213" s="55" t="s">
        <v>1228</v>
      </c>
    </row>
    <row r="214" spans="1:2" x14ac:dyDescent="0.2">
      <c r="A214" s="55" t="s">
        <v>1229</v>
      </c>
      <c r="B214" s="55" t="s">
        <v>1230</v>
      </c>
    </row>
    <row r="215" spans="1:2" x14ac:dyDescent="0.2">
      <c r="A215" s="55" t="s">
        <v>1231</v>
      </c>
      <c r="B215" s="55" t="s">
        <v>1232</v>
      </c>
    </row>
    <row r="216" spans="1:2" x14ac:dyDescent="0.2">
      <c r="A216" s="55" t="s">
        <v>1233</v>
      </c>
      <c r="B216" s="55" t="s">
        <v>1234</v>
      </c>
    </row>
    <row r="217" spans="1:2" x14ac:dyDescent="0.2">
      <c r="A217" s="55" t="s">
        <v>1235</v>
      </c>
      <c r="B217" s="55" t="s">
        <v>1236</v>
      </c>
    </row>
    <row r="218" spans="1:2" x14ac:dyDescent="0.2">
      <c r="A218" s="55" t="s">
        <v>1237</v>
      </c>
      <c r="B218" s="55" t="s">
        <v>1238</v>
      </c>
    </row>
    <row r="219" spans="1:2" x14ac:dyDescent="0.2">
      <c r="A219" s="55" t="s">
        <v>1239</v>
      </c>
      <c r="B219" s="55" t="s">
        <v>1240</v>
      </c>
    </row>
    <row r="220" spans="1:2" x14ac:dyDescent="0.2">
      <c r="A220" s="55" t="s">
        <v>1241</v>
      </c>
      <c r="B220" s="55" t="s">
        <v>1242</v>
      </c>
    </row>
    <row r="221" spans="1:2" x14ac:dyDescent="0.2">
      <c r="A221" s="55" t="s">
        <v>1243</v>
      </c>
      <c r="B221" s="55" t="s">
        <v>1244</v>
      </c>
    </row>
    <row r="222" spans="1:2" x14ac:dyDescent="0.2">
      <c r="A222" s="55" t="s">
        <v>1245</v>
      </c>
      <c r="B222" s="55" t="s">
        <v>1246</v>
      </c>
    </row>
    <row r="223" spans="1:2" x14ac:dyDescent="0.2">
      <c r="A223" s="55" t="s">
        <v>1247</v>
      </c>
      <c r="B223" s="55" t="s">
        <v>1248</v>
      </c>
    </row>
    <row r="224" spans="1:2" x14ac:dyDescent="0.2">
      <c r="A224" s="55" t="s">
        <v>1249</v>
      </c>
      <c r="B224" s="55" t="s">
        <v>1250</v>
      </c>
    </row>
    <row r="225" spans="1:2" x14ac:dyDescent="0.2">
      <c r="A225" s="55" t="s">
        <v>1251</v>
      </c>
      <c r="B225" s="55" t="s">
        <v>1252</v>
      </c>
    </row>
    <row r="226" spans="1:2" x14ac:dyDescent="0.2">
      <c r="A226" s="55" t="s">
        <v>1253</v>
      </c>
      <c r="B226" s="55" t="s">
        <v>1254</v>
      </c>
    </row>
    <row r="227" spans="1:2" x14ac:dyDescent="0.2">
      <c r="A227" s="55" t="s">
        <v>1255</v>
      </c>
      <c r="B227" s="55" t="s">
        <v>1256</v>
      </c>
    </row>
    <row r="228" spans="1:2" x14ac:dyDescent="0.2">
      <c r="A228" s="55" t="s">
        <v>1257</v>
      </c>
      <c r="B228" s="55" t="s">
        <v>1258</v>
      </c>
    </row>
    <row r="229" spans="1:2" x14ac:dyDescent="0.2">
      <c r="A229" s="55" t="s">
        <v>1259</v>
      </c>
      <c r="B229" s="55" t="s">
        <v>1260</v>
      </c>
    </row>
    <row r="230" spans="1:2" x14ac:dyDescent="0.2">
      <c r="A230" s="55" t="s">
        <v>1261</v>
      </c>
      <c r="B230" s="55" t="s">
        <v>1262</v>
      </c>
    </row>
    <row r="231" spans="1:2" x14ac:dyDescent="0.2">
      <c r="A231" s="55" t="s">
        <v>1263</v>
      </c>
      <c r="B231" s="55" t="s">
        <v>1264</v>
      </c>
    </row>
    <row r="232" spans="1:2" x14ac:dyDescent="0.2">
      <c r="A232" s="55" t="s">
        <v>1265</v>
      </c>
      <c r="B232" s="55" t="s">
        <v>1266</v>
      </c>
    </row>
    <row r="233" spans="1:2" x14ac:dyDescent="0.2">
      <c r="A233" s="55" t="s">
        <v>1267</v>
      </c>
      <c r="B233" s="55" t="s">
        <v>1268</v>
      </c>
    </row>
    <row r="234" spans="1:2" x14ac:dyDescent="0.2">
      <c r="A234" s="55" t="s">
        <v>1269</v>
      </c>
      <c r="B234" s="55" t="s">
        <v>1270</v>
      </c>
    </row>
    <row r="235" spans="1:2" x14ac:dyDescent="0.2">
      <c r="A235" s="55" t="s">
        <v>1271</v>
      </c>
      <c r="B235" s="55" t="s">
        <v>1272</v>
      </c>
    </row>
    <row r="236" spans="1:2" x14ac:dyDescent="0.2">
      <c r="A236" s="55" t="s">
        <v>1273</v>
      </c>
      <c r="B236" s="55" t="s">
        <v>1274</v>
      </c>
    </row>
    <row r="237" spans="1:2" ht="34" x14ac:dyDescent="0.2">
      <c r="A237" s="47" t="s">
        <v>771</v>
      </c>
      <c r="B237" s="54" t="s">
        <v>1275</v>
      </c>
    </row>
    <row r="238" spans="1:2" ht="51" x14ac:dyDescent="0.2">
      <c r="A238" s="47" t="s">
        <v>775</v>
      </c>
      <c r="B238" s="54" t="s">
        <v>1276</v>
      </c>
    </row>
    <row r="239" spans="1:2" ht="34" x14ac:dyDescent="0.2">
      <c r="A239" s="47" t="s">
        <v>778</v>
      </c>
      <c r="B239" s="54" t="s">
        <v>1277</v>
      </c>
    </row>
    <row r="240" spans="1:2" ht="34" x14ac:dyDescent="0.2">
      <c r="A240" s="47" t="s">
        <v>783</v>
      </c>
      <c r="B240" s="54" t="s">
        <v>1278</v>
      </c>
    </row>
    <row r="241" spans="1:2" ht="34" x14ac:dyDescent="0.2">
      <c r="A241" s="47" t="s">
        <v>791</v>
      </c>
      <c r="B241" s="54" t="s">
        <v>1279</v>
      </c>
    </row>
    <row r="242" spans="1:2" ht="51" x14ac:dyDescent="0.2">
      <c r="A242" s="47" t="s">
        <v>797</v>
      </c>
      <c r="B242" s="54" t="s">
        <v>1280</v>
      </c>
    </row>
    <row r="243" spans="1:2" ht="68" x14ac:dyDescent="0.2">
      <c r="A243" s="47" t="s">
        <v>803</v>
      </c>
      <c r="B243" s="54" t="s">
        <v>1281</v>
      </c>
    </row>
    <row r="244" spans="1:2" ht="85" x14ac:dyDescent="0.2">
      <c r="A244" s="47" t="s">
        <v>804</v>
      </c>
      <c r="B244" s="54" t="s">
        <v>1282</v>
      </c>
    </row>
    <row r="245" spans="1:2" ht="34" x14ac:dyDescent="0.2">
      <c r="A245" s="47" t="s">
        <v>815</v>
      </c>
      <c r="B245" s="54" t="s">
        <v>1283</v>
      </c>
    </row>
    <row r="246" spans="1:2" ht="17" x14ac:dyDescent="0.2">
      <c r="A246" s="47" t="s">
        <v>715</v>
      </c>
      <c r="B246" s="54" t="s">
        <v>1284</v>
      </c>
    </row>
    <row r="247" spans="1:2" ht="17" x14ac:dyDescent="0.2">
      <c r="A247" s="47" t="s">
        <v>702</v>
      </c>
      <c r="B247" s="54" t="s">
        <v>1285</v>
      </c>
    </row>
    <row r="248" spans="1:2" ht="17" x14ac:dyDescent="0.2">
      <c r="A248" s="47" t="s">
        <v>737</v>
      </c>
      <c r="B248" s="54" t="s">
        <v>1286</v>
      </c>
    </row>
    <row r="249" spans="1:2" ht="17" x14ac:dyDescent="0.2">
      <c r="A249" s="47" t="s">
        <v>707</v>
      </c>
      <c r="B249" s="54" t="s">
        <v>1287</v>
      </c>
    </row>
    <row r="250" spans="1:2" ht="17" x14ac:dyDescent="0.2">
      <c r="A250" s="47" t="s">
        <v>1288</v>
      </c>
      <c r="B250" s="54" t="s">
        <v>1289</v>
      </c>
    </row>
    <row r="251" spans="1:2" ht="17" x14ac:dyDescent="0.2">
      <c r="A251" s="47" t="s">
        <v>1290</v>
      </c>
      <c r="B251" s="54" t="s">
        <v>1291</v>
      </c>
    </row>
    <row r="252" spans="1:2" ht="17" x14ac:dyDescent="0.2">
      <c r="A252" s="47" t="s">
        <v>753</v>
      </c>
      <c r="B252" s="54" t="s">
        <v>1292</v>
      </c>
    </row>
    <row r="253" spans="1:2" ht="17" x14ac:dyDescent="0.2">
      <c r="A253" s="47" t="s">
        <v>763</v>
      </c>
      <c r="B253" s="54" t="s">
        <v>1293</v>
      </c>
    </row>
    <row r="254" spans="1:2" ht="17" x14ac:dyDescent="0.2">
      <c r="A254" s="47" t="s">
        <v>1294</v>
      </c>
      <c r="B254" s="54" t="s">
        <v>1295</v>
      </c>
    </row>
    <row r="255" spans="1:2" ht="17" x14ac:dyDescent="0.2">
      <c r="A255" s="47" t="s">
        <v>1296</v>
      </c>
      <c r="B255" s="54" t="s">
        <v>1297</v>
      </c>
    </row>
    <row r="256" spans="1:2" ht="17" x14ac:dyDescent="0.2">
      <c r="A256" s="47" t="s">
        <v>1298</v>
      </c>
      <c r="B256" s="54" t="s">
        <v>1299</v>
      </c>
    </row>
    <row r="257" spans="1:2" ht="17" x14ac:dyDescent="0.2">
      <c r="A257" s="47" t="s">
        <v>1300</v>
      </c>
      <c r="B257" s="54" t="s">
        <v>1301</v>
      </c>
    </row>
    <row r="258" spans="1:2" ht="17" x14ac:dyDescent="0.2">
      <c r="A258" s="47" t="s">
        <v>1302</v>
      </c>
      <c r="B258" s="54" t="s">
        <v>1303</v>
      </c>
    </row>
    <row r="259" spans="1:2" ht="17" x14ac:dyDescent="0.2">
      <c r="A259" s="47" t="s">
        <v>1304</v>
      </c>
      <c r="B259" s="54" t="s">
        <v>1305</v>
      </c>
    </row>
    <row r="260" spans="1:2" ht="17" x14ac:dyDescent="0.2">
      <c r="A260" s="47" t="s">
        <v>1306</v>
      </c>
      <c r="B260" s="54" t="s">
        <v>1307</v>
      </c>
    </row>
    <row r="261" spans="1:2" ht="17" x14ac:dyDescent="0.2">
      <c r="A261" s="47" t="s">
        <v>1308</v>
      </c>
      <c r="B261" s="54" t="s">
        <v>1309</v>
      </c>
    </row>
    <row r="262" spans="1:2" ht="17" x14ac:dyDescent="0.2">
      <c r="A262" s="47" t="s">
        <v>1310</v>
      </c>
      <c r="B262" s="54" t="s">
        <v>1311</v>
      </c>
    </row>
    <row r="263" spans="1:2" ht="17" x14ac:dyDescent="0.2">
      <c r="A263" s="47" t="s">
        <v>1312</v>
      </c>
      <c r="B263" s="54" t="s">
        <v>1313</v>
      </c>
    </row>
    <row r="264" spans="1:2" ht="17" x14ac:dyDescent="0.2">
      <c r="A264" s="47" t="s">
        <v>741</v>
      </c>
      <c r="B264" s="54" t="s">
        <v>1314</v>
      </c>
    </row>
    <row r="265" spans="1:2" ht="17" x14ac:dyDescent="0.2">
      <c r="A265" s="47" t="s">
        <v>1315</v>
      </c>
      <c r="B265" s="54" t="s">
        <v>1316</v>
      </c>
    </row>
    <row r="266" spans="1:2" ht="17" x14ac:dyDescent="0.2">
      <c r="A266" s="47" t="s">
        <v>1317</v>
      </c>
      <c r="B266" s="54" t="s">
        <v>1318</v>
      </c>
    </row>
    <row r="267" spans="1:2" ht="17" x14ac:dyDescent="0.2">
      <c r="A267" s="47" t="s">
        <v>726</v>
      </c>
      <c r="B267" s="54" t="s">
        <v>1319</v>
      </c>
    </row>
    <row r="268" spans="1:2" ht="17" x14ac:dyDescent="0.2">
      <c r="A268" s="47" t="s">
        <v>751</v>
      </c>
      <c r="B268" s="54" t="s">
        <v>1320</v>
      </c>
    </row>
    <row r="269" spans="1:2" ht="17" x14ac:dyDescent="0.2">
      <c r="A269" s="47" t="s">
        <v>759</v>
      </c>
      <c r="B269" s="54" t="s">
        <v>1321</v>
      </c>
    </row>
    <row r="270" spans="1:2" ht="17" x14ac:dyDescent="0.2">
      <c r="A270" s="47" t="s">
        <v>1322</v>
      </c>
      <c r="B270" s="54" t="s">
        <v>1323</v>
      </c>
    </row>
    <row r="271" spans="1:2" ht="17" x14ac:dyDescent="0.2">
      <c r="A271" s="47" t="s">
        <v>740</v>
      </c>
      <c r="B271" s="54" t="s">
        <v>1324</v>
      </c>
    </row>
    <row r="272" spans="1:2" ht="17" x14ac:dyDescent="0.2">
      <c r="A272" s="47" t="s">
        <v>766</v>
      </c>
      <c r="B272" s="54" t="s">
        <v>1325</v>
      </c>
    </row>
    <row r="273" spans="1:2" ht="17" x14ac:dyDescent="0.2">
      <c r="A273" s="47" t="s">
        <v>1326</v>
      </c>
      <c r="B273" s="54" t="s">
        <v>1327</v>
      </c>
    </row>
    <row r="274" spans="1:2" ht="17" x14ac:dyDescent="0.2">
      <c r="A274" s="47" t="s">
        <v>1328</v>
      </c>
      <c r="B274" s="54" t="s">
        <v>1329</v>
      </c>
    </row>
    <row r="275" spans="1:2" ht="17" x14ac:dyDescent="0.2">
      <c r="A275" s="47" t="s">
        <v>1330</v>
      </c>
      <c r="B275" s="54" t="s">
        <v>1331</v>
      </c>
    </row>
    <row r="276" spans="1:2" ht="17" x14ac:dyDescent="0.2">
      <c r="A276" s="47" t="s">
        <v>1332</v>
      </c>
      <c r="B276" s="54" t="s">
        <v>1333</v>
      </c>
    </row>
    <row r="277" spans="1:2" ht="17" x14ac:dyDescent="0.2">
      <c r="A277" s="47" t="s">
        <v>1334</v>
      </c>
      <c r="B277" s="54" t="s">
        <v>1335</v>
      </c>
    </row>
    <row r="278" spans="1:2" ht="17" x14ac:dyDescent="0.2">
      <c r="A278" s="47" t="s">
        <v>1336</v>
      </c>
      <c r="B278" s="54" t="s">
        <v>1337</v>
      </c>
    </row>
    <row r="279" spans="1:2" ht="17" x14ac:dyDescent="0.2">
      <c r="A279" s="47" t="s">
        <v>1338</v>
      </c>
      <c r="B279" s="54" t="s">
        <v>1339</v>
      </c>
    </row>
    <row r="280" spans="1:2" ht="17" x14ac:dyDescent="0.2">
      <c r="A280" s="47" t="s">
        <v>1340</v>
      </c>
      <c r="B280" s="54" t="s">
        <v>1341</v>
      </c>
    </row>
    <row r="281" spans="1:2" ht="17" x14ac:dyDescent="0.2">
      <c r="A281" s="47" t="s">
        <v>1342</v>
      </c>
      <c r="B281" s="54" t="s">
        <v>1343</v>
      </c>
    </row>
    <row r="282" spans="1:2" ht="17" x14ac:dyDescent="0.2">
      <c r="A282" s="47" t="s">
        <v>1344</v>
      </c>
      <c r="B282" s="54" t="s">
        <v>1345</v>
      </c>
    </row>
    <row r="283" spans="1:2" ht="17" x14ac:dyDescent="0.2">
      <c r="A283" s="47" t="s">
        <v>723</v>
      </c>
      <c r="B283" s="54" t="s">
        <v>1346</v>
      </c>
    </row>
    <row r="284" spans="1:2" ht="17" x14ac:dyDescent="0.2">
      <c r="A284" s="47" t="s">
        <v>1347</v>
      </c>
      <c r="B284" s="54" t="s">
        <v>1348</v>
      </c>
    </row>
    <row r="285" spans="1:2" ht="17" x14ac:dyDescent="0.2">
      <c r="A285" s="47" t="s">
        <v>1349</v>
      </c>
      <c r="B285" s="54" t="s">
        <v>1350</v>
      </c>
    </row>
    <row r="286" spans="1:2" ht="17" x14ac:dyDescent="0.2">
      <c r="A286" s="47" t="s">
        <v>1351</v>
      </c>
      <c r="B286" s="54" t="s">
        <v>1352</v>
      </c>
    </row>
    <row r="287" spans="1:2" ht="17" x14ac:dyDescent="0.2">
      <c r="A287" s="47" t="s">
        <v>1353</v>
      </c>
      <c r="B287" s="54" t="s">
        <v>1354</v>
      </c>
    </row>
    <row r="288" spans="1:2" ht="17" x14ac:dyDescent="0.2">
      <c r="A288" s="47" t="s">
        <v>705</v>
      </c>
      <c r="B288" s="54" t="s">
        <v>1355</v>
      </c>
    </row>
    <row r="289" spans="1:2" ht="17" x14ac:dyDescent="0.2">
      <c r="A289" s="47" t="s">
        <v>712</v>
      </c>
      <c r="B289" s="54" t="s">
        <v>1356</v>
      </c>
    </row>
    <row r="290" spans="1:2" ht="17" x14ac:dyDescent="0.2">
      <c r="A290" s="47" t="s">
        <v>1357</v>
      </c>
      <c r="B290" s="54" t="s">
        <v>1358</v>
      </c>
    </row>
    <row r="291" spans="1:2" ht="17" x14ac:dyDescent="0.2">
      <c r="A291" s="47" t="s">
        <v>1359</v>
      </c>
      <c r="B291" s="54" t="s">
        <v>1360</v>
      </c>
    </row>
    <row r="292" spans="1:2" ht="17" x14ac:dyDescent="0.2">
      <c r="A292" s="47" t="s">
        <v>1361</v>
      </c>
      <c r="B292" s="54" t="s">
        <v>1362</v>
      </c>
    </row>
    <row r="293" spans="1:2" ht="17" x14ac:dyDescent="0.2">
      <c r="A293" s="47" t="s">
        <v>1363</v>
      </c>
      <c r="B293" s="54" t="s">
        <v>1364</v>
      </c>
    </row>
    <row r="294" spans="1:2" ht="17" x14ac:dyDescent="0.2">
      <c r="A294" s="47" t="s">
        <v>709</v>
      </c>
      <c r="B294" s="54" t="s">
        <v>1365</v>
      </c>
    </row>
    <row r="295" spans="1:2" ht="17" x14ac:dyDescent="0.2">
      <c r="A295" s="47" t="s">
        <v>710</v>
      </c>
      <c r="B295" s="54" t="s">
        <v>1366</v>
      </c>
    </row>
    <row r="296" spans="1:2" ht="17" x14ac:dyDescent="0.2">
      <c r="A296" s="47" t="s">
        <v>1367</v>
      </c>
      <c r="B296" s="54" t="s">
        <v>1368</v>
      </c>
    </row>
    <row r="297" spans="1:2" ht="17" x14ac:dyDescent="0.2">
      <c r="A297" s="47" t="s">
        <v>762</v>
      </c>
      <c r="B297" s="54" t="s">
        <v>1369</v>
      </c>
    </row>
    <row r="298" spans="1:2" ht="17" x14ac:dyDescent="0.2">
      <c r="A298" s="47" t="s">
        <v>713</v>
      </c>
      <c r="B298" s="54" t="s">
        <v>1370</v>
      </c>
    </row>
    <row r="299" spans="1:2" ht="17" x14ac:dyDescent="0.2">
      <c r="A299" s="47" t="s">
        <v>1371</v>
      </c>
      <c r="B299" s="54" t="s">
        <v>1372</v>
      </c>
    </row>
    <row r="300" spans="1:2" ht="17" x14ac:dyDescent="0.2">
      <c r="A300" s="47" t="s">
        <v>1373</v>
      </c>
      <c r="B300" s="54" t="s">
        <v>1374</v>
      </c>
    </row>
    <row r="301" spans="1:2" ht="17" x14ac:dyDescent="0.2">
      <c r="A301" s="47" t="s">
        <v>738</v>
      </c>
      <c r="B301" s="54" t="s">
        <v>1375</v>
      </c>
    </row>
    <row r="302" spans="1:2" ht="17" x14ac:dyDescent="0.2">
      <c r="A302" s="47" t="s">
        <v>1376</v>
      </c>
      <c r="B302" s="54" t="s">
        <v>1377</v>
      </c>
    </row>
    <row r="303" spans="1:2" ht="17" x14ac:dyDescent="0.2">
      <c r="A303" s="47" t="s">
        <v>1378</v>
      </c>
      <c r="B303" s="54" t="s">
        <v>1379</v>
      </c>
    </row>
    <row r="304" spans="1:2" ht="17" x14ac:dyDescent="0.2">
      <c r="A304" s="47" t="s">
        <v>1380</v>
      </c>
      <c r="B304" s="54" t="s">
        <v>1381</v>
      </c>
    </row>
    <row r="305" spans="1:2" ht="17" x14ac:dyDescent="0.2">
      <c r="A305" s="47" t="s">
        <v>1382</v>
      </c>
      <c r="B305" s="54" t="s">
        <v>1383</v>
      </c>
    </row>
    <row r="306" spans="1:2" ht="17" x14ac:dyDescent="0.2">
      <c r="A306" s="47" t="s">
        <v>1384</v>
      </c>
      <c r="B306" s="54" t="s">
        <v>1385</v>
      </c>
    </row>
    <row r="307" spans="1:2" ht="17" x14ac:dyDescent="0.2">
      <c r="A307" s="47" t="s">
        <v>1386</v>
      </c>
      <c r="B307" s="54" t="s">
        <v>1387</v>
      </c>
    </row>
    <row r="308" spans="1:2" ht="17" x14ac:dyDescent="0.2">
      <c r="A308" s="47" t="s">
        <v>1388</v>
      </c>
      <c r="B308" s="54" t="s">
        <v>1389</v>
      </c>
    </row>
    <row r="309" spans="1:2" ht="17" x14ac:dyDescent="0.2">
      <c r="A309" s="47" t="s">
        <v>728</v>
      </c>
      <c r="B309" s="54" t="s">
        <v>1390</v>
      </c>
    </row>
    <row r="310" spans="1:2" ht="17" x14ac:dyDescent="0.2">
      <c r="A310" s="47" t="s">
        <v>700</v>
      </c>
      <c r="B310" s="54" t="s">
        <v>1391</v>
      </c>
    </row>
    <row r="311" spans="1:2" ht="17" x14ac:dyDescent="0.2">
      <c r="A311" s="47" t="s">
        <v>1392</v>
      </c>
      <c r="B311" s="54" t="s">
        <v>1393</v>
      </c>
    </row>
    <row r="312" spans="1:2" ht="17" x14ac:dyDescent="0.2">
      <c r="A312" s="47" t="s">
        <v>1394</v>
      </c>
      <c r="B312" s="54" t="s">
        <v>1395</v>
      </c>
    </row>
    <row r="313" spans="1:2" ht="17" x14ac:dyDescent="0.2">
      <c r="A313" s="47" t="s">
        <v>1396</v>
      </c>
      <c r="B313" s="54" t="s">
        <v>1397</v>
      </c>
    </row>
    <row r="314" spans="1:2" ht="17" x14ac:dyDescent="0.2">
      <c r="A314" s="47" t="s">
        <v>1398</v>
      </c>
      <c r="B314" s="54" t="s">
        <v>1399</v>
      </c>
    </row>
    <row r="315" spans="1:2" ht="17" x14ac:dyDescent="0.2">
      <c r="A315" s="47" t="s">
        <v>1400</v>
      </c>
      <c r="B315" s="54" t="s">
        <v>1401</v>
      </c>
    </row>
    <row r="316" spans="1:2" ht="17" x14ac:dyDescent="0.2">
      <c r="A316" s="47" t="s">
        <v>1402</v>
      </c>
      <c r="B316" s="54" t="s">
        <v>1403</v>
      </c>
    </row>
    <row r="317" spans="1:2" ht="17" x14ac:dyDescent="0.2">
      <c r="A317" s="47" t="s">
        <v>729</v>
      </c>
      <c r="B317" s="54" t="s">
        <v>1404</v>
      </c>
    </row>
    <row r="318" spans="1:2" ht="17" x14ac:dyDescent="0.2">
      <c r="A318" s="47" t="s">
        <v>750</v>
      </c>
      <c r="B318" s="54" t="s">
        <v>1405</v>
      </c>
    </row>
    <row r="319" spans="1:2" ht="17" x14ac:dyDescent="0.2">
      <c r="A319" s="47" t="s">
        <v>1406</v>
      </c>
      <c r="B319" s="54" t="s">
        <v>1407</v>
      </c>
    </row>
    <row r="320" spans="1:2" ht="17" x14ac:dyDescent="0.2">
      <c r="A320" s="47" t="s">
        <v>1408</v>
      </c>
      <c r="B320" s="54" t="s">
        <v>1409</v>
      </c>
    </row>
    <row r="321" spans="1:2" ht="17" x14ac:dyDescent="0.2">
      <c r="A321" s="47" t="s">
        <v>743</v>
      </c>
      <c r="B321" s="54" t="s">
        <v>1410</v>
      </c>
    </row>
    <row r="322" spans="1:2" ht="17" x14ac:dyDescent="0.2">
      <c r="A322" s="47" t="s">
        <v>1411</v>
      </c>
      <c r="B322" s="54" t="s">
        <v>1412</v>
      </c>
    </row>
    <row r="323" spans="1:2" ht="17" x14ac:dyDescent="0.2">
      <c r="A323" s="47" t="s">
        <v>1413</v>
      </c>
      <c r="B323" s="54" t="s">
        <v>1414</v>
      </c>
    </row>
    <row r="324" spans="1:2" ht="17" x14ac:dyDescent="0.2">
      <c r="A324" s="47" t="s">
        <v>1415</v>
      </c>
      <c r="B324" s="54" t="s">
        <v>1416</v>
      </c>
    </row>
    <row r="325" spans="1:2" ht="17" x14ac:dyDescent="0.2">
      <c r="A325" s="47" t="s">
        <v>1417</v>
      </c>
      <c r="B325" s="54" t="s">
        <v>1418</v>
      </c>
    </row>
    <row r="326" spans="1:2" ht="17" x14ac:dyDescent="0.2">
      <c r="A326" s="47" t="s">
        <v>1419</v>
      </c>
      <c r="B326" s="54" t="s">
        <v>1420</v>
      </c>
    </row>
    <row r="327" spans="1:2" ht="17" x14ac:dyDescent="0.2">
      <c r="A327" s="47" t="s">
        <v>1421</v>
      </c>
      <c r="B327" s="54" t="s">
        <v>1422</v>
      </c>
    </row>
    <row r="328" spans="1:2" ht="17" x14ac:dyDescent="0.2">
      <c r="A328" s="47" t="s">
        <v>1423</v>
      </c>
      <c r="B328" s="54" t="s">
        <v>1424</v>
      </c>
    </row>
    <row r="329" spans="1:2" ht="17" x14ac:dyDescent="0.2">
      <c r="A329" s="47" t="s">
        <v>1425</v>
      </c>
      <c r="B329" s="54" t="s">
        <v>1426</v>
      </c>
    </row>
    <row r="330" spans="1:2" ht="17" x14ac:dyDescent="0.2">
      <c r="A330" s="47" t="s">
        <v>719</v>
      </c>
      <c r="B330" s="54" t="s">
        <v>1427</v>
      </c>
    </row>
    <row r="331" spans="1:2" ht="17" x14ac:dyDescent="0.2">
      <c r="A331" s="47" t="s">
        <v>1428</v>
      </c>
      <c r="B331" s="54" t="s">
        <v>1429</v>
      </c>
    </row>
    <row r="332" spans="1:2" ht="17" x14ac:dyDescent="0.2">
      <c r="A332" s="47" t="s">
        <v>1430</v>
      </c>
      <c r="B332" s="54" t="s">
        <v>1431</v>
      </c>
    </row>
    <row r="333" spans="1:2" ht="17" x14ac:dyDescent="0.2">
      <c r="A333" s="47" t="s">
        <v>1432</v>
      </c>
      <c r="B333" s="54" t="s">
        <v>1433</v>
      </c>
    </row>
    <row r="334" spans="1:2" ht="17" x14ac:dyDescent="0.2">
      <c r="A334" s="47" t="s">
        <v>747</v>
      </c>
      <c r="B334" s="54" t="s">
        <v>1434</v>
      </c>
    </row>
    <row r="335" spans="1:2" ht="17" x14ac:dyDescent="0.2">
      <c r="A335" s="47" t="s">
        <v>1435</v>
      </c>
      <c r="B335" s="54" t="s">
        <v>1436</v>
      </c>
    </row>
    <row r="336" spans="1:2" ht="17" x14ac:dyDescent="0.2">
      <c r="A336" s="47" t="s">
        <v>1437</v>
      </c>
      <c r="B336" s="54" t="s">
        <v>1438</v>
      </c>
    </row>
    <row r="337" spans="1:2" ht="17" x14ac:dyDescent="0.2">
      <c r="A337" s="47" t="s">
        <v>1439</v>
      </c>
      <c r="B337" s="54" t="s">
        <v>1440</v>
      </c>
    </row>
    <row r="338" spans="1:2" ht="17" x14ac:dyDescent="0.2">
      <c r="A338" s="47" t="s">
        <v>1441</v>
      </c>
      <c r="B338" s="54" t="s">
        <v>1442</v>
      </c>
    </row>
    <row r="339" spans="1:2" ht="17" x14ac:dyDescent="0.2">
      <c r="A339" s="47" t="s">
        <v>1443</v>
      </c>
      <c r="B339" s="54" t="s">
        <v>1444</v>
      </c>
    </row>
    <row r="340" spans="1:2" ht="17" x14ac:dyDescent="0.2">
      <c r="A340" s="47" t="s">
        <v>1445</v>
      </c>
      <c r="B340" s="54" t="s">
        <v>1446</v>
      </c>
    </row>
    <row r="341" spans="1:2" ht="17" x14ac:dyDescent="0.2">
      <c r="A341" s="47" t="s">
        <v>1447</v>
      </c>
      <c r="B341" s="54" t="s">
        <v>1448</v>
      </c>
    </row>
    <row r="342" spans="1:2" ht="17" x14ac:dyDescent="0.2">
      <c r="A342" s="47" t="s">
        <v>730</v>
      </c>
      <c r="B342" s="54" t="s">
        <v>1449</v>
      </c>
    </row>
    <row r="343" spans="1:2" ht="17" x14ac:dyDescent="0.2">
      <c r="A343" s="47" t="s">
        <v>1450</v>
      </c>
      <c r="B343" s="54" t="s">
        <v>1451</v>
      </c>
    </row>
    <row r="344" spans="1:2" ht="17" x14ac:dyDescent="0.2">
      <c r="A344" s="47" t="s">
        <v>1452</v>
      </c>
      <c r="B344" s="54" t="s">
        <v>1453</v>
      </c>
    </row>
    <row r="345" spans="1:2" ht="17" x14ac:dyDescent="0.2">
      <c r="A345" s="47" t="s">
        <v>755</v>
      </c>
      <c r="B345" s="54" t="s">
        <v>1454</v>
      </c>
    </row>
    <row r="346" spans="1:2" ht="17" x14ac:dyDescent="0.2">
      <c r="A346" s="47" t="s">
        <v>1455</v>
      </c>
      <c r="B346" s="54" t="s">
        <v>1456</v>
      </c>
    </row>
    <row r="347" spans="1:2" ht="17" x14ac:dyDescent="0.2">
      <c r="A347" s="47" t="s">
        <v>1457</v>
      </c>
      <c r="B347" s="54" t="s">
        <v>1458</v>
      </c>
    </row>
    <row r="348" spans="1:2" ht="17" x14ac:dyDescent="0.2">
      <c r="A348" s="47" t="s">
        <v>1459</v>
      </c>
      <c r="B348" s="54" t="s">
        <v>1460</v>
      </c>
    </row>
    <row r="349" spans="1:2" ht="17" x14ac:dyDescent="0.2">
      <c r="A349" s="47" t="s">
        <v>1461</v>
      </c>
      <c r="B349" s="54" t="s">
        <v>1462</v>
      </c>
    </row>
    <row r="350" spans="1:2" ht="17" x14ac:dyDescent="0.2">
      <c r="A350" s="47" t="s">
        <v>1463</v>
      </c>
      <c r="B350" s="54" t="s">
        <v>1464</v>
      </c>
    </row>
    <row r="351" spans="1:2" ht="17" x14ac:dyDescent="0.2">
      <c r="A351" s="47" t="s">
        <v>1465</v>
      </c>
      <c r="B351" s="54" t="s">
        <v>1466</v>
      </c>
    </row>
    <row r="352" spans="1:2" ht="17" x14ac:dyDescent="0.2">
      <c r="A352" s="47" t="s">
        <v>724</v>
      </c>
      <c r="B352" s="54" t="s">
        <v>1467</v>
      </c>
    </row>
    <row r="353" spans="1:2" ht="17" x14ac:dyDescent="0.2">
      <c r="A353" s="47" t="s">
        <v>1468</v>
      </c>
      <c r="B353" s="54" t="s">
        <v>1469</v>
      </c>
    </row>
    <row r="354" spans="1:2" ht="17" x14ac:dyDescent="0.2">
      <c r="A354" s="47" t="s">
        <v>1470</v>
      </c>
      <c r="B354" s="54" t="s">
        <v>1471</v>
      </c>
    </row>
    <row r="355" spans="1:2" ht="17" x14ac:dyDescent="0.2">
      <c r="A355" s="47" t="s">
        <v>1472</v>
      </c>
      <c r="B355" s="54" t="s">
        <v>1473</v>
      </c>
    </row>
    <row r="356" spans="1:2" ht="45" x14ac:dyDescent="0.2">
      <c r="A356" s="49" t="s">
        <v>704</v>
      </c>
      <c r="B356" s="54" t="s">
        <v>1474</v>
      </c>
    </row>
    <row r="357" spans="1:2" ht="150" x14ac:dyDescent="0.2">
      <c r="A357" s="49" t="s">
        <v>706</v>
      </c>
      <c r="B357" s="54" t="s">
        <v>1475</v>
      </c>
    </row>
    <row r="358" spans="1:2" ht="150" x14ac:dyDescent="0.2">
      <c r="A358" s="49" t="s">
        <v>717</v>
      </c>
      <c r="B358" s="54" t="s">
        <v>1476</v>
      </c>
    </row>
    <row r="359" spans="1:2" ht="34" x14ac:dyDescent="0.2">
      <c r="A359" s="47" t="s">
        <v>721</v>
      </c>
      <c r="B359" s="54" t="s">
        <v>1477</v>
      </c>
    </row>
    <row r="360" spans="1:2" ht="30" x14ac:dyDescent="0.2">
      <c r="A360" s="49" t="s">
        <v>725</v>
      </c>
      <c r="B360" s="54" t="s">
        <v>1478</v>
      </c>
    </row>
    <row r="361" spans="1:2" ht="34" x14ac:dyDescent="0.2">
      <c r="A361" s="47" t="s">
        <v>727</v>
      </c>
      <c r="B361" s="54" t="s">
        <v>1479</v>
      </c>
    </row>
    <row r="362" spans="1:2" ht="51" x14ac:dyDescent="0.2">
      <c r="A362" s="47" t="s">
        <v>733</v>
      </c>
      <c r="B362" s="54" t="s">
        <v>1480</v>
      </c>
    </row>
    <row r="363" spans="1:2" ht="34" x14ac:dyDescent="0.2">
      <c r="A363" s="47" t="s">
        <v>735</v>
      </c>
      <c r="B363" s="54" t="s">
        <v>1481</v>
      </c>
    </row>
    <row r="364" spans="1:2" ht="51" x14ac:dyDescent="0.2">
      <c r="A364" s="47" t="s">
        <v>739</v>
      </c>
      <c r="B364" s="54" t="s">
        <v>1482</v>
      </c>
    </row>
    <row r="365" spans="1:2" ht="90" x14ac:dyDescent="0.2">
      <c r="A365" s="49" t="s">
        <v>742</v>
      </c>
      <c r="B365" s="54" t="s">
        <v>1483</v>
      </c>
    </row>
    <row r="366" spans="1:2" ht="45" x14ac:dyDescent="0.2">
      <c r="A366" s="49" t="s">
        <v>744</v>
      </c>
      <c r="B366" s="54" t="s">
        <v>1484</v>
      </c>
    </row>
    <row r="367" spans="1:2" ht="34" x14ac:dyDescent="0.2">
      <c r="A367" s="47" t="s">
        <v>746</v>
      </c>
      <c r="B367" s="54" t="s">
        <v>1485</v>
      </c>
    </row>
    <row r="368" spans="1:2" ht="34" x14ac:dyDescent="0.2">
      <c r="A368" s="47" t="s">
        <v>748</v>
      </c>
      <c r="B368" s="54" t="s">
        <v>1486</v>
      </c>
    </row>
    <row r="369" spans="1:2" ht="45" x14ac:dyDescent="0.2">
      <c r="A369" s="49" t="s">
        <v>756</v>
      </c>
      <c r="B369" s="54" t="s">
        <v>1487</v>
      </c>
    </row>
    <row r="370" spans="1:2" ht="45" x14ac:dyDescent="0.2">
      <c r="A370" s="49" t="s">
        <v>757</v>
      </c>
      <c r="B370" s="54" t="s">
        <v>1488</v>
      </c>
    </row>
    <row r="371" spans="1:2" x14ac:dyDescent="0.2">
      <c r="A371" s="56" t="s">
        <v>1489</v>
      </c>
      <c r="B371" s="62" t="s">
        <v>1490</v>
      </c>
    </row>
    <row r="372" spans="1:2" x14ac:dyDescent="0.2">
      <c r="A372" s="56" t="s">
        <v>1491</v>
      </c>
      <c r="B372" s="62" t="s">
        <v>1492</v>
      </c>
    </row>
    <row r="373" spans="1:2" x14ac:dyDescent="0.2">
      <c r="A373" s="56" t="s">
        <v>1493</v>
      </c>
      <c r="B373" s="62" t="s">
        <v>1494</v>
      </c>
    </row>
    <row r="374" spans="1:2" x14ac:dyDescent="0.2">
      <c r="A374" s="56" t="s">
        <v>1495</v>
      </c>
      <c r="B374" s="62" t="s">
        <v>1496</v>
      </c>
    </row>
    <row r="375" spans="1:2" x14ac:dyDescent="0.2">
      <c r="A375" s="56" t="s">
        <v>1497</v>
      </c>
      <c r="B375" s="62" t="s">
        <v>1498</v>
      </c>
    </row>
    <row r="376" spans="1:2" x14ac:dyDescent="0.2">
      <c r="A376" s="56" t="s">
        <v>1499</v>
      </c>
      <c r="B376" s="62" t="s">
        <v>1500</v>
      </c>
    </row>
    <row r="377" spans="1:2" x14ac:dyDescent="0.2">
      <c r="A377" s="57" t="s">
        <v>1501</v>
      </c>
      <c r="B377" s="61" t="s">
        <v>1502</v>
      </c>
    </row>
    <row r="378" spans="1:2" x14ac:dyDescent="0.2">
      <c r="A378" s="56" t="s">
        <v>1503</v>
      </c>
      <c r="B378" s="62" t="s">
        <v>1504</v>
      </c>
    </row>
    <row r="379" spans="1:2" x14ac:dyDescent="0.2">
      <c r="A379" s="56" t="s">
        <v>1505</v>
      </c>
      <c r="B379" s="62" t="s">
        <v>1506</v>
      </c>
    </row>
    <row r="380" spans="1:2" x14ac:dyDescent="0.2">
      <c r="A380" s="56" t="s">
        <v>1507</v>
      </c>
      <c r="B380" s="62" t="s">
        <v>1508</v>
      </c>
    </row>
    <row r="381" spans="1:2" x14ac:dyDescent="0.2">
      <c r="A381" s="56" t="s">
        <v>1509</v>
      </c>
      <c r="B381" s="62" t="s">
        <v>1510</v>
      </c>
    </row>
    <row r="382" spans="1:2" x14ac:dyDescent="0.2">
      <c r="A382" s="56" t="s">
        <v>1511</v>
      </c>
      <c r="B382" s="62" t="s">
        <v>1512</v>
      </c>
    </row>
    <row r="383" spans="1:2" x14ac:dyDescent="0.2">
      <c r="A383" s="56" t="s">
        <v>1513</v>
      </c>
      <c r="B383" s="62" t="s">
        <v>1514</v>
      </c>
    </row>
    <row r="384" spans="1:2" x14ac:dyDescent="0.2">
      <c r="A384" s="56" t="s">
        <v>1515</v>
      </c>
      <c r="B384" s="62" t="s">
        <v>1516</v>
      </c>
    </row>
    <row r="385" spans="1:2" x14ac:dyDescent="0.2">
      <c r="A385" s="56" t="s">
        <v>1517</v>
      </c>
      <c r="B385" s="63" t="s">
        <v>1518</v>
      </c>
    </row>
    <row r="386" spans="1:2" x14ac:dyDescent="0.2">
      <c r="A386" s="56" t="s">
        <v>1519</v>
      </c>
      <c r="B386" s="62" t="s">
        <v>1516</v>
      </c>
    </row>
    <row r="387" spans="1:2" x14ac:dyDescent="0.2">
      <c r="A387" s="56" t="s">
        <v>1520</v>
      </c>
      <c r="B387" s="62" t="s">
        <v>1521</v>
      </c>
    </row>
    <row r="388" spans="1:2" x14ac:dyDescent="0.2">
      <c r="A388" s="56" t="s">
        <v>1522</v>
      </c>
      <c r="B388" s="62" t="s">
        <v>1523</v>
      </c>
    </row>
    <row r="389" spans="1:2" x14ac:dyDescent="0.2">
      <c r="A389" s="56" t="s">
        <v>1524</v>
      </c>
      <c r="B389" s="62" t="s">
        <v>1525</v>
      </c>
    </row>
    <row r="390" spans="1:2" x14ac:dyDescent="0.2">
      <c r="A390" s="56" t="s">
        <v>1526</v>
      </c>
      <c r="B390" s="62" t="s">
        <v>1527</v>
      </c>
    </row>
    <row r="391" spans="1:2" x14ac:dyDescent="0.2">
      <c r="A391" s="56" t="s">
        <v>864</v>
      </c>
      <c r="B391" s="62" t="s">
        <v>1528</v>
      </c>
    </row>
    <row r="392" spans="1:2" x14ac:dyDescent="0.2">
      <c r="A392" s="56" t="s">
        <v>1529</v>
      </c>
      <c r="B392" s="62" t="s">
        <v>1530</v>
      </c>
    </row>
    <row r="393" spans="1:2" x14ac:dyDescent="0.2">
      <c r="A393" s="56" t="s">
        <v>1531</v>
      </c>
      <c r="B393" s="62" t="s">
        <v>1532</v>
      </c>
    </row>
    <row r="394" spans="1:2" x14ac:dyDescent="0.2">
      <c r="A394" s="56" t="s">
        <v>1533</v>
      </c>
      <c r="B394" s="62" t="s">
        <v>1534</v>
      </c>
    </row>
    <row r="395" spans="1:2" x14ac:dyDescent="0.2">
      <c r="A395" s="56" t="s">
        <v>1535</v>
      </c>
      <c r="B395" s="62" t="s">
        <v>1536</v>
      </c>
    </row>
    <row r="396" spans="1:2" x14ac:dyDescent="0.2">
      <c r="A396" s="56" t="s">
        <v>1537</v>
      </c>
      <c r="B396" s="62" t="s">
        <v>1538</v>
      </c>
    </row>
    <row r="397" spans="1:2" x14ac:dyDescent="0.2">
      <c r="A397" s="56" t="s">
        <v>1539</v>
      </c>
      <c r="B397" s="62" t="s">
        <v>1540</v>
      </c>
    </row>
    <row r="398" spans="1:2" x14ac:dyDescent="0.2">
      <c r="A398" s="56" t="s">
        <v>1541</v>
      </c>
      <c r="B398" s="63" t="s">
        <v>1542</v>
      </c>
    </row>
    <row r="399" spans="1:2" x14ac:dyDescent="0.2">
      <c r="A399" s="56" t="s">
        <v>1543</v>
      </c>
      <c r="B399" s="62" t="s">
        <v>1544</v>
      </c>
    </row>
    <row r="400" spans="1:2" x14ac:dyDescent="0.2">
      <c r="A400" s="56" t="s">
        <v>1545</v>
      </c>
      <c r="B400" s="62" t="s">
        <v>1546</v>
      </c>
    </row>
    <row r="401" spans="1:2" x14ac:dyDescent="0.2">
      <c r="A401" s="56" t="s">
        <v>1547</v>
      </c>
      <c r="B401" s="62" t="s">
        <v>1548</v>
      </c>
    </row>
    <row r="402" spans="1:2" x14ac:dyDescent="0.2">
      <c r="A402" s="56" t="s">
        <v>1549</v>
      </c>
      <c r="B402" s="62" t="s">
        <v>1516</v>
      </c>
    </row>
    <row r="403" spans="1:2" x14ac:dyDescent="0.2">
      <c r="A403" s="56" t="s">
        <v>1550</v>
      </c>
      <c r="B403" s="63" t="s">
        <v>1551</v>
      </c>
    </row>
    <row r="404" spans="1:2" x14ac:dyDescent="0.2">
      <c r="A404" s="56" t="s">
        <v>1552</v>
      </c>
      <c r="B404" s="62" t="s">
        <v>1553</v>
      </c>
    </row>
    <row r="405" spans="1:2" x14ac:dyDescent="0.2">
      <c r="A405" s="57" t="s">
        <v>1554</v>
      </c>
      <c r="B405" s="61" t="s">
        <v>1555</v>
      </c>
    </row>
    <row r="406" spans="1:2" x14ac:dyDescent="0.2">
      <c r="A406" s="56" t="s">
        <v>1556</v>
      </c>
      <c r="B406" s="62" t="s">
        <v>1557</v>
      </c>
    </row>
    <row r="407" spans="1:2" x14ac:dyDescent="0.2">
      <c r="A407" s="56" t="s">
        <v>1558</v>
      </c>
      <c r="B407" s="62" t="s">
        <v>1559</v>
      </c>
    </row>
    <row r="408" spans="1:2" x14ac:dyDescent="0.2">
      <c r="A408" s="56" t="s">
        <v>1560</v>
      </c>
      <c r="B408" s="62" t="s">
        <v>1561</v>
      </c>
    </row>
    <row r="409" spans="1:2" x14ac:dyDescent="0.2">
      <c r="A409" s="56" t="s">
        <v>1562</v>
      </c>
      <c r="B409" s="62" t="s">
        <v>1563</v>
      </c>
    </row>
    <row r="410" spans="1:2" x14ac:dyDescent="0.2">
      <c r="A410" s="56" t="s">
        <v>1564</v>
      </c>
      <c r="B410" s="62" t="s">
        <v>1565</v>
      </c>
    </row>
    <row r="411" spans="1:2" x14ac:dyDescent="0.2">
      <c r="A411" s="56" t="s">
        <v>1566</v>
      </c>
      <c r="B411" s="62" t="s">
        <v>1567</v>
      </c>
    </row>
    <row r="412" spans="1:2" x14ac:dyDescent="0.2">
      <c r="A412" s="56" t="s">
        <v>1568</v>
      </c>
      <c r="B412" s="62" t="s">
        <v>1569</v>
      </c>
    </row>
    <row r="413" spans="1:2" x14ac:dyDescent="0.2">
      <c r="A413" s="56" t="s">
        <v>1570</v>
      </c>
      <c r="B413" s="62" t="s">
        <v>1571</v>
      </c>
    </row>
    <row r="414" spans="1:2" x14ac:dyDescent="0.2">
      <c r="A414" s="56" t="s">
        <v>1572</v>
      </c>
      <c r="B414" s="62" t="s">
        <v>1573</v>
      </c>
    </row>
    <row r="415" spans="1:2" x14ac:dyDescent="0.2">
      <c r="A415" s="56" t="s">
        <v>1574</v>
      </c>
      <c r="B415" s="62" t="s">
        <v>1575</v>
      </c>
    </row>
    <row r="416" spans="1:2" x14ac:dyDescent="0.2">
      <c r="A416" s="56" t="s">
        <v>1576</v>
      </c>
      <c r="B416" s="62" t="s">
        <v>1577</v>
      </c>
    </row>
    <row r="417" spans="1:2" x14ac:dyDescent="0.2">
      <c r="A417" s="56" t="s">
        <v>1578</v>
      </c>
      <c r="B417" s="62" t="s">
        <v>1579</v>
      </c>
    </row>
    <row r="418" spans="1:2" x14ac:dyDescent="0.2">
      <c r="A418" s="56" t="s">
        <v>1580</v>
      </c>
      <c r="B418" s="62" t="s">
        <v>1581</v>
      </c>
    </row>
    <row r="419" spans="1:2" x14ac:dyDescent="0.2">
      <c r="A419" s="56" t="s">
        <v>1582</v>
      </c>
      <c r="B419" s="62" t="s">
        <v>1583</v>
      </c>
    </row>
    <row r="420" spans="1:2" x14ac:dyDescent="0.2">
      <c r="A420" s="56" t="s">
        <v>1584</v>
      </c>
      <c r="B420" s="63" t="s">
        <v>1585</v>
      </c>
    </row>
    <row r="421" spans="1:2" x14ac:dyDescent="0.2">
      <c r="A421" s="56" t="s">
        <v>1586</v>
      </c>
      <c r="B421" s="62" t="s">
        <v>1587</v>
      </c>
    </row>
    <row r="422" spans="1:2" x14ac:dyDescent="0.2">
      <c r="A422" s="56" t="s">
        <v>1588</v>
      </c>
      <c r="B422" s="62" t="s">
        <v>1589</v>
      </c>
    </row>
    <row r="423" spans="1:2" x14ac:dyDescent="0.2">
      <c r="A423" s="56" t="s">
        <v>1590</v>
      </c>
      <c r="B423" s="62" t="s">
        <v>1516</v>
      </c>
    </row>
    <row r="424" spans="1:2" x14ac:dyDescent="0.2">
      <c r="A424" s="56" t="s">
        <v>1591</v>
      </c>
      <c r="B424" s="62" t="s">
        <v>1592</v>
      </c>
    </row>
    <row r="425" spans="1:2" x14ac:dyDescent="0.2">
      <c r="A425" s="56" t="s">
        <v>1593</v>
      </c>
      <c r="B425" s="62" t="s">
        <v>1594</v>
      </c>
    </row>
    <row r="426" spans="1:2" x14ac:dyDescent="0.2">
      <c r="A426" s="56" t="s">
        <v>1595</v>
      </c>
      <c r="B426" s="62" t="s">
        <v>1596</v>
      </c>
    </row>
    <row r="427" spans="1:2" x14ac:dyDescent="0.2">
      <c r="A427" s="56" t="s">
        <v>1597</v>
      </c>
      <c r="B427" s="62" t="s">
        <v>1598</v>
      </c>
    </row>
    <row r="428" spans="1:2" x14ac:dyDescent="0.2">
      <c r="A428" s="56" t="s">
        <v>1599</v>
      </c>
      <c r="B428" s="62" t="s">
        <v>1600</v>
      </c>
    </row>
    <row r="429" spans="1:2" x14ac:dyDescent="0.2">
      <c r="A429" s="56" t="s">
        <v>1601</v>
      </c>
      <c r="B429" s="63" t="s">
        <v>1602</v>
      </c>
    </row>
    <row r="430" spans="1:2" x14ac:dyDescent="0.2">
      <c r="A430" s="56" t="s">
        <v>1603</v>
      </c>
      <c r="B430" s="62" t="s">
        <v>1604</v>
      </c>
    </row>
    <row r="431" spans="1:2" x14ac:dyDescent="0.2">
      <c r="A431" s="56" t="s">
        <v>1605</v>
      </c>
      <c r="B431" s="62" t="s">
        <v>1606</v>
      </c>
    </row>
    <row r="432" spans="1:2" x14ac:dyDescent="0.2">
      <c r="A432" s="56" t="s">
        <v>1607</v>
      </c>
      <c r="B432" s="62" t="s">
        <v>1608</v>
      </c>
    </row>
    <row r="433" spans="1:2" x14ac:dyDescent="0.2">
      <c r="A433" s="56" t="s">
        <v>1609</v>
      </c>
      <c r="B433" s="62" t="s">
        <v>1610</v>
      </c>
    </row>
    <row r="434" spans="1:2" x14ac:dyDescent="0.2">
      <c r="A434" s="56" t="s">
        <v>1611</v>
      </c>
      <c r="B434" s="62" t="s">
        <v>1612</v>
      </c>
    </row>
    <row r="435" spans="1:2" x14ac:dyDescent="0.2">
      <c r="A435" s="56" t="s">
        <v>1613</v>
      </c>
      <c r="B435" s="62" t="s">
        <v>1614</v>
      </c>
    </row>
    <row r="436" spans="1:2" x14ac:dyDescent="0.2">
      <c r="A436" s="56" t="s">
        <v>1615</v>
      </c>
      <c r="B436" s="62" t="s">
        <v>1616</v>
      </c>
    </row>
    <row r="437" spans="1:2" x14ac:dyDescent="0.2">
      <c r="A437" s="56" t="s">
        <v>1617</v>
      </c>
      <c r="B437" s="62" t="s">
        <v>1618</v>
      </c>
    </row>
    <row r="438" spans="1:2" x14ac:dyDescent="0.2">
      <c r="A438" s="56" t="s">
        <v>1619</v>
      </c>
      <c r="B438" s="62" t="s">
        <v>1620</v>
      </c>
    </row>
    <row r="439" spans="1:2" x14ac:dyDescent="0.2">
      <c r="A439" s="56" t="s">
        <v>1621</v>
      </c>
      <c r="B439" s="62" t="s">
        <v>1622</v>
      </c>
    </row>
    <row r="440" spans="1:2" x14ac:dyDescent="0.2">
      <c r="A440" s="56" t="s">
        <v>1623</v>
      </c>
      <c r="B440" s="63" t="s">
        <v>1624</v>
      </c>
    </row>
    <row r="441" spans="1:2" x14ac:dyDescent="0.2">
      <c r="A441" s="56" t="s">
        <v>1625</v>
      </c>
      <c r="B441" s="62" t="s">
        <v>1626</v>
      </c>
    </row>
    <row r="442" spans="1:2" x14ac:dyDescent="0.2">
      <c r="A442" s="56" t="s">
        <v>1627</v>
      </c>
      <c r="B442" s="62" t="s">
        <v>1628</v>
      </c>
    </row>
    <row r="443" spans="1:2" x14ac:dyDescent="0.2">
      <c r="A443" s="56" t="s">
        <v>1629</v>
      </c>
      <c r="B443" s="62" t="s">
        <v>1630</v>
      </c>
    </row>
    <row r="444" spans="1:2" x14ac:dyDescent="0.2">
      <c r="A444" s="56" t="s">
        <v>1631</v>
      </c>
      <c r="B444" s="62" t="s">
        <v>1516</v>
      </c>
    </row>
    <row r="445" spans="1:2" x14ac:dyDescent="0.2">
      <c r="A445" s="56" t="s">
        <v>1632</v>
      </c>
      <c r="B445" s="62" t="s">
        <v>1633</v>
      </c>
    </row>
    <row r="446" spans="1:2" x14ac:dyDescent="0.2">
      <c r="A446" s="56" t="s">
        <v>1634</v>
      </c>
      <c r="B446" s="62" t="s">
        <v>1635</v>
      </c>
    </row>
    <row r="447" spans="1:2" x14ac:dyDescent="0.2">
      <c r="A447" s="56" t="s">
        <v>1636</v>
      </c>
      <c r="B447" s="62" t="s">
        <v>1637</v>
      </c>
    </row>
    <row r="448" spans="1:2" x14ac:dyDescent="0.2">
      <c r="A448" s="56" t="s">
        <v>1638</v>
      </c>
      <c r="B448" s="62" t="s">
        <v>1639</v>
      </c>
    </row>
    <row r="449" spans="1:2" x14ac:dyDescent="0.2">
      <c r="A449" s="56" t="s">
        <v>1640</v>
      </c>
      <c r="B449" s="63" t="s">
        <v>1641</v>
      </c>
    </row>
    <row r="450" spans="1:2" x14ac:dyDescent="0.2">
      <c r="A450" s="56" t="s">
        <v>1642</v>
      </c>
      <c r="B450" s="62" t="s">
        <v>1643</v>
      </c>
    </row>
    <row r="451" spans="1:2" x14ac:dyDescent="0.2">
      <c r="A451" s="56" t="s">
        <v>1644</v>
      </c>
      <c r="B451" s="62" t="s">
        <v>1645</v>
      </c>
    </row>
    <row r="452" spans="1:2" x14ac:dyDescent="0.2">
      <c r="A452" s="56" t="s">
        <v>1646</v>
      </c>
      <c r="B452" s="62" t="s">
        <v>1647</v>
      </c>
    </row>
    <row r="453" spans="1:2" x14ac:dyDescent="0.2">
      <c r="A453" s="56" t="s">
        <v>1648</v>
      </c>
      <c r="B453" s="63" t="s">
        <v>1649</v>
      </c>
    </row>
    <row r="454" spans="1:2" x14ac:dyDescent="0.2">
      <c r="A454" s="56" t="s">
        <v>1650</v>
      </c>
      <c r="B454" s="63" t="s">
        <v>1651</v>
      </c>
    </row>
    <row r="455" spans="1:2" x14ac:dyDescent="0.2">
      <c r="A455" s="56" t="s">
        <v>1652</v>
      </c>
      <c r="B455" s="62" t="s">
        <v>1653</v>
      </c>
    </row>
    <row r="456" spans="1:2" x14ac:dyDescent="0.2">
      <c r="A456" s="56" t="s">
        <v>1654</v>
      </c>
      <c r="B456" s="62" t="s">
        <v>1655</v>
      </c>
    </row>
    <row r="457" spans="1:2" x14ac:dyDescent="0.2">
      <c r="A457" s="56" t="s">
        <v>1656</v>
      </c>
      <c r="B457" s="62" t="s">
        <v>1657</v>
      </c>
    </row>
    <row r="458" spans="1:2" x14ac:dyDescent="0.2">
      <c r="A458" s="60" t="s">
        <v>838</v>
      </c>
      <c r="B458" s="59" t="s">
        <v>1658</v>
      </c>
    </row>
    <row r="459" spans="1:2" x14ac:dyDescent="0.2">
      <c r="A459" s="56" t="s">
        <v>1659</v>
      </c>
      <c r="B459" s="62" t="s">
        <v>1660</v>
      </c>
    </row>
    <row r="460" spans="1:2" x14ac:dyDescent="0.2">
      <c r="A460" s="56" t="s">
        <v>1661</v>
      </c>
      <c r="B460" s="62" t="s">
        <v>1662</v>
      </c>
    </row>
    <row r="461" spans="1:2" x14ac:dyDescent="0.2">
      <c r="A461" s="56" t="s">
        <v>1663</v>
      </c>
      <c r="B461" s="62" t="s">
        <v>1664</v>
      </c>
    </row>
    <row r="462" spans="1:2" x14ac:dyDescent="0.2">
      <c r="A462" s="56" t="s">
        <v>1665</v>
      </c>
      <c r="B462" s="62" t="s">
        <v>1666</v>
      </c>
    </row>
    <row r="463" spans="1:2" x14ac:dyDescent="0.2">
      <c r="A463" s="56" t="s">
        <v>1667</v>
      </c>
      <c r="B463" s="62" t="s">
        <v>1668</v>
      </c>
    </row>
    <row r="464" spans="1:2" x14ac:dyDescent="0.2">
      <c r="A464" s="56" t="s">
        <v>1669</v>
      </c>
      <c r="B464" s="62" t="s">
        <v>1670</v>
      </c>
    </row>
    <row r="465" spans="1:2" x14ac:dyDescent="0.2">
      <c r="A465" s="56" t="s">
        <v>1671</v>
      </c>
      <c r="B465" s="62" t="s">
        <v>1672</v>
      </c>
    </row>
    <row r="466" spans="1:2" x14ac:dyDescent="0.2">
      <c r="A466" s="56" t="s">
        <v>1673</v>
      </c>
      <c r="B466" s="62" t="s">
        <v>1674</v>
      </c>
    </row>
    <row r="467" spans="1:2" x14ac:dyDescent="0.2">
      <c r="A467" s="56" t="s">
        <v>1675</v>
      </c>
      <c r="B467" s="62" t="s">
        <v>1676</v>
      </c>
    </row>
    <row r="468" spans="1:2" x14ac:dyDescent="0.2">
      <c r="A468" s="56" t="s">
        <v>1677</v>
      </c>
      <c r="B468" s="62" t="s">
        <v>1678</v>
      </c>
    </row>
    <row r="469" spans="1:2" x14ac:dyDescent="0.2">
      <c r="A469" s="56" t="s">
        <v>1679</v>
      </c>
      <c r="B469" s="62" t="s">
        <v>1680</v>
      </c>
    </row>
    <row r="470" spans="1:2" x14ac:dyDescent="0.2">
      <c r="A470" s="56" t="s">
        <v>1681</v>
      </c>
      <c r="B470" s="62" t="s">
        <v>1682</v>
      </c>
    </row>
    <row r="471" spans="1:2" x14ac:dyDescent="0.2">
      <c r="A471" s="56" t="s">
        <v>1683</v>
      </c>
      <c r="B471" s="62" t="s">
        <v>1684</v>
      </c>
    </row>
    <row r="472" spans="1:2" x14ac:dyDescent="0.2">
      <c r="A472" s="56" t="s">
        <v>1685</v>
      </c>
      <c r="B472" s="62" t="s">
        <v>1686</v>
      </c>
    </row>
    <row r="473" spans="1:2" x14ac:dyDescent="0.2">
      <c r="A473" s="56" t="s">
        <v>1687</v>
      </c>
      <c r="B473" s="62" t="s">
        <v>1688</v>
      </c>
    </row>
    <row r="474" spans="1:2" x14ac:dyDescent="0.2">
      <c r="A474" s="56" t="s">
        <v>1689</v>
      </c>
      <c r="B474" s="63" t="s">
        <v>1690</v>
      </c>
    </row>
    <row r="475" spans="1:2" x14ac:dyDescent="0.2">
      <c r="A475" s="56" t="s">
        <v>1691</v>
      </c>
      <c r="B475" s="62" t="s">
        <v>1692</v>
      </c>
    </row>
    <row r="476" spans="1:2" x14ac:dyDescent="0.2">
      <c r="A476" s="56" t="s">
        <v>1693</v>
      </c>
      <c r="B476" s="62" t="s">
        <v>1694</v>
      </c>
    </row>
    <row r="477" spans="1:2" x14ac:dyDescent="0.2">
      <c r="A477" s="56" t="s">
        <v>1695</v>
      </c>
      <c r="B477" s="62" t="s">
        <v>1696</v>
      </c>
    </row>
    <row r="478" spans="1:2" x14ac:dyDescent="0.2">
      <c r="A478" s="56" t="s">
        <v>1697</v>
      </c>
      <c r="B478" s="62" t="s">
        <v>1698</v>
      </c>
    </row>
    <row r="479" spans="1:2" x14ac:dyDescent="0.2">
      <c r="A479" s="56" t="s">
        <v>1699</v>
      </c>
      <c r="B479" s="62" t="s">
        <v>1700</v>
      </c>
    </row>
    <row r="480" spans="1:2" x14ac:dyDescent="0.2">
      <c r="A480" s="56" t="s">
        <v>1701</v>
      </c>
      <c r="B480" s="62" t="s">
        <v>1702</v>
      </c>
    </row>
    <row r="481" spans="1:2" x14ac:dyDescent="0.2">
      <c r="A481" s="56" t="s">
        <v>1703</v>
      </c>
      <c r="B481" s="62" t="s">
        <v>1704</v>
      </c>
    </row>
    <row r="482" spans="1:2" x14ac:dyDescent="0.2">
      <c r="A482" s="56" t="s">
        <v>1705</v>
      </c>
      <c r="B482" s="62" t="s">
        <v>1706</v>
      </c>
    </row>
    <row r="483" spans="1:2" x14ac:dyDescent="0.2">
      <c r="A483" s="56" t="s">
        <v>1707</v>
      </c>
      <c r="B483" s="62" t="s">
        <v>1708</v>
      </c>
    </row>
    <row r="484" spans="1:2" x14ac:dyDescent="0.2">
      <c r="A484" s="56" t="s">
        <v>1709</v>
      </c>
      <c r="B484" s="62" t="s">
        <v>1710</v>
      </c>
    </row>
    <row r="485" spans="1:2" x14ac:dyDescent="0.2">
      <c r="A485" s="56" t="s">
        <v>1711</v>
      </c>
      <c r="B485" s="62" t="s">
        <v>1712</v>
      </c>
    </row>
    <row r="486" spans="1:2" x14ac:dyDescent="0.2">
      <c r="A486" s="56" t="s">
        <v>1713</v>
      </c>
      <c r="B486" s="62" t="s">
        <v>1714</v>
      </c>
    </row>
    <row r="487" spans="1:2" x14ac:dyDescent="0.2">
      <c r="A487" s="56" t="s">
        <v>1715</v>
      </c>
      <c r="B487" s="62" t="s">
        <v>1716</v>
      </c>
    </row>
    <row r="488" spans="1:2" x14ac:dyDescent="0.2">
      <c r="A488" s="56" t="s">
        <v>1717</v>
      </c>
      <c r="B488" s="62" t="s">
        <v>1718</v>
      </c>
    </row>
    <row r="489" spans="1:2" x14ac:dyDescent="0.2">
      <c r="A489" s="56" t="s">
        <v>1719</v>
      </c>
      <c r="B489" s="63" t="s">
        <v>1720</v>
      </c>
    </row>
    <row r="490" spans="1:2" x14ac:dyDescent="0.2">
      <c r="A490" s="56" t="s">
        <v>1721</v>
      </c>
      <c r="B490" s="62" t="s">
        <v>1722</v>
      </c>
    </row>
    <row r="491" spans="1:2" x14ac:dyDescent="0.2">
      <c r="A491" s="56" t="s">
        <v>1723</v>
      </c>
      <c r="B491" s="62" t="s">
        <v>1724</v>
      </c>
    </row>
    <row r="492" spans="1:2" x14ac:dyDescent="0.2">
      <c r="A492" s="56" t="s">
        <v>1725</v>
      </c>
      <c r="B492" s="62" t="s">
        <v>1726</v>
      </c>
    </row>
    <row r="493" spans="1:2" x14ac:dyDescent="0.2">
      <c r="A493" s="56" t="s">
        <v>1727</v>
      </c>
      <c r="B493" s="62" t="s">
        <v>1728</v>
      </c>
    </row>
    <row r="494" spans="1:2" x14ac:dyDescent="0.2">
      <c r="A494" s="56" t="s">
        <v>1729</v>
      </c>
      <c r="B494" s="62" t="s">
        <v>1730</v>
      </c>
    </row>
    <row r="495" spans="1:2" x14ac:dyDescent="0.2">
      <c r="A495" s="56" t="s">
        <v>1731</v>
      </c>
      <c r="B495" s="62" t="s">
        <v>1516</v>
      </c>
    </row>
    <row r="496" spans="1:2" x14ac:dyDescent="0.2">
      <c r="A496" s="56" t="s">
        <v>1732</v>
      </c>
      <c r="B496" s="62" t="s">
        <v>1733</v>
      </c>
    </row>
    <row r="497" spans="1:2" x14ac:dyDescent="0.2">
      <c r="A497" s="56" t="s">
        <v>1734</v>
      </c>
      <c r="B497" s="62" t="s">
        <v>1735</v>
      </c>
    </row>
    <row r="498" spans="1:2" x14ac:dyDescent="0.2">
      <c r="A498" s="56" t="s">
        <v>1736</v>
      </c>
      <c r="B498" s="62" t="s">
        <v>1737</v>
      </c>
    </row>
    <row r="499" spans="1:2" x14ac:dyDescent="0.2">
      <c r="A499" s="56" t="s">
        <v>1738</v>
      </c>
      <c r="B499" s="62" t="s">
        <v>1739</v>
      </c>
    </row>
    <row r="500" spans="1:2" x14ac:dyDescent="0.2">
      <c r="A500" s="56" t="s">
        <v>1740</v>
      </c>
      <c r="B500" s="62" t="s">
        <v>1741</v>
      </c>
    </row>
    <row r="501" spans="1:2" x14ac:dyDescent="0.2">
      <c r="A501" s="56" t="s">
        <v>1742</v>
      </c>
      <c r="B501" s="62" t="s">
        <v>1743</v>
      </c>
    </row>
    <row r="502" spans="1:2" x14ac:dyDescent="0.2">
      <c r="A502" s="56" t="s">
        <v>1744</v>
      </c>
      <c r="B502" s="62" t="s">
        <v>1745</v>
      </c>
    </row>
    <row r="503" spans="1:2" x14ac:dyDescent="0.2">
      <c r="A503" s="56" t="s">
        <v>1746</v>
      </c>
      <c r="B503" s="62" t="s">
        <v>1747</v>
      </c>
    </row>
    <row r="504" spans="1:2" x14ac:dyDescent="0.2">
      <c r="A504" s="56" t="s">
        <v>1748</v>
      </c>
      <c r="B504" s="62" t="s">
        <v>1749</v>
      </c>
    </row>
    <row r="505" spans="1:2" x14ac:dyDescent="0.2">
      <c r="A505" s="56" t="s">
        <v>1750</v>
      </c>
      <c r="B505" s="62" t="s">
        <v>1751</v>
      </c>
    </row>
    <row r="506" spans="1:2" x14ac:dyDescent="0.2">
      <c r="A506" s="56" t="s">
        <v>1752</v>
      </c>
      <c r="B506" s="62" t="s">
        <v>1753</v>
      </c>
    </row>
    <row r="507" spans="1:2" x14ac:dyDescent="0.2">
      <c r="A507" s="56" t="s">
        <v>1754</v>
      </c>
      <c r="B507" s="62" t="s">
        <v>1755</v>
      </c>
    </row>
    <row r="508" spans="1:2" x14ac:dyDescent="0.2">
      <c r="A508" s="56" t="s">
        <v>1756</v>
      </c>
      <c r="B508" s="62" t="s">
        <v>1757</v>
      </c>
    </row>
    <row r="509" spans="1:2" x14ac:dyDescent="0.2">
      <c r="A509" s="56" t="s">
        <v>1758</v>
      </c>
      <c r="B509" s="62" t="s">
        <v>1759</v>
      </c>
    </row>
    <row r="510" spans="1:2" x14ac:dyDescent="0.2">
      <c r="A510" s="56" t="s">
        <v>1760</v>
      </c>
      <c r="B510" s="62" t="s">
        <v>1761</v>
      </c>
    </row>
    <row r="511" spans="1:2" x14ac:dyDescent="0.2">
      <c r="A511" s="56" t="s">
        <v>1762</v>
      </c>
      <c r="B511" s="62" t="s">
        <v>1516</v>
      </c>
    </row>
    <row r="512" spans="1:2" x14ac:dyDescent="0.2">
      <c r="A512" s="56" t="s">
        <v>1763</v>
      </c>
      <c r="B512" s="62" t="s">
        <v>1764</v>
      </c>
    </row>
    <row r="513" spans="1:2" x14ac:dyDescent="0.2">
      <c r="A513" s="56" t="s">
        <v>1765</v>
      </c>
      <c r="B513" s="62" t="s">
        <v>1516</v>
      </c>
    </row>
    <row r="514" spans="1:2" x14ac:dyDescent="0.2">
      <c r="A514" s="56" t="s">
        <v>1766</v>
      </c>
      <c r="B514" s="62" t="s">
        <v>1516</v>
      </c>
    </row>
    <row r="515" spans="1:2" x14ac:dyDescent="0.2">
      <c r="A515" s="56" t="s">
        <v>1767</v>
      </c>
      <c r="B515" s="62" t="s">
        <v>1768</v>
      </c>
    </row>
    <row r="516" spans="1:2" x14ac:dyDescent="0.2">
      <c r="A516" s="56" t="s">
        <v>1769</v>
      </c>
      <c r="B516" s="62" t="s">
        <v>1770</v>
      </c>
    </row>
    <row r="517" spans="1:2" x14ac:dyDescent="0.2">
      <c r="A517" s="56" t="s">
        <v>1771</v>
      </c>
      <c r="B517" s="62" t="s">
        <v>1772</v>
      </c>
    </row>
    <row r="518" spans="1:2" x14ac:dyDescent="0.2">
      <c r="A518" s="56" t="s">
        <v>1773</v>
      </c>
      <c r="B518" s="62" t="s">
        <v>1774</v>
      </c>
    </row>
    <row r="519" spans="1:2" x14ac:dyDescent="0.2">
      <c r="A519" s="56" t="s">
        <v>1775</v>
      </c>
      <c r="B519" s="62" t="s">
        <v>1776</v>
      </c>
    </row>
    <row r="520" spans="1:2" x14ac:dyDescent="0.2">
      <c r="A520" s="56" t="s">
        <v>1777</v>
      </c>
      <c r="B520" s="62" t="s">
        <v>1778</v>
      </c>
    </row>
    <row r="521" spans="1:2" x14ac:dyDescent="0.2">
      <c r="A521" s="56" t="s">
        <v>1779</v>
      </c>
      <c r="B521" s="62" t="s">
        <v>1780</v>
      </c>
    </row>
    <row r="522" spans="1:2" x14ac:dyDescent="0.2">
      <c r="A522" s="56" t="s">
        <v>1781</v>
      </c>
      <c r="B522" s="62" t="s">
        <v>1782</v>
      </c>
    </row>
    <row r="523" spans="1:2" x14ac:dyDescent="0.2">
      <c r="A523" s="56" t="s">
        <v>1783</v>
      </c>
      <c r="B523" s="62" t="s">
        <v>1784</v>
      </c>
    </row>
    <row r="524" spans="1:2" x14ac:dyDescent="0.2">
      <c r="A524" s="56" t="s">
        <v>1785</v>
      </c>
      <c r="B524" s="62" t="s">
        <v>1786</v>
      </c>
    </row>
    <row r="525" spans="1:2" x14ac:dyDescent="0.2">
      <c r="A525" s="56" t="s">
        <v>1787</v>
      </c>
      <c r="B525" s="62" t="s">
        <v>1788</v>
      </c>
    </row>
    <row r="526" spans="1:2" x14ac:dyDescent="0.2">
      <c r="A526" s="56" t="s">
        <v>1789</v>
      </c>
      <c r="B526" s="62" t="s">
        <v>1790</v>
      </c>
    </row>
    <row r="527" spans="1:2" x14ac:dyDescent="0.2">
      <c r="A527" s="56" t="s">
        <v>1791</v>
      </c>
      <c r="B527" s="62" t="s">
        <v>1792</v>
      </c>
    </row>
    <row r="528" spans="1:2" x14ac:dyDescent="0.2">
      <c r="A528" s="56" t="s">
        <v>1793</v>
      </c>
      <c r="B528" s="62" t="s">
        <v>1794</v>
      </c>
    </row>
    <row r="529" spans="1:2" x14ac:dyDescent="0.2">
      <c r="A529" s="56" t="s">
        <v>1795</v>
      </c>
      <c r="B529" s="62" t="s">
        <v>1516</v>
      </c>
    </row>
    <row r="530" spans="1:2" x14ac:dyDescent="0.2">
      <c r="A530" s="56" t="s">
        <v>1796</v>
      </c>
      <c r="B530" s="62" t="s">
        <v>1797</v>
      </c>
    </row>
    <row r="531" spans="1:2" x14ac:dyDescent="0.2">
      <c r="A531" s="56" t="s">
        <v>1798</v>
      </c>
      <c r="B531" s="63" t="s">
        <v>1799</v>
      </c>
    </row>
    <row r="532" spans="1:2" x14ac:dyDescent="0.2">
      <c r="A532" s="56" t="s">
        <v>1800</v>
      </c>
      <c r="B532" s="63" t="s">
        <v>1801</v>
      </c>
    </row>
    <row r="533" spans="1:2" x14ac:dyDescent="0.2">
      <c r="A533" s="56" t="s">
        <v>1802</v>
      </c>
      <c r="B533" s="62" t="s">
        <v>1803</v>
      </c>
    </row>
    <row r="534" spans="1:2" x14ac:dyDescent="0.2">
      <c r="A534" s="56" t="s">
        <v>1804</v>
      </c>
      <c r="B534" s="62" t="s">
        <v>1805</v>
      </c>
    </row>
    <row r="535" spans="1:2" x14ac:dyDescent="0.2">
      <c r="A535" s="56" t="s">
        <v>1806</v>
      </c>
      <c r="B535" s="62" t="s">
        <v>1807</v>
      </c>
    </row>
    <row r="536" spans="1:2" x14ac:dyDescent="0.2">
      <c r="A536" s="56" t="s">
        <v>1808</v>
      </c>
      <c r="B536" s="62" t="s">
        <v>1809</v>
      </c>
    </row>
    <row r="537" spans="1:2" x14ac:dyDescent="0.2">
      <c r="A537" s="56" t="s">
        <v>1810</v>
      </c>
      <c r="B537" s="62" t="s">
        <v>1516</v>
      </c>
    </row>
    <row r="538" spans="1:2" x14ac:dyDescent="0.2">
      <c r="A538" s="56" t="s">
        <v>1811</v>
      </c>
      <c r="B538" s="62" t="s">
        <v>1516</v>
      </c>
    </row>
    <row r="539" spans="1:2" x14ac:dyDescent="0.2">
      <c r="A539" s="56" t="s">
        <v>1812</v>
      </c>
      <c r="B539" s="62" t="s">
        <v>1813</v>
      </c>
    </row>
    <row r="540" spans="1:2" x14ac:dyDescent="0.2">
      <c r="A540" s="56" t="s">
        <v>1814</v>
      </c>
      <c r="B540" s="62" t="s">
        <v>1815</v>
      </c>
    </row>
    <row r="541" spans="1:2" x14ac:dyDescent="0.2">
      <c r="A541" s="56" t="s">
        <v>1816</v>
      </c>
      <c r="B541" s="62" t="s">
        <v>1817</v>
      </c>
    </row>
    <row r="542" spans="1:2" x14ac:dyDescent="0.2">
      <c r="A542" s="56" t="s">
        <v>1818</v>
      </c>
      <c r="B542" s="62" t="s">
        <v>1819</v>
      </c>
    </row>
    <row r="543" spans="1:2" x14ac:dyDescent="0.2">
      <c r="A543" s="56" t="s">
        <v>1820</v>
      </c>
      <c r="B543" s="62" t="s">
        <v>1821</v>
      </c>
    </row>
    <row r="544" spans="1:2" x14ac:dyDescent="0.2">
      <c r="A544" s="56" t="s">
        <v>1822</v>
      </c>
      <c r="B544" s="62" t="s">
        <v>1823</v>
      </c>
    </row>
    <row r="545" spans="1:2" x14ac:dyDescent="0.2">
      <c r="A545" s="56" t="s">
        <v>1824</v>
      </c>
      <c r="B545" s="62" t="s">
        <v>1825</v>
      </c>
    </row>
    <row r="546" spans="1:2" x14ac:dyDescent="0.2">
      <c r="A546" s="56" t="s">
        <v>1826</v>
      </c>
      <c r="B546" s="63" t="s">
        <v>1827</v>
      </c>
    </row>
    <row r="547" spans="1:2" x14ac:dyDescent="0.2">
      <c r="A547" s="56" t="s">
        <v>1828</v>
      </c>
      <c r="B547" s="62" t="s">
        <v>1829</v>
      </c>
    </row>
    <row r="548" spans="1:2" x14ac:dyDescent="0.2">
      <c r="A548" s="56" t="s">
        <v>1830</v>
      </c>
      <c r="B548" s="62" t="s">
        <v>1831</v>
      </c>
    </row>
    <row r="549" spans="1:2" x14ac:dyDescent="0.2">
      <c r="A549" s="56" t="s">
        <v>1832</v>
      </c>
      <c r="B549" s="62" t="s">
        <v>1833</v>
      </c>
    </row>
    <row r="550" spans="1:2" x14ac:dyDescent="0.2">
      <c r="A550" s="56" t="s">
        <v>1834</v>
      </c>
      <c r="B550" s="62" t="s">
        <v>1835</v>
      </c>
    </row>
    <row r="551" spans="1:2" x14ac:dyDescent="0.2">
      <c r="A551" s="56" t="s">
        <v>1836</v>
      </c>
      <c r="B551" s="63" t="s">
        <v>1837</v>
      </c>
    </row>
    <row r="552" spans="1:2" x14ac:dyDescent="0.2">
      <c r="A552" s="56" t="s">
        <v>1838</v>
      </c>
      <c r="B552" s="62" t="s">
        <v>1839</v>
      </c>
    </row>
    <row r="553" spans="1:2" x14ac:dyDescent="0.2">
      <c r="A553" s="56" t="s">
        <v>1840</v>
      </c>
      <c r="B553" s="62" t="s">
        <v>1841</v>
      </c>
    </row>
    <row r="554" spans="1:2" x14ac:dyDescent="0.2">
      <c r="A554" s="56" t="s">
        <v>1842</v>
      </c>
      <c r="B554" s="63" t="s">
        <v>1843</v>
      </c>
    </row>
    <row r="555" spans="1:2" x14ac:dyDescent="0.2">
      <c r="A555" s="56" t="s">
        <v>1844</v>
      </c>
      <c r="B555" s="62" t="s">
        <v>1845</v>
      </c>
    </row>
    <row r="556" spans="1:2" x14ac:dyDescent="0.2">
      <c r="A556" s="56" t="s">
        <v>1846</v>
      </c>
      <c r="B556" s="62" t="s">
        <v>1847</v>
      </c>
    </row>
    <row r="557" spans="1:2" x14ac:dyDescent="0.2">
      <c r="A557" s="56" t="s">
        <v>1848</v>
      </c>
      <c r="B557" s="62" t="s">
        <v>1849</v>
      </c>
    </row>
    <row r="558" spans="1:2" x14ac:dyDescent="0.2">
      <c r="A558" s="56" t="s">
        <v>1850</v>
      </c>
      <c r="B558" s="62" t="s">
        <v>1851</v>
      </c>
    </row>
    <row r="559" spans="1:2" x14ac:dyDescent="0.2">
      <c r="A559" s="56" t="s">
        <v>1852</v>
      </c>
      <c r="B559" s="62" t="s">
        <v>1853</v>
      </c>
    </row>
    <row r="560" spans="1:2" x14ac:dyDescent="0.2">
      <c r="A560" s="56" t="s">
        <v>1854</v>
      </c>
      <c r="B560" s="62" t="s">
        <v>1855</v>
      </c>
    </row>
    <row r="561" spans="1:2" x14ac:dyDescent="0.2">
      <c r="A561" s="56" t="s">
        <v>1856</v>
      </c>
      <c r="B561" s="62" t="s">
        <v>1857</v>
      </c>
    </row>
    <row r="562" spans="1:2" x14ac:dyDescent="0.2">
      <c r="A562" s="56" t="s">
        <v>1858</v>
      </c>
      <c r="B562" s="62" t="s">
        <v>1516</v>
      </c>
    </row>
    <row r="563" spans="1:2" x14ac:dyDescent="0.2">
      <c r="A563" s="56" t="s">
        <v>1859</v>
      </c>
      <c r="B563" s="62" t="s">
        <v>1860</v>
      </c>
    </row>
    <row r="564" spans="1:2" x14ac:dyDescent="0.2">
      <c r="A564" s="56" t="s">
        <v>1861</v>
      </c>
      <c r="B564" s="62" t="s">
        <v>1862</v>
      </c>
    </row>
    <row r="565" spans="1:2" x14ac:dyDescent="0.2">
      <c r="A565" s="56" t="s">
        <v>1863</v>
      </c>
      <c r="B565" s="63" t="s">
        <v>1864</v>
      </c>
    </row>
    <row r="566" spans="1:2" x14ac:dyDescent="0.2">
      <c r="A566" s="56" t="s">
        <v>1865</v>
      </c>
      <c r="B566" s="62" t="s">
        <v>1866</v>
      </c>
    </row>
    <row r="567" spans="1:2" x14ac:dyDescent="0.2">
      <c r="A567" s="56" t="s">
        <v>1867</v>
      </c>
      <c r="B567" s="62" t="s">
        <v>1516</v>
      </c>
    </row>
    <row r="568" spans="1:2" x14ac:dyDescent="0.2">
      <c r="A568" s="56" t="s">
        <v>1868</v>
      </c>
      <c r="B568" s="62" t="s">
        <v>1869</v>
      </c>
    </row>
    <row r="569" spans="1:2" x14ac:dyDescent="0.2">
      <c r="A569" s="56" t="s">
        <v>1870</v>
      </c>
      <c r="B569" s="62" t="s">
        <v>1871</v>
      </c>
    </row>
    <row r="570" spans="1:2" x14ac:dyDescent="0.2">
      <c r="A570" s="56" t="s">
        <v>1872</v>
      </c>
      <c r="B570" s="62" t="s">
        <v>1873</v>
      </c>
    </row>
    <row r="571" spans="1:2" x14ac:dyDescent="0.2">
      <c r="A571" s="56" t="s">
        <v>1874</v>
      </c>
      <c r="B571" s="62" t="s">
        <v>1875</v>
      </c>
    </row>
    <row r="572" spans="1:2" x14ac:dyDescent="0.2">
      <c r="A572" s="56" t="s">
        <v>1876</v>
      </c>
      <c r="B572" s="62" t="s">
        <v>1877</v>
      </c>
    </row>
    <row r="573" spans="1:2" x14ac:dyDescent="0.2">
      <c r="A573" s="56" t="s">
        <v>1878</v>
      </c>
      <c r="B573" s="63" t="s">
        <v>1879</v>
      </c>
    </row>
    <row r="574" spans="1:2" x14ac:dyDescent="0.2">
      <c r="A574" s="56" t="s">
        <v>1880</v>
      </c>
      <c r="B574" s="63" t="s">
        <v>1881</v>
      </c>
    </row>
    <row r="575" spans="1:2" x14ac:dyDescent="0.2">
      <c r="A575" s="56" t="s">
        <v>1882</v>
      </c>
      <c r="B575" s="63" t="s">
        <v>1883</v>
      </c>
    </row>
    <row r="576" spans="1:2" x14ac:dyDescent="0.2">
      <c r="A576" s="56" t="s">
        <v>1884</v>
      </c>
      <c r="B576" s="62" t="s">
        <v>1885</v>
      </c>
    </row>
    <row r="577" spans="1:2" x14ac:dyDescent="0.2">
      <c r="A577" s="56" t="s">
        <v>1886</v>
      </c>
      <c r="B577" s="62" t="s">
        <v>1887</v>
      </c>
    </row>
    <row r="578" spans="1:2" x14ac:dyDescent="0.2">
      <c r="A578" s="56" t="s">
        <v>1888</v>
      </c>
      <c r="B578" s="62" t="s">
        <v>1889</v>
      </c>
    </row>
    <row r="579" spans="1:2" x14ac:dyDescent="0.2">
      <c r="A579" s="56" t="s">
        <v>1890</v>
      </c>
      <c r="B579" s="62" t="s">
        <v>1891</v>
      </c>
    </row>
    <row r="580" spans="1:2" x14ac:dyDescent="0.2">
      <c r="A580" s="56" t="s">
        <v>1892</v>
      </c>
      <c r="B580" s="62" t="s">
        <v>1893</v>
      </c>
    </row>
    <row r="581" spans="1:2" x14ac:dyDescent="0.2">
      <c r="A581" s="56" t="s">
        <v>1894</v>
      </c>
      <c r="B581" s="62" t="s">
        <v>1895</v>
      </c>
    </row>
    <row r="582" spans="1:2" x14ac:dyDescent="0.2">
      <c r="A582" s="56" t="s">
        <v>1896</v>
      </c>
      <c r="B582" s="62" t="s">
        <v>1897</v>
      </c>
    </row>
    <row r="583" spans="1:2" x14ac:dyDescent="0.2">
      <c r="A583" s="56" t="s">
        <v>1898</v>
      </c>
      <c r="B583" s="62" t="s">
        <v>1899</v>
      </c>
    </row>
    <row r="584" spans="1:2" x14ac:dyDescent="0.2">
      <c r="A584" s="56" t="s">
        <v>1900</v>
      </c>
      <c r="B584" s="62" t="s">
        <v>1901</v>
      </c>
    </row>
    <row r="585" spans="1:2" x14ac:dyDescent="0.2">
      <c r="A585" s="56" t="s">
        <v>1902</v>
      </c>
      <c r="B585" s="62" t="s">
        <v>1903</v>
      </c>
    </row>
    <row r="586" spans="1:2" x14ac:dyDescent="0.2">
      <c r="A586" s="56" t="s">
        <v>1904</v>
      </c>
      <c r="B586" s="62" t="s">
        <v>1516</v>
      </c>
    </row>
    <row r="587" spans="1:2" x14ac:dyDescent="0.2">
      <c r="A587" s="56" t="s">
        <v>1905</v>
      </c>
      <c r="B587" s="62" t="s">
        <v>1906</v>
      </c>
    </row>
    <row r="588" spans="1:2" x14ac:dyDescent="0.2">
      <c r="A588" s="56" t="s">
        <v>1907</v>
      </c>
      <c r="B588" s="62" t="s">
        <v>1908</v>
      </c>
    </row>
    <row r="589" spans="1:2" x14ac:dyDescent="0.2">
      <c r="A589" s="56" t="s">
        <v>1909</v>
      </c>
      <c r="B589" s="62" t="s">
        <v>1910</v>
      </c>
    </row>
    <row r="590" spans="1:2" x14ac:dyDescent="0.2">
      <c r="A590" s="56" t="s">
        <v>1911</v>
      </c>
      <c r="B590" s="62" t="s">
        <v>1912</v>
      </c>
    </row>
    <row r="591" spans="1:2" x14ac:dyDescent="0.2">
      <c r="A591" s="56" t="s">
        <v>1913</v>
      </c>
      <c r="B591" s="62" t="s">
        <v>1914</v>
      </c>
    </row>
    <row r="592" spans="1:2" x14ac:dyDescent="0.2">
      <c r="A592" s="56" t="s">
        <v>1915</v>
      </c>
      <c r="B592" s="62" t="s">
        <v>1916</v>
      </c>
    </row>
    <row r="593" spans="1:2" x14ac:dyDescent="0.2">
      <c r="A593" s="56" t="s">
        <v>1917</v>
      </c>
      <c r="B593" s="62" t="s">
        <v>1918</v>
      </c>
    </row>
    <row r="594" spans="1:2" x14ac:dyDescent="0.2">
      <c r="A594" s="56" t="s">
        <v>1919</v>
      </c>
      <c r="B594" s="62" t="s">
        <v>1920</v>
      </c>
    </row>
    <row r="595" spans="1:2" x14ac:dyDescent="0.2">
      <c r="A595" s="56" t="s">
        <v>1921</v>
      </c>
      <c r="B595" s="62" t="s">
        <v>1922</v>
      </c>
    </row>
    <row r="596" spans="1:2" x14ac:dyDescent="0.2">
      <c r="A596" s="56" t="s">
        <v>1923</v>
      </c>
      <c r="B596" s="62" t="s">
        <v>1924</v>
      </c>
    </row>
    <row r="597" spans="1:2" x14ac:dyDescent="0.2">
      <c r="A597" s="56" t="s">
        <v>1925</v>
      </c>
      <c r="B597" s="62" t="s">
        <v>1926</v>
      </c>
    </row>
    <row r="598" spans="1:2" x14ac:dyDescent="0.2">
      <c r="A598" s="56" t="s">
        <v>1927</v>
      </c>
      <c r="B598" s="63" t="s">
        <v>1928</v>
      </c>
    </row>
    <row r="599" spans="1:2" x14ac:dyDescent="0.2">
      <c r="A599" s="56" t="s">
        <v>1929</v>
      </c>
      <c r="B599" s="62" t="s">
        <v>1930</v>
      </c>
    </row>
    <row r="600" spans="1:2" x14ac:dyDescent="0.2">
      <c r="A600" s="56" t="s">
        <v>1931</v>
      </c>
      <c r="B600" s="62" t="s">
        <v>1932</v>
      </c>
    </row>
    <row r="601" spans="1:2" x14ac:dyDescent="0.2">
      <c r="A601" s="56" t="s">
        <v>1933</v>
      </c>
      <c r="B601" s="62" t="s">
        <v>1934</v>
      </c>
    </row>
    <row r="602" spans="1:2" x14ac:dyDescent="0.2">
      <c r="A602" s="56" t="s">
        <v>1935</v>
      </c>
      <c r="B602" s="62" t="s">
        <v>1936</v>
      </c>
    </row>
    <row r="603" spans="1:2" x14ac:dyDescent="0.2">
      <c r="A603" s="56" t="s">
        <v>1937</v>
      </c>
      <c r="B603" s="62" t="s">
        <v>1938</v>
      </c>
    </row>
    <row r="604" spans="1:2" x14ac:dyDescent="0.2">
      <c r="A604" s="56" t="s">
        <v>1939</v>
      </c>
      <c r="B604" s="63" t="s">
        <v>1940</v>
      </c>
    </row>
    <row r="605" spans="1:2" x14ac:dyDescent="0.2">
      <c r="A605" s="56" t="s">
        <v>1941</v>
      </c>
      <c r="B605" s="62" t="s">
        <v>1942</v>
      </c>
    </row>
    <row r="606" spans="1:2" x14ac:dyDescent="0.2">
      <c r="A606" s="56" t="s">
        <v>1943</v>
      </c>
      <c r="B606" s="62" t="s">
        <v>1516</v>
      </c>
    </row>
    <row r="607" spans="1:2" x14ac:dyDescent="0.2">
      <c r="A607" s="56" t="s">
        <v>1944</v>
      </c>
      <c r="B607" s="62" t="s">
        <v>1945</v>
      </c>
    </row>
    <row r="608" spans="1:2" x14ac:dyDescent="0.2">
      <c r="A608" s="56" t="s">
        <v>1946</v>
      </c>
      <c r="B608" s="62" t="s">
        <v>1947</v>
      </c>
    </row>
    <row r="609" spans="1:2" x14ac:dyDescent="0.2">
      <c r="A609" s="56" t="s">
        <v>1948</v>
      </c>
      <c r="B609" s="62" t="s">
        <v>1949</v>
      </c>
    </row>
    <row r="610" spans="1:2" x14ac:dyDescent="0.2">
      <c r="A610" s="56" t="s">
        <v>1950</v>
      </c>
      <c r="B610" s="62" t="s">
        <v>1951</v>
      </c>
    </row>
    <row r="611" spans="1:2" x14ac:dyDescent="0.2">
      <c r="A611" s="56" t="s">
        <v>1952</v>
      </c>
      <c r="B611" s="62" t="s">
        <v>1953</v>
      </c>
    </row>
    <row r="612" spans="1:2" x14ac:dyDescent="0.2">
      <c r="A612" s="56" t="s">
        <v>1954</v>
      </c>
      <c r="B612" s="62" t="s">
        <v>1955</v>
      </c>
    </row>
    <row r="613" spans="1:2" x14ac:dyDescent="0.2">
      <c r="A613" s="56" t="s">
        <v>1956</v>
      </c>
      <c r="B613" s="62" t="s">
        <v>1957</v>
      </c>
    </row>
    <row r="614" spans="1:2" x14ac:dyDescent="0.2">
      <c r="A614" s="56" t="s">
        <v>1958</v>
      </c>
      <c r="B614" s="62" t="s">
        <v>1959</v>
      </c>
    </row>
    <row r="615" spans="1:2" x14ac:dyDescent="0.2">
      <c r="A615" s="56" t="s">
        <v>1960</v>
      </c>
      <c r="B615" s="62" t="s">
        <v>1961</v>
      </c>
    </row>
    <row r="616" spans="1:2" x14ac:dyDescent="0.2">
      <c r="A616" s="56" t="s">
        <v>1962</v>
      </c>
      <c r="B616" s="62" t="s">
        <v>1963</v>
      </c>
    </row>
    <row r="617" spans="1:2" x14ac:dyDescent="0.2">
      <c r="A617" s="56" t="s">
        <v>1964</v>
      </c>
      <c r="B617" s="62" t="s">
        <v>1965</v>
      </c>
    </row>
    <row r="618" spans="1:2" x14ac:dyDescent="0.2">
      <c r="A618" s="56" t="s">
        <v>1966</v>
      </c>
      <c r="B618" s="62" t="s">
        <v>1967</v>
      </c>
    </row>
    <row r="619" spans="1:2" x14ac:dyDescent="0.2">
      <c r="A619" s="56" t="s">
        <v>1968</v>
      </c>
      <c r="B619" s="62" t="s">
        <v>1969</v>
      </c>
    </row>
    <row r="620" spans="1:2" x14ac:dyDescent="0.2">
      <c r="A620" s="56" t="s">
        <v>1970</v>
      </c>
      <c r="B620" s="62" t="s">
        <v>1971</v>
      </c>
    </row>
    <row r="621" spans="1:2" x14ac:dyDescent="0.2">
      <c r="A621" s="56" t="s">
        <v>1972</v>
      </c>
      <c r="B621" s="62" t="s">
        <v>1973</v>
      </c>
    </row>
    <row r="622" spans="1:2" x14ac:dyDescent="0.2">
      <c r="A622" s="56" t="s">
        <v>1974</v>
      </c>
      <c r="B622" s="62" t="s">
        <v>1975</v>
      </c>
    </row>
    <row r="623" spans="1:2" x14ac:dyDescent="0.2">
      <c r="A623" s="56" t="s">
        <v>1976</v>
      </c>
      <c r="B623" s="62" t="s">
        <v>1977</v>
      </c>
    </row>
    <row r="624" spans="1:2" x14ac:dyDescent="0.2">
      <c r="A624" s="56" t="s">
        <v>1978</v>
      </c>
      <c r="B624" s="62" t="s">
        <v>1979</v>
      </c>
    </row>
    <row r="625" spans="1:2" x14ac:dyDescent="0.2">
      <c r="A625" s="56" t="s">
        <v>1980</v>
      </c>
      <c r="B625" s="62" t="s">
        <v>1981</v>
      </c>
    </row>
    <row r="626" spans="1:2" x14ac:dyDescent="0.2">
      <c r="A626" s="56" t="s">
        <v>1982</v>
      </c>
      <c r="B626" s="62" t="s">
        <v>2107</v>
      </c>
    </row>
    <row r="627" spans="1:2" x14ac:dyDescent="0.2">
      <c r="A627" s="56" t="s">
        <v>1983</v>
      </c>
      <c r="B627" s="62" t="s">
        <v>1984</v>
      </c>
    </row>
    <row r="628" spans="1:2" x14ac:dyDescent="0.2">
      <c r="A628" s="56" t="s">
        <v>1985</v>
      </c>
      <c r="B628" s="62" t="s">
        <v>1986</v>
      </c>
    </row>
    <row r="629" spans="1:2" x14ac:dyDescent="0.2">
      <c r="A629" s="56" t="s">
        <v>1987</v>
      </c>
      <c r="B629" s="62" t="s">
        <v>1988</v>
      </c>
    </row>
    <row r="630" spans="1:2" x14ac:dyDescent="0.2">
      <c r="A630" s="56" t="s">
        <v>1989</v>
      </c>
      <c r="B630" s="62" t="s">
        <v>1990</v>
      </c>
    </row>
    <row r="631" spans="1:2" ht="28" x14ac:dyDescent="0.2">
      <c r="A631" s="57" t="s">
        <v>1991</v>
      </c>
      <c r="B631" s="61" t="s">
        <v>1992</v>
      </c>
    </row>
    <row r="632" spans="1:2" ht="28" x14ac:dyDescent="0.2">
      <c r="A632" s="57" t="s">
        <v>1993</v>
      </c>
      <c r="B632" s="61" t="s">
        <v>1994</v>
      </c>
    </row>
    <row r="633" spans="1:2" ht="28" x14ac:dyDescent="0.2">
      <c r="A633" s="57" t="s">
        <v>1995</v>
      </c>
      <c r="B633" s="61" t="s">
        <v>1996</v>
      </c>
    </row>
    <row r="634" spans="1:2" ht="28" x14ac:dyDescent="0.2">
      <c r="A634" s="57" t="s">
        <v>1997</v>
      </c>
      <c r="B634" s="61" t="s">
        <v>1998</v>
      </c>
    </row>
    <row r="635" spans="1:2" ht="56" x14ac:dyDescent="0.2">
      <c r="A635" s="58" t="s">
        <v>823</v>
      </c>
      <c r="B635" s="59" t="s">
        <v>1999</v>
      </c>
    </row>
    <row r="636" spans="1:2" ht="56" x14ac:dyDescent="0.2">
      <c r="A636" s="60" t="s">
        <v>824</v>
      </c>
      <c r="B636" s="59" t="s">
        <v>2000</v>
      </c>
    </row>
    <row r="637" spans="1:2" ht="28" x14ac:dyDescent="0.2">
      <c r="A637" s="58" t="s">
        <v>830</v>
      </c>
      <c r="B637" s="59" t="s">
        <v>2001</v>
      </c>
    </row>
    <row r="638" spans="1:2" ht="42" x14ac:dyDescent="0.2">
      <c r="A638" s="60" t="s">
        <v>833</v>
      </c>
      <c r="B638" s="59" t="s">
        <v>2002</v>
      </c>
    </row>
    <row r="639" spans="1:2" x14ac:dyDescent="0.2">
      <c r="A639" s="60" t="s">
        <v>834</v>
      </c>
      <c r="B639" s="59" t="s">
        <v>2003</v>
      </c>
    </row>
    <row r="640" spans="1:2" x14ac:dyDescent="0.2">
      <c r="A640" s="60" t="s">
        <v>839</v>
      </c>
      <c r="B640" s="59" t="s">
        <v>2004</v>
      </c>
    </row>
    <row r="641" spans="1:2" ht="70" x14ac:dyDescent="0.2">
      <c r="A641" s="60" t="s">
        <v>842</v>
      </c>
      <c r="B641" s="59" t="s">
        <v>2005</v>
      </c>
    </row>
    <row r="642" spans="1:2" ht="70" x14ac:dyDescent="0.2">
      <c r="A642" s="60" t="s">
        <v>844</v>
      </c>
      <c r="B642" s="59" t="s">
        <v>2006</v>
      </c>
    </row>
    <row r="643" spans="1:2" ht="42" x14ac:dyDescent="0.2">
      <c r="A643" s="58" t="s">
        <v>845</v>
      </c>
      <c r="B643" s="59" t="s">
        <v>2007</v>
      </c>
    </row>
    <row r="644" spans="1:2" ht="28" x14ac:dyDescent="0.2">
      <c r="A644" s="58" t="s">
        <v>847</v>
      </c>
      <c r="B644" s="59" t="s">
        <v>2008</v>
      </c>
    </row>
    <row r="645" spans="1:2" ht="28" x14ac:dyDescent="0.2">
      <c r="A645" s="58" t="s">
        <v>848</v>
      </c>
      <c r="B645" s="59" t="s">
        <v>2009</v>
      </c>
    </row>
    <row r="646" spans="1:2" ht="28" x14ac:dyDescent="0.2">
      <c r="A646" s="58" t="s">
        <v>850</v>
      </c>
      <c r="B646" s="59" t="s">
        <v>2010</v>
      </c>
    </row>
    <row r="647" spans="1:2" x14ac:dyDescent="0.2">
      <c r="A647" s="58" t="s">
        <v>858</v>
      </c>
      <c r="B647" s="59" t="s">
        <v>2011</v>
      </c>
    </row>
    <row r="648" spans="1:2" ht="126" x14ac:dyDescent="0.2">
      <c r="A648" s="58" t="s">
        <v>853</v>
      </c>
      <c r="B648" s="59" t="s">
        <v>2012</v>
      </c>
    </row>
    <row r="649" spans="1:2" ht="28" x14ac:dyDescent="0.2">
      <c r="A649" s="58" t="s">
        <v>861</v>
      </c>
      <c r="B649" s="59" t="s">
        <v>2013</v>
      </c>
    </row>
    <row r="650" spans="1:2" ht="28" x14ac:dyDescent="0.2">
      <c r="A650" s="58" t="s">
        <v>862</v>
      </c>
      <c r="B650" s="59" t="s">
        <v>2014</v>
      </c>
    </row>
    <row r="651" spans="1:2" ht="42" x14ac:dyDescent="0.2">
      <c r="A651" s="58" t="s">
        <v>865</v>
      </c>
      <c r="B651" s="59" t="s">
        <v>2015</v>
      </c>
    </row>
    <row r="652" spans="1:2" ht="28" x14ac:dyDescent="0.2">
      <c r="A652" s="58" t="s">
        <v>866</v>
      </c>
      <c r="B652" s="59" t="s">
        <v>2016</v>
      </c>
    </row>
    <row r="653" spans="1:2" ht="42" x14ac:dyDescent="0.2">
      <c r="A653" s="58" t="s">
        <v>868</v>
      </c>
      <c r="B653" s="59" t="s">
        <v>2017</v>
      </c>
    </row>
    <row r="654" spans="1:2" ht="56" x14ac:dyDescent="0.2">
      <c r="A654" s="58" t="s">
        <v>2018</v>
      </c>
      <c r="B654" s="59" t="s">
        <v>2019</v>
      </c>
    </row>
    <row r="655" spans="1:2" ht="42" x14ac:dyDescent="0.2">
      <c r="A655" s="58" t="s">
        <v>871</v>
      </c>
      <c r="B655" s="59" t="s">
        <v>2020</v>
      </c>
    </row>
    <row r="656" spans="1:2" x14ac:dyDescent="0.2">
      <c r="A656" s="58" t="s">
        <v>869</v>
      </c>
      <c r="B656" s="59" t="s">
        <v>2021</v>
      </c>
    </row>
    <row r="657" spans="1:2" ht="42" x14ac:dyDescent="0.2">
      <c r="A657" s="58" t="s">
        <v>879</v>
      </c>
      <c r="B657" s="59" t="s">
        <v>2022</v>
      </c>
    </row>
    <row r="658" spans="1:2" ht="28" x14ac:dyDescent="0.2">
      <c r="A658" s="58" t="s">
        <v>599</v>
      </c>
      <c r="B658" s="59" t="s">
        <v>2023</v>
      </c>
    </row>
    <row r="659" spans="1:2" ht="28" x14ac:dyDescent="0.2">
      <c r="A659" s="58" t="s">
        <v>600</v>
      </c>
      <c r="B659" s="59" t="s">
        <v>2024</v>
      </c>
    </row>
    <row r="660" spans="1:2" x14ac:dyDescent="0.2">
      <c r="A660" s="95" t="s">
        <v>2150</v>
      </c>
      <c r="B660" s="59" t="s">
        <v>2151</v>
      </c>
    </row>
    <row r="661" spans="1:2" x14ac:dyDescent="0.2">
      <c r="A661" s="95">
        <v>1.1000000000000001</v>
      </c>
      <c r="B661" s="59" t="s">
        <v>2152</v>
      </c>
    </row>
    <row r="662" spans="1:2" x14ac:dyDescent="0.2">
      <c r="A662" s="95" t="s">
        <v>2153</v>
      </c>
      <c r="B662" s="59" t="s">
        <v>2154</v>
      </c>
    </row>
    <row r="663" spans="1:2" x14ac:dyDescent="0.2">
      <c r="A663" s="95" t="s">
        <v>2155</v>
      </c>
      <c r="B663" s="59" t="s">
        <v>2156</v>
      </c>
    </row>
    <row r="664" spans="1:2" x14ac:dyDescent="0.2">
      <c r="A664" s="95" t="s">
        <v>2157</v>
      </c>
      <c r="B664" s="59" t="s">
        <v>2158</v>
      </c>
    </row>
    <row r="665" spans="1:2" x14ac:dyDescent="0.2">
      <c r="A665" s="95" t="s">
        <v>2159</v>
      </c>
      <c r="B665" s="59" t="s">
        <v>2160</v>
      </c>
    </row>
    <row r="666" spans="1:2" x14ac:dyDescent="0.2">
      <c r="A666" s="95" t="s">
        <v>2161</v>
      </c>
      <c r="B666" s="59" t="s">
        <v>2162</v>
      </c>
    </row>
    <row r="667" spans="1:2" x14ac:dyDescent="0.2">
      <c r="A667" s="95" t="s">
        <v>2163</v>
      </c>
      <c r="B667" s="59" t="s">
        <v>2164</v>
      </c>
    </row>
    <row r="668" spans="1:2" x14ac:dyDescent="0.2">
      <c r="A668" s="95" t="s">
        <v>2165</v>
      </c>
      <c r="B668" s="59" t="s">
        <v>2166</v>
      </c>
    </row>
    <row r="669" spans="1:2" x14ac:dyDescent="0.2">
      <c r="A669" s="95">
        <v>1.2</v>
      </c>
      <c r="B669" s="59" t="s">
        <v>2167</v>
      </c>
    </row>
    <row r="670" spans="1:2" x14ac:dyDescent="0.2">
      <c r="A670" s="95" t="s">
        <v>2168</v>
      </c>
      <c r="B670" s="59" t="s">
        <v>2169</v>
      </c>
    </row>
    <row r="671" spans="1:2" x14ac:dyDescent="0.2">
      <c r="A671" s="95" t="s">
        <v>2170</v>
      </c>
      <c r="B671" s="59" t="s">
        <v>2171</v>
      </c>
    </row>
    <row r="672" spans="1:2" x14ac:dyDescent="0.2">
      <c r="A672" s="95" t="s">
        <v>2172</v>
      </c>
      <c r="B672" s="59" t="s">
        <v>2173</v>
      </c>
    </row>
    <row r="673" spans="1:2" x14ac:dyDescent="0.2">
      <c r="A673" s="95">
        <v>1.3</v>
      </c>
      <c r="B673" s="59" t="s">
        <v>2174</v>
      </c>
    </row>
    <row r="674" spans="1:2" x14ac:dyDescent="0.2">
      <c r="A674" s="95" t="s">
        <v>2175</v>
      </c>
      <c r="B674" s="59" t="s">
        <v>2176</v>
      </c>
    </row>
    <row r="675" spans="1:2" x14ac:dyDescent="0.2">
      <c r="A675" s="95" t="s">
        <v>2177</v>
      </c>
      <c r="B675" s="59" t="s">
        <v>2178</v>
      </c>
    </row>
    <row r="676" spans="1:2" x14ac:dyDescent="0.2">
      <c r="A676" s="95" t="s">
        <v>2179</v>
      </c>
      <c r="B676" s="59" t="s">
        <v>2180</v>
      </c>
    </row>
    <row r="677" spans="1:2" x14ac:dyDescent="0.2">
      <c r="A677" s="95" t="s">
        <v>2181</v>
      </c>
      <c r="B677" s="59" t="s">
        <v>2182</v>
      </c>
    </row>
    <row r="678" spans="1:2" x14ac:dyDescent="0.2">
      <c r="A678" s="95" t="s">
        <v>2183</v>
      </c>
      <c r="B678" s="59" t="s">
        <v>2184</v>
      </c>
    </row>
    <row r="679" spans="1:2" x14ac:dyDescent="0.2">
      <c r="A679" s="95" t="s">
        <v>2185</v>
      </c>
      <c r="B679" s="59" t="s">
        <v>2186</v>
      </c>
    </row>
    <row r="680" spans="1:2" x14ac:dyDescent="0.2">
      <c r="A680" s="95" t="s">
        <v>2187</v>
      </c>
      <c r="B680" s="59" t="s">
        <v>2188</v>
      </c>
    </row>
    <row r="681" spans="1:2" x14ac:dyDescent="0.2">
      <c r="A681" s="95">
        <v>1.4</v>
      </c>
      <c r="B681" s="59" t="s">
        <v>2189</v>
      </c>
    </row>
    <row r="682" spans="1:2" x14ac:dyDescent="0.2">
      <c r="A682" s="95">
        <v>1.5</v>
      </c>
      <c r="B682" s="59" t="s">
        <v>2190</v>
      </c>
    </row>
    <row r="683" spans="1:2" x14ac:dyDescent="0.2">
      <c r="A683" s="95" t="s">
        <v>2191</v>
      </c>
      <c r="B683" s="59" t="s">
        <v>2192</v>
      </c>
    </row>
    <row r="684" spans="1:2" x14ac:dyDescent="0.2">
      <c r="A684" s="95">
        <v>2.1</v>
      </c>
      <c r="B684" s="59" t="s">
        <v>2193</v>
      </c>
    </row>
    <row r="685" spans="1:2" x14ac:dyDescent="0.2">
      <c r="A685" s="95" t="s">
        <v>2194</v>
      </c>
      <c r="B685" s="59" t="s">
        <v>2195</v>
      </c>
    </row>
    <row r="686" spans="1:2" x14ac:dyDescent="0.2">
      <c r="A686" s="95">
        <v>2.2000000000000002</v>
      </c>
      <c r="B686" s="59" t="s">
        <v>2196</v>
      </c>
    </row>
    <row r="687" spans="1:2" x14ac:dyDescent="0.2">
      <c r="A687" s="95" t="s">
        <v>2197</v>
      </c>
      <c r="B687" s="59" t="s">
        <v>2198</v>
      </c>
    </row>
    <row r="688" spans="1:2" x14ac:dyDescent="0.2">
      <c r="A688" s="95" t="s">
        <v>2199</v>
      </c>
      <c r="B688" s="59" t="s">
        <v>2200</v>
      </c>
    </row>
    <row r="689" spans="1:2" x14ac:dyDescent="0.2">
      <c r="A689" s="95" t="s">
        <v>2201</v>
      </c>
      <c r="B689" s="59" t="s">
        <v>2202</v>
      </c>
    </row>
    <row r="690" spans="1:2" x14ac:dyDescent="0.2">
      <c r="A690" s="95" t="s">
        <v>2203</v>
      </c>
      <c r="B690" s="59" t="s">
        <v>2204</v>
      </c>
    </row>
    <row r="691" spans="1:2" x14ac:dyDescent="0.2">
      <c r="A691" s="95" t="s">
        <v>2205</v>
      </c>
      <c r="B691" s="59" t="s">
        <v>2206</v>
      </c>
    </row>
    <row r="692" spans="1:2" x14ac:dyDescent="0.2">
      <c r="A692" s="95">
        <v>2.2999999999999998</v>
      </c>
      <c r="B692" s="59" t="s">
        <v>2207</v>
      </c>
    </row>
    <row r="693" spans="1:2" x14ac:dyDescent="0.2">
      <c r="A693" s="95">
        <v>2.4</v>
      </c>
      <c r="B693" s="59" t="s">
        <v>2208</v>
      </c>
    </row>
    <row r="694" spans="1:2" x14ac:dyDescent="0.2">
      <c r="A694" s="95">
        <v>2.5</v>
      </c>
      <c r="B694" s="59" t="s">
        <v>2209</v>
      </c>
    </row>
    <row r="695" spans="1:2" x14ac:dyDescent="0.2">
      <c r="A695" s="95">
        <v>2.6</v>
      </c>
      <c r="B695" s="59" t="s">
        <v>2210</v>
      </c>
    </row>
    <row r="696" spans="1:2" x14ac:dyDescent="0.2">
      <c r="A696" s="95" t="s">
        <v>2211</v>
      </c>
      <c r="B696" s="59" t="s">
        <v>2212</v>
      </c>
    </row>
    <row r="697" spans="1:2" x14ac:dyDescent="0.2">
      <c r="A697" s="95">
        <v>3.1</v>
      </c>
      <c r="B697" s="59" t="s">
        <v>2213</v>
      </c>
    </row>
    <row r="698" spans="1:2" x14ac:dyDescent="0.2">
      <c r="A698" s="95">
        <v>3.2</v>
      </c>
      <c r="B698" s="59" t="s">
        <v>2214</v>
      </c>
    </row>
    <row r="699" spans="1:2" x14ac:dyDescent="0.2">
      <c r="A699" s="95" t="s">
        <v>751</v>
      </c>
      <c r="B699" s="59" t="s">
        <v>2215</v>
      </c>
    </row>
    <row r="700" spans="1:2" x14ac:dyDescent="0.2">
      <c r="A700" s="95" t="s">
        <v>759</v>
      </c>
      <c r="B700" s="59" t="s">
        <v>2216</v>
      </c>
    </row>
    <row r="701" spans="1:2" x14ac:dyDescent="0.2">
      <c r="A701" s="95" t="s">
        <v>1322</v>
      </c>
      <c r="B701" s="59" t="s">
        <v>2217</v>
      </c>
    </row>
    <row r="702" spans="1:2" x14ac:dyDescent="0.2">
      <c r="A702" s="95">
        <v>3.3</v>
      </c>
      <c r="B702" s="59" t="s">
        <v>2218</v>
      </c>
    </row>
    <row r="703" spans="1:2" x14ac:dyDescent="0.2">
      <c r="A703" s="95">
        <v>3.4</v>
      </c>
      <c r="B703" s="59" t="s">
        <v>2219</v>
      </c>
    </row>
    <row r="704" spans="1:2" x14ac:dyDescent="0.2">
      <c r="A704" s="95" t="s">
        <v>1340</v>
      </c>
      <c r="B704" s="59" t="s">
        <v>2220</v>
      </c>
    </row>
    <row r="705" spans="1:2" x14ac:dyDescent="0.2">
      <c r="A705" s="95">
        <v>3.5</v>
      </c>
      <c r="B705" s="59" t="s">
        <v>2221</v>
      </c>
    </row>
    <row r="706" spans="1:2" x14ac:dyDescent="0.2">
      <c r="A706" s="95" t="s">
        <v>712</v>
      </c>
      <c r="B706" s="59" t="s">
        <v>2222</v>
      </c>
    </row>
    <row r="707" spans="1:2" x14ac:dyDescent="0.2">
      <c r="A707" s="95" t="s">
        <v>1357</v>
      </c>
      <c r="B707" s="59" t="s">
        <v>2223</v>
      </c>
    </row>
    <row r="708" spans="1:2" x14ac:dyDescent="0.2">
      <c r="A708" s="95" t="s">
        <v>1359</v>
      </c>
      <c r="B708" s="59" t="s">
        <v>2224</v>
      </c>
    </row>
    <row r="709" spans="1:2" x14ac:dyDescent="0.2">
      <c r="A709" s="95" t="s">
        <v>1361</v>
      </c>
      <c r="B709" s="59" t="s">
        <v>2225</v>
      </c>
    </row>
    <row r="710" spans="1:2" x14ac:dyDescent="0.2">
      <c r="A710" s="95">
        <v>3.6</v>
      </c>
      <c r="B710" s="59" t="s">
        <v>2226</v>
      </c>
    </row>
    <row r="711" spans="1:2" x14ac:dyDescent="0.2">
      <c r="A711" s="95" t="s">
        <v>1373</v>
      </c>
      <c r="B711" s="59" t="s">
        <v>2227</v>
      </c>
    </row>
    <row r="712" spans="1:2" x14ac:dyDescent="0.2">
      <c r="A712" s="95" t="s">
        <v>738</v>
      </c>
      <c r="B712" s="59" t="s">
        <v>2228</v>
      </c>
    </row>
    <row r="713" spans="1:2" x14ac:dyDescent="0.2">
      <c r="A713" s="95" t="s">
        <v>1376</v>
      </c>
      <c r="B713" s="59" t="s">
        <v>2229</v>
      </c>
    </row>
    <row r="714" spans="1:2" x14ac:dyDescent="0.2">
      <c r="A714" s="95" t="s">
        <v>2230</v>
      </c>
      <c r="B714" s="59" t="s">
        <v>2231</v>
      </c>
    </row>
    <row r="715" spans="1:2" x14ac:dyDescent="0.2">
      <c r="A715" s="95" t="s">
        <v>2232</v>
      </c>
      <c r="B715" s="59" t="s">
        <v>2233</v>
      </c>
    </row>
    <row r="716" spans="1:2" x14ac:dyDescent="0.2">
      <c r="A716" s="95" t="s">
        <v>2234</v>
      </c>
      <c r="B716" s="59" t="s">
        <v>2235</v>
      </c>
    </row>
    <row r="717" spans="1:2" x14ac:dyDescent="0.2">
      <c r="A717" s="95" t="s">
        <v>2236</v>
      </c>
      <c r="B717" s="59" t="s">
        <v>2237</v>
      </c>
    </row>
    <row r="718" spans="1:2" x14ac:dyDescent="0.2">
      <c r="A718" s="95" t="s">
        <v>2238</v>
      </c>
      <c r="B718" s="59" t="s">
        <v>2239</v>
      </c>
    </row>
    <row r="719" spans="1:2" x14ac:dyDescent="0.2">
      <c r="A719" s="95">
        <v>3.7</v>
      </c>
      <c r="B719" s="59" t="s">
        <v>2240</v>
      </c>
    </row>
    <row r="720" spans="1:2" x14ac:dyDescent="0.2">
      <c r="A720" s="95" t="s">
        <v>2241</v>
      </c>
      <c r="B720" s="59" t="s">
        <v>2242</v>
      </c>
    </row>
    <row r="721" spans="1:2" x14ac:dyDescent="0.2">
      <c r="A721" s="95">
        <v>4.0999999999999996</v>
      </c>
      <c r="B721" s="59" t="s">
        <v>2243</v>
      </c>
    </row>
    <row r="722" spans="1:2" x14ac:dyDescent="0.2">
      <c r="A722" s="95" t="s">
        <v>2244</v>
      </c>
      <c r="B722" s="59" t="s">
        <v>2245</v>
      </c>
    </row>
    <row r="723" spans="1:2" x14ac:dyDescent="0.2">
      <c r="A723" s="95">
        <v>4.2</v>
      </c>
      <c r="B723" s="59" t="s">
        <v>2246</v>
      </c>
    </row>
    <row r="724" spans="1:2" x14ac:dyDescent="0.2">
      <c r="A724" s="95">
        <v>4.3</v>
      </c>
      <c r="B724" s="59" t="s">
        <v>2247</v>
      </c>
    </row>
    <row r="725" spans="1:2" x14ac:dyDescent="0.2">
      <c r="A725" s="95" t="s">
        <v>2248</v>
      </c>
      <c r="B725" s="59" t="s">
        <v>2249</v>
      </c>
    </row>
    <row r="726" spans="1:2" x14ac:dyDescent="0.2">
      <c r="A726" s="95">
        <v>5.0999999999999996</v>
      </c>
      <c r="B726" s="59" t="s">
        <v>2250</v>
      </c>
    </row>
    <row r="727" spans="1:2" x14ac:dyDescent="0.2">
      <c r="A727" s="95" t="s">
        <v>674</v>
      </c>
      <c r="B727" s="59" t="s">
        <v>2251</v>
      </c>
    </row>
    <row r="728" spans="1:2" x14ac:dyDescent="0.2">
      <c r="A728" s="95" t="s">
        <v>905</v>
      </c>
      <c r="B728" s="59" t="s">
        <v>2252</v>
      </c>
    </row>
    <row r="729" spans="1:2" x14ac:dyDescent="0.2">
      <c r="A729" s="95">
        <v>5.2</v>
      </c>
      <c r="B729" s="59" t="s">
        <v>2253</v>
      </c>
    </row>
    <row r="730" spans="1:2" x14ac:dyDescent="0.2">
      <c r="A730" s="95">
        <v>5.3</v>
      </c>
      <c r="B730" s="59" t="s">
        <v>2254</v>
      </c>
    </row>
    <row r="731" spans="1:2" x14ac:dyDescent="0.2">
      <c r="A731" s="95">
        <v>5.4</v>
      </c>
      <c r="B731" s="59" t="s">
        <v>2255</v>
      </c>
    </row>
    <row r="732" spans="1:2" x14ac:dyDescent="0.2">
      <c r="A732" s="95" t="s">
        <v>2256</v>
      </c>
      <c r="B732" s="59" t="s">
        <v>2257</v>
      </c>
    </row>
    <row r="733" spans="1:2" x14ac:dyDescent="0.2">
      <c r="A733" s="95">
        <v>6.1</v>
      </c>
      <c r="B733" s="59" t="s">
        <v>2258</v>
      </c>
    </row>
    <row r="734" spans="1:2" x14ac:dyDescent="0.2">
      <c r="A734" s="95">
        <v>6.2</v>
      </c>
      <c r="B734" s="59" t="s">
        <v>2259</v>
      </c>
    </row>
    <row r="735" spans="1:2" x14ac:dyDescent="0.2">
      <c r="A735" s="95">
        <v>6.3</v>
      </c>
      <c r="B735" s="59" t="s">
        <v>2260</v>
      </c>
    </row>
    <row r="736" spans="1:2" x14ac:dyDescent="0.2">
      <c r="A736" s="95" t="s">
        <v>2261</v>
      </c>
      <c r="B736" s="59" t="s">
        <v>2262</v>
      </c>
    </row>
    <row r="737" spans="1:2" x14ac:dyDescent="0.2">
      <c r="A737" s="95" t="s">
        <v>2138</v>
      </c>
      <c r="B737" s="59" t="s">
        <v>2263</v>
      </c>
    </row>
    <row r="738" spans="1:2" x14ac:dyDescent="0.2">
      <c r="A738" s="95">
        <v>6.4</v>
      </c>
      <c r="B738" s="59" t="s">
        <v>2264</v>
      </c>
    </row>
    <row r="739" spans="1:2" x14ac:dyDescent="0.2">
      <c r="A739" s="95" t="s">
        <v>2265</v>
      </c>
      <c r="B739" s="59" t="s">
        <v>2266</v>
      </c>
    </row>
    <row r="740" spans="1:2" x14ac:dyDescent="0.2">
      <c r="A740" s="95" t="s">
        <v>2267</v>
      </c>
      <c r="B740" s="59" t="s">
        <v>2268</v>
      </c>
    </row>
    <row r="741" spans="1:2" x14ac:dyDescent="0.2">
      <c r="A741" s="95" t="s">
        <v>2269</v>
      </c>
      <c r="B741" s="59" t="s">
        <v>2270</v>
      </c>
    </row>
    <row r="742" spans="1:2" x14ac:dyDescent="0.2">
      <c r="A742" s="95" t="s">
        <v>2271</v>
      </c>
      <c r="B742" s="59" t="s">
        <v>2272</v>
      </c>
    </row>
    <row r="743" spans="1:2" x14ac:dyDescent="0.2">
      <c r="A743" s="95" t="s">
        <v>2136</v>
      </c>
      <c r="B743" s="59" t="s">
        <v>2273</v>
      </c>
    </row>
    <row r="744" spans="1:2" x14ac:dyDescent="0.2">
      <c r="A744" s="95" t="s">
        <v>2274</v>
      </c>
      <c r="B744" s="59" t="s">
        <v>2275</v>
      </c>
    </row>
    <row r="745" spans="1:2" x14ac:dyDescent="0.2">
      <c r="A745" s="95" t="s">
        <v>2276</v>
      </c>
      <c r="B745" s="59" t="s">
        <v>2277</v>
      </c>
    </row>
    <row r="746" spans="1:2" x14ac:dyDescent="0.2">
      <c r="A746" s="95" t="s">
        <v>2278</v>
      </c>
      <c r="B746" s="59" t="s">
        <v>2279</v>
      </c>
    </row>
    <row r="747" spans="1:2" x14ac:dyDescent="0.2">
      <c r="A747" s="95" t="s">
        <v>2280</v>
      </c>
      <c r="B747" s="59" t="s">
        <v>2281</v>
      </c>
    </row>
    <row r="748" spans="1:2" x14ac:dyDescent="0.2">
      <c r="A748" s="95" t="s">
        <v>2282</v>
      </c>
      <c r="B748" s="59" t="s">
        <v>2283</v>
      </c>
    </row>
    <row r="749" spans="1:2" x14ac:dyDescent="0.2">
      <c r="A749" s="95">
        <v>6.5</v>
      </c>
      <c r="B749" s="59" t="s">
        <v>2284</v>
      </c>
    </row>
    <row r="750" spans="1:2" x14ac:dyDescent="0.2">
      <c r="A750" s="95" t="s">
        <v>2285</v>
      </c>
      <c r="B750" s="59" t="s">
        <v>2286</v>
      </c>
    </row>
    <row r="751" spans="1:2" x14ac:dyDescent="0.2">
      <c r="A751" s="95" t="s">
        <v>2287</v>
      </c>
      <c r="B751" s="59" t="s">
        <v>2288</v>
      </c>
    </row>
    <row r="752" spans="1:2" x14ac:dyDescent="0.2">
      <c r="A752" s="95" t="s">
        <v>2289</v>
      </c>
      <c r="B752" s="59" t="s">
        <v>2290</v>
      </c>
    </row>
    <row r="753" spans="1:2" x14ac:dyDescent="0.2">
      <c r="A753" s="95" t="s">
        <v>2291</v>
      </c>
      <c r="B753" s="59" t="s">
        <v>2292</v>
      </c>
    </row>
    <row r="754" spans="1:2" x14ac:dyDescent="0.2">
      <c r="A754" s="95" t="s">
        <v>2293</v>
      </c>
      <c r="B754" s="59" t="s">
        <v>2294</v>
      </c>
    </row>
    <row r="755" spans="1:2" x14ac:dyDescent="0.2">
      <c r="A755" s="95" t="s">
        <v>2295</v>
      </c>
      <c r="B755" s="59" t="s">
        <v>2296</v>
      </c>
    </row>
    <row r="756" spans="1:2" x14ac:dyDescent="0.2">
      <c r="A756" s="95" t="s">
        <v>2297</v>
      </c>
      <c r="B756" s="59" t="s">
        <v>2298</v>
      </c>
    </row>
    <row r="757" spans="1:2" x14ac:dyDescent="0.2">
      <c r="A757" s="95" t="s">
        <v>2299</v>
      </c>
      <c r="B757" s="59" t="s">
        <v>2300</v>
      </c>
    </row>
    <row r="758" spans="1:2" x14ac:dyDescent="0.2">
      <c r="A758" s="95" t="s">
        <v>2301</v>
      </c>
      <c r="B758" s="59" t="s">
        <v>2302</v>
      </c>
    </row>
    <row r="759" spans="1:2" x14ac:dyDescent="0.2">
      <c r="A759" s="95" t="s">
        <v>2303</v>
      </c>
      <c r="B759" s="59" t="s">
        <v>2304</v>
      </c>
    </row>
    <row r="760" spans="1:2" x14ac:dyDescent="0.2">
      <c r="A760" s="95">
        <v>6.6</v>
      </c>
      <c r="B760" s="59" t="s">
        <v>2305</v>
      </c>
    </row>
    <row r="761" spans="1:2" x14ac:dyDescent="0.2">
      <c r="A761" s="95">
        <v>6.7</v>
      </c>
      <c r="B761" s="59" t="s">
        <v>2306</v>
      </c>
    </row>
    <row r="762" spans="1:2" x14ac:dyDescent="0.2">
      <c r="A762" s="95" t="s">
        <v>2112</v>
      </c>
      <c r="B762" s="59" t="s">
        <v>2307</v>
      </c>
    </row>
    <row r="763" spans="1:2" x14ac:dyDescent="0.2">
      <c r="A763" s="95">
        <v>7.1</v>
      </c>
      <c r="B763" s="59" t="s">
        <v>2308</v>
      </c>
    </row>
    <row r="764" spans="1:2" x14ac:dyDescent="0.2">
      <c r="A764" s="95" t="s">
        <v>677</v>
      </c>
      <c r="B764" s="59" t="s">
        <v>2309</v>
      </c>
    </row>
    <row r="765" spans="1:2" x14ac:dyDescent="0.2">
      <c r="A765" s="95" t="s">
        <v>678</v>
      </c>
      <c r="B765" s="59" t="s">
        <v>2310</v>
      </c>
    </row>
    <row r="766" spans="1:2" x14ac:dyDescent="0.2">
      <c r="A766" s="95" t="s">
        <v>663</v>
      </c>
      <c r="B766" s="59" t="s">
        <v>2311</v>
      </c>
    </row>
    <row r="767" spans="1:2" x14ac:dyDescent="0.2">
      <c r="A767" s="95" t="s">
        <v>2312</v>
      </c>
      <c r="B767" s="59" t="s">
        <v>2313</v>
      </c>
    </row>
    <row r="768" spans="1:2" x14ac:dyDescent="0.2">
      <c r="A768" s="95">
        <v>7.2</v>
      </c>
      <c r="B768" s="59" t="s">
        <v>2314</v>
      </c>
    </row>
    <row r="769" spans="1:2" x14ac:dyDescent="0.2">
      <c r="A769" s="95" t="s">
        <v>922</v>
      </c>
      <c r="B769" s="59" t="s">
        <v>2315</v>
      </c>
    </row>
    <row r="770" spans="1:2" x14ac:dyDescent="0.2">
      <c r="A770" s="95" t="s">
        <v>679</v>
      </c>
      <c r="B770" s="59" t="s">
        <v>2316</v>
      </c>
    </row>
    <row r="771" spans="1:2" x14ac:dyDescent="0.2">
      <c r="A771" s="95" t="s">
        <v>925</v>
      </c>
      <c r="B771" s="59" t="s">
        <v>2317</v>
      </c>
    </row>
    <row r="772" spans="1:2" x14ac:dyDescent="0.2">
      <c r="A772" s="95">
        <v>7.3</v>
      </c>
      <c r="B772" s="59" t="s">
        <v>2318</v>
      </c>
    </row>
    <row r="773" spans="1:2" x14ac:dyDescent="0.2">
      <c r="A773" s="95" t="s">
        <v>2117</v>
      </c>
      <c r="B773" s="59" t="s">
        <v>2319</v>
      </c>
    </row>
    <row r="774" spans="1:2" x14ac:dyDescent="0.2">
      <c r="A774" s="95">
        <v>8.1</v>
      </c>
      <c r="B774" s="59" t="s">
        <v>2320</v>
      </c>
    </row>
    <row r="775" spans="1:2" x14ac:dyDescent="0.2">
      <c r="A775" s="95" t="s">
        <v>929</v>
      </c>
      <c r="B775" s="59" t="s">
        <v>2321</v>
      </c>
    </row>
    <row r="776" spans="1:2" x14ac:dyDescent="0.2">
      <c r="A776" s="95" t="s">
        <v>653</v>
      </c>
      <c r="B776" s="59" t="s">
        <v>2322</v>
      </c>
    </row>
    <row r="777" spans="1:2" x14ac:dyDescent="0.2">
      <c r="A777" s="95" t="s">
        <v>932</v>
      </c>
      <c r="B777" s="59" t="s">
        <v>2323</v>
      </c>
    </row>
    <row r="778" spans="1:2" x14ac:dyDescent="0.2">
      <c r="A778" s="95" t="s">
        <v>651</v>
      </c>
      <c r="B778" s="59" t="s">
        <v>2324</v>
      </c>
    </row>
    <row r="779" spans="1:2" x14ac:dyDescent="0.2">
      <c r="A779" s="95" t="s">
        <v>2325</v>
      </c>
      <c r="B779" s="59" t="s">
        <v>2326</v>
      </c>
    </row>
    <row r="780" spans="1:2" x14ac:dyDescent="0.2">
      <c r="A780" s="95" t="s">
        <v>2327</v>
      </c>
      <c r="B780" s="59" t="s">
        <v>2328</v>
      </c>
    </row>
    <row r="781" spans="1:2" x14ac:dyDescent="0.2">
      <c r="A781" s="95" t="s">
        <v>2329</v>
      </c>
      <c r="B781" s="59" t="s">
        <v>2330</v>
      </c>
    </row>
    <row r="782" spans="1:2" x14ac:dyDescent="0.2">
      <c r="A782" s="95" t="s">
        <v>2331</v>
      </c>
      <c r="B782" s="59" t="s">
        <v>2332</v>
      </c>
    </row>
    <row r="783" spans="1:2" x14ac:dyDescent="0.2">
      <c r="A783" s="95">
        <v>8.1999999999999993</v>
      </c>
      <c r="B783" s="59" t="s">
        <v>2333</v>
      </c>
    </row>
    <row r="784" spans="1:2" x14ac:dyDescent="0.2">
      <c r="A784" s="95" t="s">
        <v>648</v>
      </c>
      <c r="B784" s="59" t="s">
        <v>2334</v>
      </c>
    </row>
    <row r="785" spans="1:2" x14ac:dyDescent="0.2">
      <c r="A785" s="95" t="s">
        <v>936</v>
      </c>
      <c r="B785" s="59" t="s">
        <v>2335</v>
      </c>
    </row>
    <row r="786" spans="1:2" x14ac:dyDescent="0.2">
      <c r="A786" s="95" t="s">
        <v>668</v>
      </c>
      <c r="B786" s="59" t="s">
        <v>2336</v>
      </c>
    </row>
    <row r="787" spans="1:2" x14ac:dyDescent="0.2">
      <c r="A787" s="95" t="s">
        <v>2337</v>
      </c>
      <c r="B787" s="59" t="s">
        <v>2338</v>
      </c>
    </row>
    <row r="788" spans="1:2" x14ac:dyDescent="0.2">
      <c r="A788" s="95" t="s">
        <v>2339</v>
      </c>
      <c r="B788" s="59" t="s">
        <v>2340</v>
      </c>
    </row>
    <row r="789" spans="1:2" x14ac:dyDescent="0.2">
      <c r="A789" s="95" t="s">
        <v>2341</v>
      </c>
      <c r="B789" s="59" t="s">
        <v>2342</v>
      </c>
    </row>
    <row r="790" spans="1:2" x14ac:dyDescent="0.2">
      <c r="A790" s="95">
        <v>8.3000000000000007</v>
      </c>
      <c r="B790" s="59" t="s">
        <v>2343</v>
      </c>
    </row>
    <row r="791" spans="1:2" x14ac:dyDescent="0.2">
      <c r="A791" s="95" t="s">
        <v>655</v>
      </c>
      <c r="B791" s="59" t="s">
        <v>2344</v>
      </c>
    </row>
    <row r="792" spans="1:2" x14ac:dyDescent="0.2">
      <c r="A792" s="95" t="s">
        <v>940</v>
      </c>
      <c r="B792" s="59" t="s">
        <v>2345</v>
      </c>
    </row>
    <row r="793" spans="1:2" x14ac:dyDescent="0.2">
      <c r="A793" s="95">
        <v>8.4</v>
      </c>
      <c r="B793" s="59" t="s">
        <v>2346</v>
      </c>
    </row>
    <row r="794" spans="1:2" x14ac:dyDescent="0.2">
      <c r="A794" s="95">
        <v>8.5</v>
      </c>
      <c r="B794" s="59" t="s">
        <v>2347</v>
      </c>
    </row>
    <row r="795" spans="1:2" x14ac:dyDescent="0.2">
      <c r="A795" s="95" t="s">
        <v>2348</v>
      </c>
      <c r="B795" s="59" t="s">
        <v>2349</v>
      </c>
    </row>
    <row r="796" spans="1:2" x14ac:dyDescent="0.2">
      <c r="A796" s="95">
        <v>8.6</v>
      </c>
      <c r="B796" s="59" t="s">
        <v>2350</v>
      </c>
    </row>
    <row r="797" spans="1:2" x14ac:dyDescent="0.2">
      <c r="A797" s="95">
        <v>8.6999999999999993</v>
      </c>
      <c r="B797" s="59" t="s">
        <v>2351</v>
      </c>
    </row>
    <row r="798" spans="1:2" x14ac:dyDescent="0.2">
      <c r="A798" s="95">
        <v>8.8000000000000007</v>
      </c>
      <c r="B798" s="59" t="s">
        <v>2352</v>
      </c>
    </row>
    <row r="799" spans="1:2" x14ac:dyDescent="0.2">
      <c r="A799" s="95" t="s">
        <v>2131</v>
      </c>
      <c r="B799" s="59" t="s">
        <v>2353</v>
      </c>
    </row>
    <row r="800" spans="1:2" x14ac:dyDescent="0.2">
      <c r="A800" s="95">
        <v>9.1</v>
      </c>
      <c r="B800" s="59" t="s">
        <v>2354</v>
      </c>
    </row>
    <row r="801" spans="1:2" x14ac:dyDescent="0.2">
      <c r="A801" s="95" t="s">
        <v>627</v>
      </c>
      <c r="B801" s="59" t="s">
        <v>2355</v>
      </c>
    </row>
    <row r="802" spans="1:2" x14ac:dyDescent="0.2">
      <c r="A802" s="95" t="s">
        <v>623</v>
      </c>
      <c r="B802" s="59" t="s">
        <v>2356</v>
      </c>
    </row>
    <row r="803" spans="1:2" x14ac:dyDescent="0.2">
      <c r="A803" s="95" t="s">
        <v>2357</v>
      </c>
      <c r="B803" s="59" t="s">
        <v>2358</v>
      </c>
    </row>
    <row r="804" spans="1:2" x14ac:dyDescent="0.2">
      <c r="A804" s="95">
        <v>9.1999999999999993</v>
      </c>
      <c r="B804" s="59" t="s">
        <v>2359</v>
      </c>
    </row>
    <row r="805" spans="1:2" x14ac:dyDescent="0.2">
      <c r="A805" s="95">
        <v>9.3000000000000007</v>
      </c>
      <c r="B805" s="59" t="s">
        <v>2360</v>
      </c>
    </row>
    <row r="806" spans="1:2" x14ac:dyDescent="0.2">
      <c r="A806" s="95">
        <v>9.4</v>
      </c>
      <c r="B806" s="59" t="s">
        <v>2361</v>
      </c>
    </row>
    <row r="807" spans="1:2" x14ac:dyDescent="0.2">
      <c r="A807" s="95" t="s">
        <v>956</v>
      </c>
      <c r="B807" s="59" t="s">
        <v>2362</v>
      </c>
    </row>
    <row r="808" spans="1:2" x14ac:dyDescent="0.2">
      <c r="A808" s="95" t="s">
        <v>669</v>
      </c>
      <c r="B808" s="59" t="s">
        <v>2363</v>
      </c>
    </row>
    <row r="809" spans="1:2" x14ac:dyDescent="0.2">
      <c r="A809" s="95" t="s">
        <v>633</v>
      </c>
      <c r="B809" s="59" t="s">
        <v>2364</v>
      </c>
    </row>
    <row r="810" spans="1:2" x14ac:dyDescent="0.2">
      <c r="A810" s="95" t="s">
        <v>960</v>
      </c>
      <c r="B810" s="59" t="s">
        <v>2365</v>
      </c>
    </row>
    <row r="811" spans="1:2" x14ac:dyDescent="0.2">
      <c r="A811" s="95">
        <v>9.5</v>
      </c>
      <c r="B811" s="59" t="s">
        <v>2366</v>
      </c>
    </row>
    <row r="812" spans="1:2" x14ac:dyDescent="0.2">
      <c r="A812" s="95" t="s">
        <v>2367</v>
      </c>
      <c r="B812" s="59" t="s">
        <v>2368</v>
      </c>
    </row>
    <row r="813" spans="1:2" x14ac:dyDescent="0.2">
      <c r="A813" s="95">
        <v>9.6</v>
      </c>
      <c r="B813" s="59" t="s">
        <v>2369</v>
      </c>
    </row>
    <row r="814" spans="1:2" x14ac:dyDescent="0.2">
      <c r="A814" s="95" t="s">
        <v>2370</v>
      </c>
      <c r="B814" s="59" t="s">
        <v>2371</v>
      </c>
    </row>
    <row r="815" spans="1:2" x14ac:dyDescent="0.2">
      <c r="A815" s="95" t="s">
        <v>2372</v>
      </c>
      <c r="B815" s="59" t="s">
        <v>2373</v>
      </c>
    </row>
    <row r="816" spans="1:2" x14ac:dyDescent="0.2">
      <c r="A816" s="95" t="s">
        <v>2374</v>
      </c>
      <c r="B816" s="59" t="s">
        <v>2375</v>
      </c>
    </row>
    <row r="817" spans="1:2" x14ac:dyDescent="0.2">
      <c r="A817" s="95">
        <v>9.6999999999999993</v>
      </c>
      <c r="B817" s="59" t="s">
        <v>2376</v>
      </c>
    </row>
    <row r="818" spans="1:2" x14ac:dyDescent="0.2">
      <c r="A818" s="95" t="s">
        <v>2377</v>
      </c>
      <c r="B818" s="59" t="s">
        <v>2378</v>
      </c>
    </row>
    <row r="819" spans="1:2" x14ac:dyDescent="0.2">
      <c r="A819" s="95">
        <v>9.8000000000000007</v>
      </c>
      <c r="B819" s="59" t="s">
        <v>2379</v>
      </c>
    </row>
    <row r="820" spans="1:2" x14ac:dyDescent="0.2">
      <c r="A820" s="95" t="s">
        <v>2380</v>
      </c>
      <c r="B820" s="59" t="s">
        <v>2381</v>
      </c>
    </row>
    <row r="821" spans="1:2" x14ac:dyDescent="0.2">
      <c r="A821" s="95" t="s">
        <v>2382</v>
      </c>
      <c r="B821" s="59" t="s">
        <v>2383</v>
      </c>
    </row>
    <row r="822" spans="1:2" x14ac:dyDescent="0.2">
      <c r="A822" s="95">
        <v>9.9</v>
      </c>
      <c r="B822" s="59" t="s">
        <v>2384</v>
      </c>
    </row>
    <row r="823" spans="1:2" x14ac:dyDescent="0.2">
      <c r="A823" s="95" t="s">
        <v>2385</v>
      </c>
      <c r="B823" s="59" t="s">
        <v>2386</v>
      </c>
    </row>
    <row r="824" spans="1:2" x14ac:dyDescent="0.2">
      <c r="A824" s="95" t="s">
        <v>2387</v>
      </c>
      <c r="B824" s="59" t="s">
        <v>2388</v>
      </c>
    </row>
    <row r="825" spans="1:2" x14ac:dyDescent="0.2">
      <c r="A825" s="95" t="s">
        <v>2389</v>
      </c>
      <c r="B825" s="59" t="s">
        <v>2390</v>
      </c>
    </row>
    <row r="826" spans="1:2" x14ac:dyDescent="0.2">
      <c r="A826" s="95" t="s">
        <v>2551</v>
      </c>
      <c r="B826" s="59" t="s">
        <v>2391</v>
      </c>
    </row>
    <row r="827" spans="1:2" x14ac:dyDescent="0.2">
      <c r="A827" s="95" t="s">
        <v>2392</v>
      </c>
      <c r="B827" s="59" t="s">
        <v>2393</v>
      </c>
    </row>
    <row r="828" spans="1:2" x14ac:dyDescent="0.2">
      <c r="A828" s="95">
        <v>10.1</v>
      </c>
      <c r="B828" s="59" t="s">
        <v>2394</v>
      </c>
    </row>
    <row r="829" spans="1:2" x14ac:dyDescent="0.2">
      <c r="A829" s="95">
        <v>10.199999999999999</v>
      </c>
      <c r="B829" s="59" t="s">
        <v>2395</v>
      </c>
    </row>
    <row r="830" spans="1:2" x14ac:dyDescent="0.2">
      <c r="A830" s="95" t="s">
        <v>2396</v>
      </c>
      <c r="B830" s="59" t="s">
        <v>2397</v>
      </c>
    </row>
    <row r="831" spans="1:2" x14ac:dyDescent="0.2">
      <c r="A831" s="95" t="s">
        <v>2398</v>
      </c>
      <c r="B831" s="59" t="s">
        <v>2399</v>
      </c>
    </row>
    <row r="832" spans="1:2" x14ac:dyDescent="0.2">
      <c r="A832" s="95" t="s">
        <v>2400</v>
      </c>
      <c r="B832" s="59" t="s">
        <v>2401</v>
      </c>
    </row>
    <row r="833" spans="1:2" x14ac:dyDescent="0.2">
      <c r="A833" s="95" t="s">
        <v>2402</v>
      </c>
      <c r="B833" s="59" t="s">
        <v>2403</v>
      </c>
    </row>
    <row r="834" spans="1:2" x14ac:dyDescent="0.2">
      <c r="A834" s="95" t="s">
        <v>2404</v>
      </c>
      <c r="B834" s="59" t="s">
        <v>2405</v>
      </c>
    </row>
    <row r="835" spans="1:2" x14ac:dyDescent="0.2">
      <c r="A835" s="95" t="s">
        <v>2406</v>
      </c>
      <c r="B835" s="59" t="s">
        <v>2407</v>
      </c>
    </row>
    <row r="836" spans="1:2" x14ac:dyDescent="0.2">
      <c r="A836" s="95" t="s">
        <v>2408</v>
      </c>
      <c r="B836" s="59" t="s">
        <v>2409</v>
      </c>
    </row>
    <row r="837" spans="1:2" x14ac:dyDescent="0.2">
      <c r="A837" s="95">
        <v>10.3</v>
      </c>
      <c r="B837" s="59" t="s">
        <v>2410</v>
      </c>
    </row>
    <row r="838" spans="1:2" x14ac:dyDescent="0.2">
      <c r="A838" s="95" t="s">
        <v>2411</v>
      </c>
      <c r="B838" s="59" t="s">
        <v>2412</v>
      </c>
    </row>
    <row r="839" spans="1:2" x14ac:dyDescent="0.2">
      <c r="A839" s="95" t="s">
        <v>2413</v>
      </c>
      <c r="B839" s="59" t="s">
        <v>2414</v>
      </c>
    </row>
    <row r="840" spans="1:2" x14ac:dyDescent="0.2">
      <c r="A840" s="95" t="s">
        <v>2415</v>
      </c>
      <c r="B840" s="59" t="s">
        <v>2416</v>
      </c>
    </row>
    <row r="841" spans="1:2" x14ac:dyDescent="0.2">
      <c r="A841" s="95" t="s">
        <v>2417</v>
      </c>
      <c r="B841" s="59" t="s">
        <v>2418</v>
      </c>
    </row>
    <row r="842" spans="1:2" x14ac:dyDescent="0.2">
      <c r="A842" s="95" t="s">
        <v>2419</v>
      </c>
      <c r="B842" s="59" t="s">
        <v>2420</v>
      </c>
    </row>
    <row r="843" spans="1:2" x14ac:dyDescent="0.2">
      <c r="A843" s="95" t="s">
        <v>2421</v>
      </c>
      <c r="B843" s="59" t="s">
        <v>2422</v>
      </c>
    </row>
    <row r="844" spans="1:2" x14ac:dyDescent="0.2">
      <c r="A844" s="95">
        <v>10.4</v>
      </c>
      <c r="B844" s="59" t="s">
        <v>2423</v>
      </c>
    </row>
    <row r="845" spans="1:2" x14ac:dyDescent="0.2">
      <c r="A845" s="95" t="s">
        <v>2424</v>
      </c>
      <c r="B845" s="59" t="s">
        <v>2425</v>
      </c>
    </row>
    <row r="846" spans="1:2" x14ac:dyDescent="0.2">
      <c r="A846" s="95" t="s">
        <v>2426</v>
      </c>
      <c r="B846" s="59" t="s">
        <v>2427</v>
      </c>
    </row>
    <row r="847" spans="1:2" x14ac:dyDescent="0.2">
      <c r="A847" s="95" t="s">
        <v>2428</v>
      </c>
      <c r="B847" s="59" t="s">
        <v>2429</v>
      </c>
    </row>
    <row r="848" spans="1:2" x14ac:dyDescent="0.2">
      <c r="A848" s="95">
        <v>10.5</v>
      </c>
      <c r="B848" s="59" t="s">
        <v>2430</v>
      </c>
    </row>
    <row r="849" spans="1:2" x14ac:dyDescent="0.2">
      <c r="A849" s="95" t="s">
        <v>2431</v>
      </c>
      <c r="B849" s="59" t="s">
        <v>2432</v>
      </c>
    </row>
    <row r="850" spans="1:2" x14ac:dyDescent="0.2">
      <c r="A850" s="95" t="s">
        <v>2433</v>
      </c>
      <c r="B850" s="59" t="s">
        <v>2434</v>
      </c>
    </row>
    <row r="851" spans="1:2" x14ac:dyDescent="0.2">
      <c r="A851" s="95" t="s">
        <v>2435</v>
      </c>
      <c r="B851" s="59" t="s">
        <v>2436</v>
      </c>
    </row>
    <row r="852" spans="1:2" x14ac:dyDescent="0.2">
      <c r="A852" s="95" t="s">
        <v>2437</v>
      </c>
      <c r="B852" s="59" t="s">
        <v>2438</v>
      </c>
    </row>
    <row r="853" spans="1:2" x14ac:dyDescent="0.2">
      <c r="A853" s="95" t="s">
        <v>2439</v>
      </c>
      <c r="B853" s="59" t="s">
        <v>2440</v>
      </c>
    </row>
    <row r="854" spans="1:2" x14ac:dyDescent="0.2">
      <c r="A854" s="95">
        <v>10.6</v>
      </c>
      <c r="B854" s="59" t="s">
        <v>2441</v>
      </c>
    </row>
    <row r="855" spans="1:2" x14ac:dyDescent="0.2">
      <c r="A855" s="95" t="s">
        <v>2442</v>
      </c>
      <c r="B855" s="59" t="s">
        <v>2443</v>
      </c>
    </row>
    <row r="856" spans="1:2" x14ac:dyDescent="0.2">
      <c r="A856" s="95" t="s">
        <v>2444</v>
      </c>
      <c r="B856" s="59" t="s">
        <v>2445</v>
      </c>
    </row>
    <row r="857" spans="1:2" x14ac:dyDescent="0.2">
      <c r="A857" s="95" t="s">
        <v>2446</v>
      </c>
      <c r="B857" s="59" t="s">
        <v>2447</v>
      </c>
    </row>
    <row r="858" spans="1:2" x14ac:dyDescent="0.2">
      <c r="A858" s="95">
        <v>10.7</v>
      </c>
      <c r="B858" s="59" t="s">
        <v>2448</v>
      </c>
    </row>
    <row r="859" spans="1:2" x14ac:dyDescent="0.2">
      <c r="A859" s="95">
        <v>10.8</v>
      </c>
      <c r="B859" s="59" t="s">
        <v>2449</v>
      </c>
    </row>
    <row r="860" spans="1:2" x14ac:dyDescent="0.2">
      <c r="A860" s="95" t="s">
        <v>2450</v>
      </c>
      <c r="B860" s="59" t="s">
        <v>2451</v>
      </c>
    </row>
    <row r="861" spans="1:2" x14ac:dyDescent="0.2">
      <c r="A861" s="95">
        <v>10.9</v>
      </c>
      <c r="B861" s="59" t="s">
        <v>2452</v>
      </c>
    </row>
    <row r="862" spans="1:2" x14ac:dyDescent="0.2">
      <c r="A862" s="95" t="s">
        <v>2453</v>
      </c>
      <c r="B862" s="59" t="s">
        <v>2454</v>
      </c>
    </row>
    <row r="863" spans="1:2" x14ac:dyDescent="0.2">
      <c r="A863" s="95">
        <v>11.1</v>
      </c>
      <c r="B863" s="59" t="s">
        <v>2455</v>
      </c>
    </row>
    <row r="864" spans="1:2" x14ac:dyDescent="0.2">
      <c r="A864" s="95" t="s">
        <v>658</v>
      </c>
      <c r="B864" s="59" t="s">
        <v>2456</v>
      </c>
    </row>
    <row r="865" spans="1:2" x14ac:dyDescent="0.2">
      <c r="A865" s="95" t="s">
        <v>671</v>
      </c>
      <c r="B865" s="59" t="s">
        <v>2457</v>
      </c>
    </row>
    <row r="866" spans="1:2" x14ac:dyDescent="0.2">
      <c r="A866" s="95">
        <v>11.2</v>
      </c>
      <c r="B866" s="59" t="s">
        <v>2458</v>
      </c>
    </row>
    <row r="867" spans="1:2" x14ac:dyDescent="0.2">
      <c r="A867" s="95" t="s">
        <v>660</v>
      </c>
      <c r="B867" s="59" t="s">
        <v>2459</v>
      </c>
    </row>
    <row r="868" spans="1:2" x14ac:dyDescent="0.2">
      <c r="A868" s="95" t="s">
        <v>976</v>
      </c>
      <c r="B868" s="59" t="s">
        <v>2460</v>
      </c>
    </row>
    <row r="869" spans="1:2" x14ac:dyDescent="0.2">
      <c r="A869" s="95" t="s">
        <v>978</v>
      </c>
      <c r="B869" s="59" t="s">
        <v>2461</v>
      </c>
    </row>
    <row r="870" spans="1:2" x14ac:dyDescent="0.2">
      <c r="A870" s="95">
        <v>11.3</v>
      </c>
      <c r="B870" s="59" t="s">
        <v>2462</v>
      </c>
    </row>
    <row r="871" spans="1:2" x14ac:dyDescent="0.2">
      <c r="A871" s="95" t="s">
        <v>2463</v>
      </c>
      <c r="B871" s="59" t="s">
        <v>2464</v>
      </c>
    </row>
    <row r="872" spans="1:2" x14ac:dyDescent="0.2">
      <c r="A872" s="95" t="s">
        <v>2465</v>
      </c>
      <c r="B872" s="59" t="s">
        <v>2466</v>
      </c>
    </row>
    <row r="873" spans="1:2" x14ac:dyDescent="0.2">
      <c r="A873" s="95" t="s">
        <v>2467</v>
      </c>
      <c r="B873" s="59" t="s">
        <v>2468</v>
      </c>
    </row>
    <row r="874" spans="1:2" x14ac:dyDescent="0.2">
      <c r="A874" s="95" t="s">
        <v>2469</v>
      </c>
      <c r="B874" s="59" t="s">
        <v>2470</v>
      </c>
    </row>
    <row r="875" spans="1:2" x14ac:dyDescent="0.2">
      <c r="A875" s="95" t="s">
        <v>2471</v>
      </c>
      <c r="B875" s="59" t="s">
        <v>2472</v>
      </c>
    </row>
    <row r="876" spans="1:2" x14ac:dyDescent="0.2">
      <c r="A876" s="95">
        <v>11.4</v>
      </c>
      <c r="B876" s="59" t="s">
        <v>2473</v>
      </c>
    </row>
    <row r="877" spans="1:2" x14ac:dyDescent="0.2">
      <c r="A877" s="95">
        <v>11.5</v>
      </c>
      <c r="B877" s="59" t="s">
        <v>2474</v>
      </c>
    </row>
    <row r="878" spans="1:2" x14ac:dyDescent="0.2">
      <c r="A878" s="95" t="s">
        <v>2475</v>
      </c>
      <c r="B878" s="59" t="s">
        <v>2476</v>
      </c>
    </row>
    <row r="879" spans="1:2" x14ac:dyDescent="0.2">
      <c r="A879" s="95">
        <v>11.6</v>
      </c>
      <c r="B879" s="59" t="s">
        <v>2477</v>
      </c>
    </row>
    <row r="880" spans="1:2" x14ac:dyDescent="0.2">
      <c r="A880" s="95" t="s">
        <v>2114</v>
      </c>
      <c r="B880" s="59" t="s">
        <v>2478</v>
      </c>
    </row>
    <row r="881" spans="1:2" x14ac:dyDescent="0.2">
      <c r="A881" s="95">
        <v>12.1</v>
      </c>
      <c r="B881" s="59" t="s">
        <v>2479</v>
      </c>
    </row>
    <row r="882" spans="1:2" x14ac:dyDescent="0.2">
      <c r="A882" s="95" t="s">
        <v>629</v>
      </c>
      <c r="B882" s="59" t="s">
        <v>2480</v>
      </c>
    </row>
    <row r="883" spans="1:2" x14ac:dyDescent="0.2">
      <c r="A883" s="95">
        <v>12.2</v>
      </c>
      <c r="B883" s="59" t="s">
        <v>2481</v>
      </c>
    </row>
    <row r="884" spans="1:2" x14ac:dyDescent="0.2">
      <c r="A884" s="95">
        <v>12.3</v>
      </c>
      <c r="B884" s="59" t="s">
        <v>2482</v>
      </c>
    </row>
    <row r="885" spans="1:2" x14ac:dyDescent="0.2">
      <c r="A885" s="95" t="s">
        <v>652</v>
      </c>
      <c r="B885" s="59" t="s">
        <v>2483</v>
      </c>
    </row>
    <row r="886" spans="1:2" x14ac:dyDescent="0.2">
      <c r="A886" s="95" t="s">
        <v>2484</v>
      </c>
      <c r="B886" s="59" t="s">
        <v>2485</v>
      </c>
    </row>
    <row r="887" spans="1:2" x14ac:dyDescent="0.2">
      <c r="A887" s="95" t="s">
        <v>2486</v>
      </c>
      <c r="B887" s="59" t="s">
        <v>2487</v>
      </c>
    </row>
    <row r="888" spans="1:2" x14ac:dyDescent="0.2">
      <c r="A888" s="95" t="s">
        <v>2488</v>
      </c>
      <c r="B888" s="59" t="s">
        <v>2489</v>
      </c>
    </row>
    <row r="889" spans="1:2" x14ac:dyDescent="0.2">
      <c r="A889" s="95" t="s">
        <v>2490</v>
      </c>
      <c r="B889" s="59" t="s">
        <v>2491</v>
      </c>
    </row>
    <row r="890" spans="1:2" x14ac:dyDescent="0.2">
      <c r="A890" s="95" t="s">
        <v>2492</v>
      </c>
      <c r="B890" s="59" t="s">
        <v>2493</v>
      </c>
    </row>
    <row r="891" spans="1:2" x14ac:dyDescent="0.2">
      <c r="A891" s="95" t="s">
        <v>2494</v>
      </c>
      <c r="B891" s="59" t="s">
        <v>2495</v>
      </c>
    </row>
    <row r="892" spans="1:2" x14ac:dyDescent="0.2">
      <c r="A892" s="95" t="s">
        <v>2496</v>
      </c>
      <c r="B892" s="59" t="s">
        <v>2497</v>
      </c>
    </row>
    <row r="893" spans="1:2" x14ac:dyDescent="0.2">
      <c r="A893" s="95" t="s">
        <v>2498</v>
      </c>
      <c r="B893" s="59" t="s">
        <v>2499</v>
      </c>
    </row>
    <row r="894" spans="1:2" x14ac:dyDescent="0.2">
      <c r="A894" s="95" t="s">
        <v>2500</v>
      </c>
      <c r="B894" s="59" t="s">
        <v>2501</v>
      </c>
    </row>
    <row r="895" spans="1:2" x14ac:dyDescent="0.2">
      <c r="A895" s="95">
        <v>12.4</v>
      </c>
      <c r="B895" s="59" t="s">
        <v>2502</v>
      </c>
    </row>
    <row r="896" spans="1:2" x14ac:dyDescent="0.2">
      <c r="A896" s="95" t="s">
        <v>666</v>
      </c>
      <c r="B896" s="59" t="s">
        <v>2503</v>
      </c>
    </row>
    <row r="897" spans="1:2" x14ac:dyDescent="0.2">
      <c r="A897" s="95">
        <v>12.5</v>
      </c>
      <c r="B897" s="59" t="s">
        <v>2504</v>
      </c>
    </row>
    <row r="898" spans="1:2" x14ac:dyDescent="0.2">
      <c r="A898" s="95" t="s">
        <v>628</v>
      </c>
      <c r="B898" s="59" t="s">
        <v>2505</v>
      </c>
    </row>
    <row r="899" spans="1:2" x14ac:dyDescent="0.2">
      <c r="A899" s="95" t="s">
        <v>2506</v>
      </c>
      <c r="B899" s="59" t="s">
        <v>2507</v>
      </c>
    </row>
    <row r="900" spans="1:2" x14ac:dyDescent="0.2">
      <c r="A900" s="95" t="s">
        <v>2508</v>
      </c>
      <c r="B900" s="59" t="s">
        <v>2509</v>
      </c>
    </row>
    <row r="901" spans="1:2" x14ac:dyDescent="0.2">
      <c r="A901" s="95" t="s">
        <v>2510</v>
      </c>
      <c r="B901" s="59" t="s">
        <v>2511</v>
      </c>
    </row>
    <row r="902" spans="1:2" x14ac:dyDescent="0.2">
      <c r="A902" s="95" t="s">
        <v>2512</v>
      </c>
      <c r="B902" s="59" t="s">
        <v>2513</v>
      </c>
    </row>
    <row r="903" spans="1:2" x14ac:dyDescent="0.2">
      <c r="A903" s="95">
        <v>12.6</v>
      </c>
      <c r="B903" s="59" t="s">
        <v>2514</v>
      </c>
    </row>
    <row r="904" spans="1:2" x14ac:dyDescent="0.2">
      <c r="A904" s="95" t="s">
        <v>647</v>
      </c>
      <c r="B904" s="59" t="s">
        <v>2515</v>
      </c>
    </row>
    <row r="905" spans="1:2" x14ac:dyDescent="0.2">
      <c r="A905" s="95" t="s">
        <v>1008</v>
      </c>
      <c r="B905" s="59" t="s">
        <v>2516</v>
      </c>
    </row>
    <row r="906" spans="1:2" x14ac:dyDescent="0.2">
      <c r="A906" s="95">
        <v>12.7</v>
      </c>
      <c r="B906" s="59" t="s">
        <v>2517</v>
      </c>
    </row>
    <row r="907" spans="1:2" x14ac:dyDescent="0.2">
      <c r="A907" s="95">
        <v>12.8</v>
      </c>
      <c r="B907" s="59" t="s">
        <v>2518</v>
      </c>
    </row>
    <row r="908" spans="1:2" x14ac:dyDescent="0.2">
      <c r="A908" s="95" t="s">
        <v>2519</v>
      </c>
      <c r="B908" s="59" t="s">
        <v>2520</v>
      </c>
    </row>
    <row r="909" spans="1:2" x14ac:dyDescent="0.2">
      <c r="A909" s="95" t="s">
        <v>2521</v>
      </c>
      <c r="B909" s="59" t="s">
        <v>2522</v>
      </c>
    </row>
    <row r="910" spans="1:2" x14ac:dyDescent="0.2">
      <c r="A910" s="95" t="s">
        <v>2523</v>
      </c>
      <c r="B910" s="59" t="s">
        <v>2524</v>
      </c>
    </row>
    <row r="911" spans="1:2" x14ac:dyDescent="0.2">
      <c r="A911" s="95" t="s">
        <v>2525</v>
      </c>
      <c r="B911" s="59" t="s">
        <v>2526</v>
      </c>
    </row>
    <row r="912" spans="1:2" x14ac:dyDescent="0.2">
      <c r="A912" s="95" t="s">
        <v>2527</v>
      </c>
      <c r="B912" s="59" t="s">
        <v>2528</v>
      </c>
    </row>
    <row r="913" spans="1:2" x14ac:dyDescent="0.2">
      <c r="A913" s="95">
        <v>12.9</v>
      </c>
      <c r="B913" s="59" t="s">
        <v>2529</v>
      </c>
    </row>
    <row r="914" spans="1:2" x14ac:dyDescent="0.2">
      <c r="A914" s="95" t="s">
        <v>2550</v>
      </c>
      <c r="B914" s="59" t="s">
        <v>2530</v>
      </c>
    </row>
    <row r="915" spans="1:2" x14ac:dyDescent="0.2">
      <c r="A915" s="95" t="s">
        <v>2531</v>
      </c>
      <c r="B915" s="59" t="s">
        <v>2532</v>
      </c>
    </row>
    <row r="916" spans="1:2" x14ac:dyDescent="0.2">
      <c r="A916" s="95" t="s">
        <v>2533</v>
      </c>
      <c r="B916" s="59" t="s">
        <v>2534</v>
      </c>
    </row>
    <row r="917" spans="1:2" x14ac:dyDescent="0.2">
      <c r="A917" s="95" t="s">
        <v>2535</v>
      </c>
      <c r="B917" s="59" t="s">
        <v>2536</v>
      </c>
    </row>
    <row r="918" spans="1:2" x14ac:dyDescent="0.2">
      <c r="A918" s="95" t="s">
        <v>2537</v>
      </c>
      <c r="B918" s="59" t="s">
        <v>2538</v>
      </c>
    </row>
    <row r="919" spans="1:2" x14ac:dyDescent="0.2">
      <c r="A919" s="95" t="s">
        <v>2539</v>
      </c>
      <c r="B919" s="59" t="s">
        <v>2540</v>
      </c>
    </row>
    <row r="920" spans="1:2" x14ac:dyDescent="0.2">
      <c r="A920" s="95" t="s">
        <v>2541</v>
      </c>
      <c r="B920" s="59" t="s">
        <v>2542</v>
      </c>
    </row>
    <row r="921" spans="1:2" x14ac:dyDescent="0.2">
      <c r="A921" s="95">
        <v>12.11</v>
      </c>
      <c r="B921" s="59" t="s">
        <v>2543</v>
      </c>
    </row>
    <row r="922" spans="1:2" x14ac:dyDescent="0.2">
      <c r="A922" s="95" t="s">
        <v>2544</v>
      </c>
      <c r="B922" s="59" t="s">
        <v>2545</v>
      </c>
    </row>
    <row r="923" spans="1:2" ht="17" x14ac:dyDescent="0.2">
      <c r="A923" s="90" t="s">
        <v>2109</v>
      </c>
      <c r="B923" s="59" t="s">
        <v>2546</v>
      </c>
    </row>
    <row r="924" spans="1:2" x14ac:dyDescent="0.2">
      <c r="A924" s="59" t="s">
        <v>615</v>
      </c>
      <c r="B924" s="59" t="s">
        <v>2547</v>
      </c>
    </row>
    <row r="925" spans="1:2" x14ac:dyDescent="0.2">
      <c r="A925" s="59" t="s">
        <v>2108</v>
      </c>
      <c r="B925" s="59" t="str">
        <f>CONCATENATE(B923,"; ",B924)</f>
        <v>All system components included in or connected to the cardholder data environment (CDE); The process of determining the CDE and subsequent PCI scope</v>
      </c>
    </row>
    <row r="926" spans="1:2" x14ac:dyDescent="0.2">
      <c r="A926" s="59" t="s">
        <v>2116</v>
      </c>
      <c r="B926" s="59" t="str">
        <f>B923</f>
        <v>All system components included in or connected to the cardholder data environment (CDE)</v>
      </c>
    </row>
    <row r="927" spans="1:2" ht="30" x14ac:dyDescent="0.2">
      <c r="A927" s="91" t="s">
        <v>2110</v>
      </c>
      <c r="B927" s="59" t="str">
        <f>CONCATENATE(B914,"; ",B923)</f>
        <v>Implement an incident response plan. Be prepared to respond immediately to a system breach.; All system components included in or connected to the cardholder data environment (CDE)</v>
      </c>
    </row>
    <row r="928" spans="1:2" x14ac:dyDescent="0.2">
      <c r="A928" s="92" t="s">
        <v>2111</v>
      </c>
      <c r="B928" s="59"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59" t="s">
        <v>2548</v>
      </c>
      <c r="B929" s="59"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92" t="s">
        <v>2115</v>
      </c>
      <c r="B930" s="59" t="str">
        <f>CONCATENATE(B762,"; ",B773)</f>
        <v>Restrict access to cardholder data by business need to know; Assign a unique ID to each person with computer access</v>
      </c>
    </row>
    <row r="931" spans="1:2" x14ac:dyDescent="0.2">
      <c r="A931" s="91" t="s">
        <v>2118</v>
      </c>
      <c r="B931" s="59"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91" t="s">
        <v>2121</v>
      </c>
      <c r="B932" s="59" t="str">
        <f>CONCATENATE(B773,"; ",B723)</f>
        <v>Assign a unique ID to each person with computer access; Never send unprotected PANs by end-user messaging technologies (for example, e-mail, instant messaging, SMS, chat, etc.).</v>
      </c>
    </row>
    <row r="933" spans="1:2" ht="75" x14ac:dyDescent="0.2">
      <c r="A933" s="91" t="s">
        <v>2119</v>
      </c>
      <c r="B933" s="59"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91" t="s">
        <v>2122</v>
      </c>
      <c r="B934" s="59"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91" t="s">
        <v>2123</v>
      </c>
      <c r="B935" s="59"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91" t="s">
        <v>2124</v>
      </c>
      <c r="B936" s="59"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91" t="s">
        <v>2125</v>
      </c>
      <c r="B937" s="59"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93" t="s">
        <v>2126</v>
      </c>
      <c r="B938" s="59"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94" t="s">
        <v>2127</v>
      </c>
      <c r="B939" s="59"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94" t="s">
        <v>2128</v>
      </c>
      <c r="B940" s="59"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93" t="s">
        <v>2129</v>
      </c>
      <c r="B941" s="59" t="str">
        <f>CONCATENATE(B910,"; ",B799)</f>
        <v>Ensure there is an established process for engaging service providers including proper due diligence prior to engagement.; Restrict physical access to cardholder data</v>
      </c>
    </row>
    <row r="942" spans="1:2" ht="17" thickBot="1" x14ac:dyDescent="0.25">
      <c r="A942" s="94" t="s">
        <v>2130</v>
      </c>
      <c r="B942" s="59"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93" t="s">
        <v>2132</v>
      </c>
      <c r="B943" s="59"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94" t="s">
        <v>2133</v>
      </c>
      <c r="B944" s="59"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91" t="s">
        <v>2134</v>
      </c>
      <c r="B945" s="59" t="str">
        <f>CONCATENATE(B881,"; ",B799)</f>
        <v>Establish, publish, maintain, and disseminate a security policy.; Restrict physical access to cardholder data</v>
      </c>
    </row>
    <row r="946" spans="1:2" x14ac:dyDescent="0.2">
      <c r="A946" s="91" t="s">
        <v>2135</v>
      </c>
      <c r="B946" s="59"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91" t="s">
        <v>2137</v>
      </c>
      <c r="B947" s="59"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93" t="s">
        <v>2139</v>
      </c>
      <c r="B948" s="59"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94" t="s">
        <v>2140</v>
      </c>
      <c r="B949" s="59"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91" t="s">
        <v>2141</v>
      </c>
      <c r="B950" s="59"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93" t="s">
        <v>2142</v>
      </c>
      <c r="B951" s="59"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94" t="s">
        <v>2143</v>
      </c>
      <c r="B952" s="59" t="str">
        <f>CONCATENATE(B762,"; ",B773,"; ",B799)</f>
        <v>Restrict access to cardholder data by business need to know; Assign a unique ID to each person with computer access; Restrict physical access to cardholder data</v>
      </c>
    </row>
    <row r="953" spans="1:2" x14ac:dyDescent="0.2">
      <c r="A953" s="92" t="s">
        <v>2549</v>
      </c>
      <c r="B953" s="59"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91" t="s">
        <v>2145</v>
      </c>
      <c r="B954" s="59"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93" t="s">
        <v>2146</v>
      </c>
      <c r="B955" s="59"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94" t="s">
        <v>2147</v>
      </c>
      <c r="B956" s="59"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91" t="s">
        <v>2148</v>
      </c>
      <c r="B957" s="59" t="str">
        <f>CONCATENATE(B914,"; ",B827)</f>
        <v>Implement an incident response plan. Be prepared to respond immediately to a system breach.; Track and monitor all access to network resources and cardholder data</v>
      </c>
    </row>
    <row r="958" spans="1:2" x14ac:dyDescent="0.2">
      <c r="B958" s="5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Y268"/>
  <sheetViews>
    <sheetView zoomScale="90" zoomScaleNormal="90" workbookViewId="0">
      <pane ySplit="1" topLeftCell="A148" activePane="bottomLeft" state="frozen"/>
      <selection activeCell="A956" sqref="A956"/>
      <selection pane="bottomLeft" activeCell="I155" sqref="I155"/>
    </sheetView>
  </sheetViews>
  <sheetFormatPr baseColWidth="10" defaultColWidth="8.625" defaultRowHeight="14" x14ac:dyDescent="0.2"/>
  <cols>
    <col min="1" max="1" width="6" style="65" customWidth="1"/>
    <col min="2" max="2" width="8.625" style="65"/>
    <col min="3" max="3" width="28.5" style="65" customWidth="1"/>
    <col min="4" max="4" width="6.25" style="65" customWidth="1"/>
    <col min="5" max="5" width="6.125" style="65" customWidth="1"/>
    <col min="6" max="6" width="8.625" style="65"/>
    <col min="7" max="7" width="4.125" style="65" customWidth="1"/>
    <col min="8" max="8" width="5.125" style="65" customWidth="1"/>
    <col min="9" max="9" width="3.75" style="65" customWidth="1"/>
    <col min="10" max="10" width="3" style="65" customWidth="1"/>
    <col min="11" max="13" width="9.25" style="65" customWidth="1"/>
    <col min="14" max="14" width="12.125" style="65" customWidth="1"/>
    <col min="15" max="16" width="9.25" style="65" customWidth="1"/>
    <col min="17" max="17" width="11.75" style="65" customWidth="1"/>
    <col min="18" max="18" width="12.25" style="65" bestFit="1" customWidth="1"/>
    <col min="19" max="19" width="12.25" style="65" customWidth="1"/>
    <col min="20" max="25" width="9.75" style="65" customWidth="1"/>
    <col min="26" max="16384" width="8.625" style="65"/>
  </cols>
  <sheetData>
    <row r="1" spans="1:25" ht="76" thickBot="1" x14ac:dyDescent="0.2">
      <c r="A1" s="65" t="s">
        <v>2083</v>
      </c>
      <c r="B1" s="65" t="s">
        <v>2025</v>
      </c>
      <c r="C1" s="65" t="s">
        <v>2026</v>
      </c>
      <c r="D1" s="65" t="s">
        <v>2027</v>
      </c>
      <c r="E1" s="65" t="s">
        <v>2028</v>
      </c>
      <c r="F1" s="65" t="s">
        <v>2046</v>
      </c>
      <c r="G1" s="65" t="s">
        <v>2047</v>
      </c>
      <c r="H1" s="65" t="s">
        <v>2048</v>
      </c>
      <c r="I1" s="65" t="s">
        <v>2049</v>
      </c>
      <c r="J1" s="65" t="s">
        <v>2056</v>
      </c>
      <c r="K1" s="65" t="s">
        <v>2057</v>
      </c>
      <c r="L1" s="65" t="s">
        <v>2052</v>
      </c>
      <c r="M1" s="67" t="s">
        <v>2084</v>
      </c>
      <c r="N1" s="67" t="s">
        <v>562</v>
      </c>
      <c r="O1" s="68" t="s">
        <v>2085</v>
      </c>
      <c r="P1" s="69" t="s">
        <v>565</v>
      </c>
      <c r="Q1" s="68" t="s">
        <v>564</v>
      </c>
      <c r="R1" s="68" t="s">
        <v>563</v>
      </c>
      <c r="S1" s="68" t="s">
        <v>2045</v>
      </c>
      <c r="T1" s="70"/>
      <c r="U1" s="70" t="s">
        <v>2050</v>
      </c>
      <c r="V1" s="70" t="s">
        <v>2051</v>
      </c>
      <c r="W1" s="70" t="s">
        <v>2052</v>
      </c>
      <c r="X1" s="70" t="s">
        <v>2053</v>
      </c>
      <c r="Y1" s="70" t="s">
        <v>2054</v>
      </c>
    </row>
    <row r="2" spans="1:25" ht="61" thickBot="1" x14ac:dyDescent="0.2">
      <c r="A2" s="65">
        <v>1</v>
      </c>
      <c r="B2" s="71" t="s">
        <v>164</v>
      </c>
      <c r="C2" s="72" t="str">
        <f>VLOOKUP(B2,'HECVAT - Full'!A:E,2,FALSE)</f>
        <v>Does your product process protected health information (PHI) or any data covered by the Health Insurance Portability and Accountability Act?</v>
      </c>
      <c r="D2" s="65">
        <f>VLOOKUP(B2,'HECVAT - Full'!A:E,4,FALSE)</f>
        <v>0</v>
      </c>
      <c r="E2" s="73" t="b">
        <v>1</v>
      </c>
      <c r="F2" s="74" t="s">
        <v>12</v>
      </c>
      <c r="G2" s="74" t="s">
        <v>17</v>
      </c>
      <c r="H2" s="75">
        <v>1</v>
      </c>
      <c r="I2" s="65" t="str">
        <f>VLOOKUP(B2,'HECVAT - Full'!A:E,3,FALSE)</f>
        <v>No</v>
      </c>
      <c r="J2" s="65">
        <v>1</v>
      </c>
      <c r="K2" s="65">
        <f>IF(Table1[[#This Row],[Column8]]=1,10,"")</f>
        <v>10</v>
      </c>
      <c r="L2" s="65">
        <f>IF(Table1[[#This Row],[Column8]]=1,J2*K2,"")</f>
        <v>10</v>
      </c>
      <c r="M2" s="66" t="str">
        <f>VLOOKUP($B2,'Standards Crosswalk'!$A:$H,3,FALSE)</f>
        <v>CSC 13</v>
      </c>
      <c r="N2" s="66" t="str">
        <f>VLOOKUP($B2,'Standards Crosswalk'!$A:$H,4,FALSE)</f>
        <v>Discovery</v>
      </c>
      <c r="O2" s="66" t="str">
        <f>VLOOKUP($B2,'Standards Crosswalk'!$A:$H,5,FALSE)</f>
        <v>18.1.1</v>
      </c>
      <c r="P2" s="66" t="str">
        <f>VLOOKUP($B2,'Standards Crosswalk'!$A:$H,6,FALSE)</f>
        <v>ID.GV-3</v>
      </c>
      <c r="Q2" s="66" t="str">
        <f>VLOOKUP($B2,'Standards Crosswalk'!$A:$H,7,FALSE)</f>
        <v>ID.GV-3</v>
      </c>
      <c r="R2" s="66" t="str">
        <f>VLOOKUP($B2,'Standards Crosswalk'!$A:$H,8,FALSE)</f>
        <v>RA-2</v>
      </c>
      <c r="S2" s="66">
        <f>VLOOKUP($B2,'Standards Crosswalk'!$A:$I,9,FALSE)</f>
        <v>0</v>
      </c>
      <c r="T2" s="71" t="s">
        <v>18</v>
      </c>
      <c r="U2" s="76">
        <f>COUNTIFS(B:B,"DOCU*",J:J,"=1")</f>
        <v>3</v>
      </c>
      <c r="V2" s="77">
        <f>COUNTIF(B:B,"DOCU*")</f>
        <v>6</v>
      </c>
      <c r="W2" s="77">
        <f>SUMIFS(L:L,B:B,"DOCU*")</f>
        <v>50</v>
      </c>
      <c r="X2" s="77">
        <f>SUMIFS(K:K,B:B,"DOCU*")</f>
        <v>105</v>
      </c>
      <c r="Y2" s="78">
        <f t="shared" ref="Y2:Y14" si="0">W2/X2</f>
        <v>0.47619047619047616</v>
      </c>
    </row>
    <row r="3" spans="1:25" ht="46" thickBot="1" x14ac:dyDescent="0.2">
      <c r="A3" s="65">
        <f>A2+1</f>
        <v>2</v>
      </c>
      <c r="B3" s="71" t="s">
        <v>165</v>
      </c>
      <c r="C3" s="72" t="str">
        <f>VLOOKUP(B3,'HECVAT - Full'!A:E,2,FALSE)</f>
        <v>Does the vended product host/support a mobile application? (e.g. app)</v>
      </c>
      <c r="D3" s="65">
        <f>VLOOKUP(B3,'HECVAT - Full'!A:E,4,FALSE)</f>
        <v>0</v>
      </c>
      <c r="E3" s="73" t="b">
        <v>0</v>
      </c>
      <c r="F3" s="74" t="s">
        <v>12</v>
      </c>
      <c r="G3" s="74" t="s">
        <v>17</v>
      </c>
      <c r="H3" s="75">
        <v>1</v>
      </c>
      <c r="I3" s="65" t="str">
        <f>VLOOKUP(B3,'HECVAT - Full'!A:E,3,FALSE)</f>
        <v>Yes</v>
      </c>
      <c r="J3" s="65">
        <v>1</v>
      </c>
      <c r="K3" s="65">
        <f>IF(Table1[[#This Row],[Column8]]=1,10,"")</f>
        <v>10</v>
      </c>
      <c r="L3" s="65">
        <f>IF(Table1[[#This Row],[Column8]]=1,J3*K3,"")</f>
        <v>10</v>
      </c>
      <c r="M3" s="66" t="str">
        <f>VLOOKUP($B3,'Standards Crosswalk'!$A:$H,3,FALSE)</f>
        <v>CSC 18</v>
      </c>
      <c r="N3" s="66">
        <f>VLOOKUP($B3,'Standards Crosswalk'!$A:$H,4,FALSE)</f>
        <v>0</v>
      </c>
      <c r="O3" s="66">
        <f>VLOOKUP($B3,'Standards Crosswalk'!$A:$H,5,FALSE)</f>
        <v>0</v>
      </c>
      <c r="P3" s="66">
        <f>VLOOKUP($B3,'Standards Crosswalk'!$A:$H,6,FALSE)</f>
        <v>0</v>
      </c>
      <c r="Q3" s="66">
        <f>VLOOKUP($B3,'Standards Crosswalk'!$A:$H,7,FALSE)</f>
        <v>0</v>
      </c>
      <c r="R3" s="66" t="str">
        <f>VLOOKUP($B3,'Standards Crosswalk'!$A:$H,8,FALSE)</f>
        <v>IA-2, IA-3, CM-3, SI-2</v>
      </c>
      <c r="S3" s="66">
        <f>VLOOKUP($B3,'Standards Crosswalk'!$A:$I,9,FALSE)</f>
        <v>0</v>
      </c>
      <c r="T3" s="71" t="s">
        <v>2055</v>
      </c>
      <c r="U3" s="79">
        <f>COUNTIFS(B:B,"APPL*",J:J,"=1")</f>
        <v>7</v>
      </c>
      <c r="V3" s="77">
        <f>COUNTIF(B:B,"APPL*")</f>
        <v>17</v>
      </c>
      <c r="W3" s="77">
        <f>SUMIFS(L:L,B:B,"APPL*")</f>
        <v>175</v>
      </c>
      <c r="X3" s="77">
        <f>SUMIFS(K:K,B:B,"APPL*")</f>
        <v>375</v>
      </c>
      <c r="Y3" s="78">
        <f t="shared" si="0"/>
        <v>0.46666666666666667</v>
      </c>
    </row>
    <row r="4" spans="1:25" ht="76" thickBot="1" x14ac:dyDescent="0.2">
      <c r="A4" s="65">
        <f t="shared" ref="A4:A67" si="1">A3+1</f>
        <v>3</v>
      </c>
      <c r="B4" s="71" t="s">
        <v>166</v>
      </c>
      <c r="C4" s="72" t="str">
        <f>VLOOKUP(B4,'HECVAT - Full'!A:E,2,FALSE)</f>
        <v>Will institution data be shared with or hosted by any third parties? (e.g. any entity not wholly-owned by your company is considered a third-party)</v>
      </c>
      <c r="D4" s="65">
        <f>VLOOKUP(B4,'HECVAT - Full'!A:E,4,FALSE)</f>
        <v>0</v>
      </c>
      <c r="E4" s="73" t="b">
        <v>1</v>
      </c>
      <c r="F4" s="74" t="s">
        <v>12</v>
      </c>
      <c r="G4" s="74" t="s">
        <v>20</v>
      </c>
      <c r="H4" s="75">
        <v>1</v>
      </c>
      <c r="I4" s="65" t="str">
        <f>VLOOKUP(B4,'HECVAT - Full'!A:E,3,FALSE)</f>
        <v>Yes</v>
      </c>
      <c r="J4" s="65">
        <v>1</v>
      </c>
      <c r="K4" s="65">
        <f>IF(Table1[[#This Row],[Column8]]=1,10,"")</f>
        <v>10</v>
      </c>
      <c r="L4" s="65">
        <f>IF(Table1[[#This Row],[Column8]]=1,J4*K4,"")</f>
        <v>10</v>
      </c>
      <c r="M4" s="66" t="str">
        <f>VLOOKUP($B4,'Standards Crosswalk'!$A:$H,3,FALSE)</f>
        <v>CSC 13</v>
      </c>
      <c r="N4" s="66">
        <f>VLOOKUP($B4,'Standards Crosswalk'!$A:$H,4,FALSE)</f>
        <v>0</v>
      </c>
      <c r="O4" s="66">
        <f>VLOOKUP($B4,'Standards Crosswalk'!$A:$H,5,FALSE)</f>
        <v>0</v>
      </c>
      <c r="P4" s="66" t="str">
        <f>VLOOKUP($B4,'Standards Crosswalk'!$A:$H,6,FALSE)</f>
        <v>ID.AM-6, PR.AT-3</v>
      </c>
      <c r="Q4" s="66" t="str">
        <f>VLOOKUP($B4,'Standards Crosswalk'!$A:$H,7,FALSE)</f>
        <v>ID.AM-6, PR.AT-3</v>
      </c>
      <c r="R4" s="66">
        <f>VLOOKUP($B4,'Standards Crosswalk'!$A:$H,8,FALSE)</f>
        <v>0</v>
      </c>
      <c r="S4" s="66">
        <f>VLOOKUP($B4,'Standards Crosswalk'!$A:$I,9,FALSE)</f>
        <v>12.8</v>
      </c>
      <c r="T4" s="71" t="s">
        <v>2030</v>
      </c>
      <c r="U4" s="79">
        <f>COUNTIFS(B:B,"AAAI*",J:J,"=1")</f>
        <v>10</v>
      </c>
      <c r="V4" s="77">
        <f>COUNTIF(B:B,"AAAI*")</f>
        <v>17</v>
      </c>
      <c r="W4" s="77">
        <f>SUMIFS(L:L,B:B,"AAAI*")</f>
        <v>250</v>
      </c>
      <c r="X4" s="77">
        <f>SUMIFS(K:K,B:B,"AAAI*")</f>
        <v>425</v>
      </c>
      <c r="Y4" s="78">
        <f t="shared" si="0"/>
        <v>0.58823529411764708</v>
      </c>
    </row>
    <row r="5" spans="1:25" ht="46" thickBot="1" x14ac:dyDescent="0.2">
      <c r="A5" s="65">
        <f t="shared" si="1"/>
        <v>4</v>
      </c>
      <c r="B5" s="71" t="s">
        <v>167</v>
      </c>
      <c r="C5" s="72" t="str">
        <f>VLOOKUP(B5,'HECVAT - Full'!A:E,2,FALSE)</f>
        <v>Do you have a Business Continuity Plan (BCP)?</v>
      </c>
      <c r="D5" s="65">
        <f>VLOOKUP(B5,'HECVAT - Full'!A:E,4,FALSE)</f>
        <v>0</v>
      </c>
      <c r="E5" s="73" t="b">
        <v>1</v>
      </c>
      <c r="F5" s="74" t="s">
        <v>12</v>
      </c>
      <c r="G5" s="74" t="s">
        <v>17</v>
      </c>
      <c r="H5" s="75">
        <v>1</v>
      </c>
      <c r="I5" s="65" t="str">
        <f>VLOOKUP(B5,'HECVAT - Full'!A:E,3,FALSE)</f>
        <v>Yes</v>
      </c>
      <c r="J5" s="65">
        <v>1</v>
      </c>
      <c r="K5" s="65">
        <f>IF(Table1[[#This Row],[Column8]]=1,10,"")</f>
        <v>10</v>
      </c>
      <c r="L5" s="65">
        <f>IF(Table1[[#This Row],[Column8]]=1,J5*K5,"")</f>
        <v>10</v>
      </c>
      <c r="M5" s="66" t="str">
        <f>VLOOKUP($B5,'Standards Crosswalk'!$A:$H,3,FALSE)</f>
        <v>CSC 10</v>
      </c>
      <c r="N5" s="66">
        <f>VLOOKUP($B5,'Standards Crosswalk'!$A:$H,4,FALSE)</f>
        <v>0</v>
      </c>
      <c r="O5" s="66" t="str">
        <f>VLOOKUP($B5,'Standards Crosswalk'!$A:$H,5,FALSE)</f>
        <v>17.1.2</v>
      </c>
      <c r="P5" s="66" t="str">
        <f>VLOOKUP($B5,'Standards Crosswalk'!$A:$H,6,FALSE)</f>
        <v>PR.IP-9</v>
      </c>
      <c r="Q5" s="66" t="str">
        <f>VLOOKUP($B5,'Standards Crosswalk'!$A:$H,7,FALSE)</f>
        <v>PR.IP-9</v>
      </c>
      <c r="R5" s="66" t="str">
        <f>VLOOKUP($B5,'Standards Crosswalk'!$A:$H,8,FALSE)</f>
        <v>AU-7, AU-9, IR-4</v>
      </c>
      <c r="S5" s="66">
        <f>VLOOKUP($B5,'Standards Crosswalk'!$A:$I,9,FALSE)</f>
        <v>12.1</v>
      </c>
      <c r="T5" s="80" t="s">
        <v>2032</v>
      </c>
      <c r="U5" s="79">
        <f>COUNTIFS(B:B,"CHNG*",J:J,"=1")</f>
        <v>9</v>
      </c>
      <c r="V5" s="77">
        <f>COUNTIF(B:B,"CHNG*")</f>
        <v>15</v>
      </c>
      <c r="W5" s="77">
        <f>SUMIFS(L:L,B:B,"CHNG*")</f>
        <v>165</v>
      </c>
      <c r="X5" s="77">
        <f>SUMIFS(K:K,B:B,"CHNG*")</f>
        <v>275</v>
      </c>
      <c r="Y5" s="78">
        <f t="shared" si="0"/>
        <v>0.6</v>
      </c>
    </row>
    <row r="6" spans="1:25" ht="16" thickBot="1" x14ac:dyDescent="0.2">
      <c r="B6" s="71"/>
      <c r="C6" s="72"/>
      <c r="E6" s="73"/>
      <c r="F6" s="80"/>
      <c r="G6" s="74"/>
      <c r="H6" s="75"/>
      <c r="M6" s="66"/>
      <c r="N6" s="66">
        <f>VLOOKUP($B7,'Standards Crosswalk'!$A:$H,4,FALSE)</f>
        <v>0</v>
      </c>
      <c r="O6" s="66"/>
      <c r="P6" s="66"/>
      <c r="Q6" s="66"/>
      <c r="R6" s="66"/>
      <c r="S6" s="66"/>
      <c r="T6" s="80" t="s">
        <v>2559</v>
      </c>
      <c r="U6" s="79">
        <f>COUNTIFS(B:B,"COMP*",J:J,"=1")</f>
        <v>4</v>
      </c>
      <c r="V6" s="77">
        <f>COUNTIF(B:B,"COMP*")</f>
        <v>7</v>
      </c>
      <c r="W6" s="77">
        <f>SUMIFS(L:L,B:B,"COMP*")</f>
        <v>75</v>
      </c>
      <c r="X6" s="77">
        <f>SUMIFS(K:K,B:B,"COMP*")</f>
        <v>120</v>
      </c>
      <c r="Y6" s="78">
        <f t="shared" ref="Y6" si="2">W6/X6</f>
        <v>0.625</v>
      </c>
    </row>
    <row r="7" spans="1:25" ht="31" thickBot="1" x14ac:dyDescent="0.2">
      <c r="A7" s="65">
        <f>A5+1</f>
        <v>5</v>
      </c>
      <c r="B7" s="71" t="s">
        <v>168</v>
      </c>
      <c r="C7" s="72" t="str">
        <f>VLOOKUP(B7,'HECVAT - Full'!A:E,2,FALSE)</f>
        <v>Do you have a Disaster Recovery Plan (DRP)?</v>
      </c>
      <c r="D7" s="65">
        <f>VLOOKUP(B7,'HECVAT - Full'!A:E,4,FALSE)</f>
        <v>0</v>
      </c>
      <c r="E7" s="73" t="b">
        <v>1</v>
      </c>
      <c r="F7" s="74" t="s">
        <v>12</v>
      </c>
      <c r="G7" s="74" t="s">
        <v>17</v>
      </c>
      <c r="H7" s="75">
        <v>1</v>
      </c>
      <c r="I7" s="65" t="str">
        <f>VLOOKUP(B7,'HECVAT - Full'!A:E,3,FALSE)</f>
        <v>Yes</v>
      </c>
      <c r="J7" s="65">
        <v>1</v>
      </c>
      <c r="K7" s="65">
        <f>IF(Table1[[#This Row],[Column8]]=1,10,"")</f>
        <v>10</v>
      </c>
      <c r="L7" s="65">
        <f>IF(Table1[[#This Row],[Column8]]=1,J7*K7,"")</f>
        <v>10</v>
      </c>
      <c r="M7" s="66" t="str">
        <f>VLOOKUP($B7,'Standards Crosswalk'!$A:$H,3,FALSE)</f>
        <v>CSC 10</v>
      </c>
      <c r="N7" s="66">
        <f>VLOOKUP($B7,'Standards Crosswalk'!$A:$H,4,FALSE)</f>
        <v>0</v>
      </c>
      <c r="O7" s="66" t="str">
        <f>VLOOKUP($B7,'Standards Crosswalk'!$A:$H,5,FALSE)</f>
        <v>17.1.2</v>
      </c>
      <c r="P7" s="66" t="str">
        <f>VLOOKUP($B7,'Standards Crosswalk'!$A:$H,6,FALSE)</f>
        <v>PR.IP-9</v>
      </c>
      <c r="Q7" s="66" t="str">
        <f>VLOOKUP($B7,'Standards Crosswalk'!$A:$H,7,FALSE)</f>
        <v>PR.IP-9</v>
      </c>
      <c r="R7" s="66" t="str">
        <f>VLOOKUP($B7,'Standards Crosswalk'!$A:$H,8,FALSE)</f>
        <v>CA-5, PL-2</v>
      </c>
      <c r="S7" s="66">
        <f>VLOOKUP($B7,'Standards Crosswalk'!$A:$I,9,FALSE)</f>
        <v>12.1</v>
      </c>
      <c r="T7" s="71" t="s">
        <v>2033</v>
      </c>
      <c r="U7" s="81">
        <f>COUNTIFS(B:B,"DATA*",J:J,"=1")</f>
        <v>21</v>
      </c>
      <c r="V7" s="82">
        <f>COUNTIF(B:B,"DATA*")</f>
        <v>27</v>
      </c>
      <c r="W7" s="82">
        <f>SUMIFS(L:L,B:B,"DATA*")</f>
        <v>445</v>
      </c>
      <c r="X7" s="82">
        <f>SUMIFS(K:K,B:B,"DATA*")</f>
        <v>565</v>
      </c>
      <c r="Y7" s="83">
        <f t="shared" si="0"/>
        <v>0.78761061946902655</v>
      </c>
    </row>
    <row r="8" spans="1:25" ht="31" thickBot="1" x14ac:dyDescent="0.2">
      <c r="A8" s="65">
        <f t="shared" si="1"/>
        <v>6</v>
      </c>
      <c r="B8" s="71" t="s">
        <v>169</v>
      </c>
      <c r="C8" s="72" t="str">
        <f>VLOOKUP(B8,'HECVAT - Full'!A:E,2,FALSE)</f>
        <v>Will data regulated by PCI DSS reside in the vended product?</v>
      </c>
      <c r="D8" s="65">
        <f>VLOOKUP(B8,'HECVAT - Full'!A:E,4,FALSE)</f>
        <v>0</v>
      </c>
      <c r="E8" s="73" t="b">
        <v>1</v>
      </c>
      <c r="F8" s="74" t="s">
        <v>12</v>
      </c>
      <c r="G8" s="74" t="s">
        <v>20</v>
      </c>
      <c r="H8" s="75">
        <v>1</v>
      </c>
      <c r="I8" s="65" t="str">
        <f>VLOOKUP(B8,'HECVAT - Full'!A:E,3,FALSE)</f>
        <v>No</v>
      </c>
      <c r="J8" s="65">
        <v>1</v>
      </c>
      <c r="K8" s="65">
        <f>IF(Table1[[#This Row],[Column8]]=1,10,"")</f>
        <v>10</v>
      </c>
      <c r="L8" s="65">
        <f>IF(Table1[[#This Row],[Column8]]=1,J8*K8,"")</f>
        <v>10</v>
      </c>
      <c r="M8" s="66" t="str">
        <f>VLOOKUP($B8,'Standards Crosswalk'!$A:$H,3,FALSE)</f>
        <v>CSC 13</v>
      </c>
      <c r="N8" s="66">
        <f>VLOOKUP($B8,'Standards Crosswalk'!$A:$H,4,FALSE)</f>
        <v>0</v>
      </c>
      <c r="O8" s="66" t="str">
        <f>VLOOKUP($B8,'Standards Crosswalk'!$A:$H,5,FALSE)</f>
        <v>18.1.1</v>
      </c>
      <c r="P8" s="66" t="str">
        <f>VLOOKUP($B8,'Standards Crosswalk'!$A:$H,6,FALSE)</f>
        <v>ID.GV-3</v>
      </c>
      <c r="Q8" s="66" t="str">
        <f>VLOOKUP($B8,'Standards Crosswalk'!$A:$H,7,FALSE)</f>
        <v>ID.GV-3</v>
      </c>
      <c r="R8" s="66" t="str">
        <f>VLOOKUP($B8,'Standards Crosswalk'!$A:$H,8,FALSE)</f>
        <v>RA-2</v>
      </c>
      <c r="S8" s="66" t="str">
        <f>VLOOKUP($B8,'Standards Crosswalk'!$A:$I,9,FALSE)</f>
        <v>PCI Scope, Discovery</v>
      </c>
      <c r="T8" s="67" t="s">
        <v>2034</v>
      </c>
      <c r="U8" s="79">
        <f>COUNTIFS(B:B,"DBAS*",J:J,"=1")</f>
        <v>2</v>
      </c>
      <c r="V8" s="77">
        <f>COUNTIF(B:B,"DBAS*")</f>
        <v>2</v>
      </c>
      <c r="W8" s="77">
        <f>SUMIFS(L:L,B:B,"DBAS*")</f>
        <v>50</v>
      </c>
      <c r="X8" s="77">
        <f>SUMIFS(K:K,B:B,"DBAS*")</f>
        <v>50</v>
      </c>
      <c r="Y8" s="78">
        <f t="shared" si="0"/>
        <v>1</v>
      </c>
    </row>
    <row r="9" spans="1:25" ht="46" thickBot="1" x14ac:dyDescent="0.2">
      <c r="A9" s="65">
        <f t="shared" si="1"/>
        <v>7</v>
      </c>
      <c r="B9" s="71" t="s">
        <v>170</v>
      </c>
      <c r="C9" s="72" t="str">
        <f>VLOOKUP(B9,'HECVAT - Full'!A:E,2,FALSE)</f>
        <v>Is your company a consulting firm providing only consultation to the Institution?</v>
      </c>
      <c r="D9" s="65">
        <f>VLOOKUP(B9,'HECVAT - Full'!A:E,4,FALSE)</f>
        <v>0</v>
      </c>
      <c r="E9" s="73" t="b">
        <v>0</v>
      </c>
      <c r="F9" s="74" t="s">
        <v>12</v>
      </c>
      <c r="G9" s="74" t="s">
        <v>17</v>
      </c>
      <c r="H9" s="75">
        <v>1</v>
      </c>
      <c r="I9" s="65" t="str">
        <f>VLOOKUP(B9,'HECVAT - Full'!A:E,3,FALSE)</f>
        <v>No</v>
      </c>
      <c r="J9" s="65">
        <v>1</v>
      </c>
      <c r="K9" s="65">
        <f>IF(Table1[[#This Row],[Column8]]=1,10,"")</f>
        <v>10</v>
      </c>
      <c r="L9" s="65">
        <f>IF(Table1[[#This Row],[Column8]]=1,J9*K9,"")</f>
        <v>10</v>
      </c>
      <c r="M9" s="66" t="str">
        <f>VLOOKUP($B9,'Standards Crosswalk'!$A:$H,3,FALSE)</f>
        <v>CSC 14</v>
      </c>
      <c r="N9" s="66">
        <f>VLOOKUP($B9,'Standards Crosswalk'!$A:$H,4,FALSE)</f>
        <v>0</v>
      </c>
      <c r="O9" s="66">
        <f>VLOOKUP($B9,'Standards Crosswalk'!$A:$H,5,FALSE)</f>
        <v>0</v>
      </c>
      <c r="P9" s="66">
        <f>VLOOKUP($B9,'Standards Crosswalk'!$A:$H,6,FALSE)</f>
        <v>0</v>
      </c>
      <c r="Q9" s="66">
        <f>VLOOKUP($B9,'Standards Crosswalk'!$A:$H,7,FALSE)</f>
        <v>0</v>
      </c>
      <c r="R9" s="66">
        <f>VLOOKUP($B9,'Standards Crosswalk'!$A:$H,8,FALSE)</f>
        <v>0</v>
      </c>
      <c r="S9" s="66" t="str">
        <f>VLOOKUP($B9,'Standards Crosswalk'!$A:$I,9,FALSE)</f>
        <v>PCI Scope</v>
      </c>
      <c r="T9" s="67" t="s">
        <v>2035</v>
      </c>
      <c r="U9" s="79">
        <f>COUNTIFS(B:B,"DCTR*",J:J,"=1")</f>
        <v>11</v>
      </c>
      <c r="V9" s="77">
        <f>COUNTIF(B:B,"DCTR*")</f>
        <v>18</v>
      </c>
      <c r="W9" s="77">
        <f>SUMIFS(L:L,B:B,"DCTR*")</f>
        <v>220</v>
      </c>
      <c r="X9" s="77">
        <f>SUMIFS(K:K,B:B,"DCTR*")</f>
        <v>310</v>
      </c>
      <c r="Y9" s="78">
        <f t="shared" si="0"/>
        <v>0.70967741935483875</v>
      </c>
    </row>
    <row r="10" spans="1:25" ht="409.6" thickBot="1" x14ac:dyDescent="0.2">
      <c r="A10" s="65">
        <f t="shared" si="1"/>
        <v>8</v>
      </c>
      <c r="B10" s="71" t="s">
        <v>171</v>
      </c>
      <c r="C10" s="72" t="str">
        <f>VLOOKUP(B10,'HECVAT - Full'!A:E,2,FALSE)</f>
        <v>Have you undergone a SSAE 18 audit?</v>
      </c>
      <c r="D10" s="65" t="str">
        <f>VLOOKUP(B10,'HECVAT - Full'!A:E,4,FALSE)</f>
        <v xml:space="preserve">While Portfolium does not currently hold a SOC 2 Type II report, the Amazon Web Services infrastructure on which it is hosted does. This is available on request from AWS. The AWS SOC 3 report can be found at https://d1.awsstatic.com/whitepapers/compliance/AWS_SOC3.pdf 
</v>
      </c>
      <c r="E10" s="73" t="b">
        <f>IF(Table1[[#This Row],[Column11]]&gt;20,TRUE,FALSE)</f>
        <v>0</v>
      </c>
      <c r="F10" s="73" t="s">
        <v>18</v>
      </c>
      <c r="G10" s="74" t="s">
        <v>17</v>
      </c>
      <c r="H10" s="75">
        <v>1</v>
      </c>
      <c r="I10" s="65" t="str">
        <f>VLOOKUP(B10,'HECVAT - Full'!A:E,3,FALSE)</f>
        <v>No</v>
      </c>
      <c r="J10" s="65">
        <f>IF(Table1[[#This Row],[Column7]]=Table1[[#This Row],[Column9]],1,0)</f>
        <v>0</v>
      </c>
      <c r="K10" s="65">
        <f>IF(Table1[[#This Row],[Column8]]=1,15,"")</f>
        <v>15</v>
      </c>
      <c r="L10" s="65">
        <f>IF(Table1[[#This Row],[Column8]]=1,J10*K10,"")</f>
        <v>0</v>
      </c>
      <c r="M10" s="66">
        <f>VLOOKUP($B10,'Standards Crosswalk'!$A:$H,3,FALSE)</f>
        <v>0</v>
      </c>
      <c r="N10" s="66">
        <f>VLOOKUP($B10,'Standards Crosswalk'!$A:$H,4,FALSE)</f>
        <v>0</v>
      </c>
      <c r="O10" s="66" t="str">
        <f>VLOOKUP($B10,'Standards Crosswalk'!$A:$H,5,FALSE)</f>
        <v>15.2.1</v>
      </c>
      <c r="P10" s="66">
        <f>VLOOKUP($B10,'Standards Crosswalk'!$A:$H,6,FALSE)</f>
        <v>0</v>
      </c>
      <c r="Q10" s="66">
        <f>VLOOKUP($B10,'Standards Crosswalk'!$A:$H,7,FALSE)</f>
        <v>0</v>
      </c>
      <c r="R10" s="66" t="str">
        <f>VLOOKUP($B10,'Standards Crosswalk'!$A:$H,8,FALSE)</f>
        <v>SA-9</v>
      </c>
      <c r="S10" s="66">
        <f>VLOOKUP($B10,'Standards Crosswalk'!$A:$I,9,FALSE)</f>
        <v>0</v>
      </c>
      <c r="T10" s="67" t="s">
        <v>2037</v>
      </c>
      <c r="U10" s="79">
        <f>COUNTIFS(B:B,"FIDP*",J:J,"=1")</f>
        <v>4</v>
      </c>
      <c r="V10" s="77">
        <f>COUNTIF(B:B,"FIDP*")</f>
        <v>12</v>
      </c>
      <c r="W10" s="77">
        <f>SUMIFS(L:L,B:B,"FIDP*")</f>
        <v>85</v>
      </c>
      <c r="X10" s="77">
        <f>SUMIFS(K:K,B:B,"FIDP*")</f>
        <v>265</v>
      </c>
      <c r="Y10" s="78">
        <f t="shared" si="0"/>
        <v>0.32075471698113206</v>
      </c>
    </row>
    <row r="11" spans="1:25" ht="211" thickBot="1" x14ac:dyDescent="0.2">
      <c r="A11" s="65">
        <f t="shared" si="1"/>
        <v>9</v>
      </c>
      <c r="B11" s="71" t="s">
        <v>172</v>
      </c>
      <c r="C11" s="72" t="str">
        <f>VLOOKUP(B11,'HECVAT - Full'!A:E,2,FALSE)</f>
        <v>Have you completed the Cloud Security Alliance (CSA) self assessment or CAIQ?</v>
      </c>
      <c r="D11" s="65" t="str">
        <f>VLOOKUP(B11,'HECVAT - Full'!A:E,4,FALSE)</f>
        <v xml:space="preserve">Instructure maintains a CAIQ which is included with this response.
</v>
      </c>
      <c r="E11" s="73" t="b">
        <f>IF(Table1[[#This Row],[Column11]]&gt;20,TRUE,FALSE)</f>
        <v>0</v>
      </c>
      <c r="F11" s="73" t="s">
        <v>18</v>
      </c>
      <c r="G11" s="74" t="s">
        <v>17</v>
      </c>
      <c r="H11" s="75">
        <v>1</v>
      </c>
      <c r="I11" s="65" t="str">
        <f>VLOOKUP(B11,'HECVAT - Full'!A:E,3,FALSE)</f>
        <v>Yes</v>
      </c>
      <c r="J11" s="65">
        <f>IF(Table1[[#This Row],[Column7]]=Table1[[#This Row],[Column9]],1,0)</f>
        <v>1</v>
      </c>
      <c r="K11" s="65">
        <f>IF(Table1[[#This Row],[Column8]]=1,10,"")</f>
        <v>10</v>
      </c>
      <c r="L11" s="65">
        <f>IF(Table1[[#This Row],[Column8]]=1,J11*K11,"")</f>
        <v>10</v>
      </c>
      <c r="M11" s="66">
        <f>VLOOKUP($B11,'Standards Crosswalk'!$A:$H,3,FALSE)</f>
        <v>0</v>
      </c>
      <c r="N11" s="66">
        <f>VLOOKUP($B11,'Standards Crosswalk'!$A:$H,4,FALSE)</f>
        <v>0</v>
      </c>
      <c r="O11" s="66" t="str">
        <f>VLOOKUP($B11,'Standards Crosswalk'!$A:$H,5,FALSE)</f>
        <v>15.2.1</v>
      </c>
      <c r="P11" s="66">
        <f>VLOOKUP($B11,'Standards Crosswalk'!$A:$H,6,FALSE)</f>
        <v>0</v>
      </c>
      <c r="Q11" s="66">
        <f>VLOOKUP($B11,'Standards Crosswalk'!$A:$H,7,FALSE)</f>
        <v>0</v>
      </c>
      <c r="R11" s="66" t="str">
        <f>VLOOKUP($B11,'Standards Crosswalk'!$A:$H,8,FALSE)</f>
        <v>PE-2, PE-3, PE-5, PE-11, PE-13, PE-14, SA-9</v>
      </c>
      <c r="S11" s="66">
        <f>VLOOKUP($B11,'Standards Crosswalk'!$A:$I,9,FALSE)</f>
        <v>0</v>
      </c>
      <c r="T11" s="67" t="s">
        <v>2039</v>
      </c>
      <c r="U11" s="79">
        <f>COUNTIFS(B:B,"PHYS*",J:J,"=1")</f>
        <v>4</v>
      </c>
      <c r="V11" s="77">
        <f>COUNTIF(B:B,"PHYS*")</f>
        <v>5</v>
      </c>
      <c r="W11" s="77">
        <f>SUMIFS(L:L,B:B,"PHYS*")</f>
        <v>75</v>
      </c>
      <c r="X11" s="77">
        <f>SUMIFS(K:K,B:B,"PHYS*")</f>
        <v>100</v>
      </c>
      <c r="Y11" s="78">
        <f t="shared" si="0"/>
        <v>0.75</v>
      </c>
    </row>
    <row r="12" spans="1:25" ht="46" thickBot="1" x14ac:dyDescent="0.2">
      <c r="A12" s="65">
        <f t="shared" si="1"/>
        <v>10</v>
      </c>
      <c r="B12" s="71" t="s">
        <v>173</v>
      </c>
      <c r="C12" s="72" t="str">
        <f>VLOOKUP(B12,'HECVAT - Full'!A:E,2,FALSE)</f>
        <v>Have you received the Cloud Security Alliance STAR certification?</v>
      </c>
      <c r="D12" s="65">
        <f>VLOOKUP(B12,'HECVAT - Full'!A:E,4,FALSE)</f>
        <v>0</v>
      </c>
      <c r="E12" s="73" t="b">
        <f>IF(Table1[[#This Row],[Column11]]&gt;20,TRUE,FALSE)</f>
        <v>0</v>
      </c>
      <c r="F12" s="73" t="s">
        <v>18</v>
      </c>
      <c r="G12" s="74" t="s">
        <v>17</v>
      </c>
      <c r="H12" s="75">
        <v>1</v>
      </c>
      <c r="I12" s="65" t="str">
        <f>VLOOKUP(B12,'HECVAT - Full'!A:E,3,FALSE)</f>
        <v>No</v>
      </c>
      <c r="J12" s="65">
        <f>IF(Table1[[#This Row],[Column7]]=Table1[[#This Row],[Column9]],1,0)</f>
        <v>0</v>
      </c>
      <c r="K12" s="65">
        <f>IF(Table1[[#This Row],[Column8]]=1,15,"")</f>
        <v>15</v>
      </c>
      <c r="L12" s="65">
        <f>IF(Table1[[#This Row],[Column8]]=1,J12*K12,"")</f>
        <v>0</v>
      </c>
      <c r="M12" s="66">
        <f>VLOOKUP($B12,'Standards Crosswalk'!$A:$H,3,FALSE)</f>
        <v>0</v>
      </c>
      <c r="N12" s="66">
        <f>VLOOKUP($B12,'Standards Crosswalk'!$A:$H,4,FALSE)</f>
        <v>0</v>
      </c>
      <c r="O12" s="66" t="str">
        <f>VLOOKUP($B12,'Standards Crosswalk'!$A:$H,5,FALSE)</f>
        <v>15.2.1</v>
      </c>
      <c r="P12" s="66">
        <f>VLOOKUP($B12,'Standards Crosswalk'!$A:$H,6,FALSE)</f>
        <v>0</v>
      </c>
      <c r="Q12" s="66">
        <f>VLOOKUP($B12,'Standards Crosswalk'!$A:$H,7,FALSE)</f>
        <v>0</v>
      </c>
      <c r="R12" s="66" t="str">
        <f>VLOOKUP($B12,'Standards Crosswalk'!$A:$H,8,FALSE)</f>
        <v>PE-2, PE-3, PE-5, PE-11, PE-13, PE-14, SA-9</v>
      </c>
      <c r="S12" s="66">
        <f>VLOOKUP($B12,'Standards Crosswalk'!$A:$I,9,FALSE)</f>
        <v>0</v>
      </c>
      <c r="T12" s="67" t="s">
        <v>2040</v>
      </c>
      <c r="U12" s="79">
        <f>COUNTIFS(B:B,"PPPR*",J:J,"=1")</f>
        <v>20</v>
      </c>
      <c r="V12" s="77">
        <f>COUNTIF(B:B,"PPPR*")</f>
        <v>20</v>
      </c>
      <c r="W12" s="77">
        <f>SUMIFS(L:L,B:B,"PPPR*")</f>
        <v>420</v>
      </c>
      <c r="X12" s="77">
        <f>SUMIFS(K:K,B:B,"PPPR*")</f>
        <v>420</v>
      </c>
      <c r="Y12" s="78">
        <f t="shared" si="0"/>
        <v>1</v>
      </c>
    </row>
    <row r="13" spans="1:25" ht="409.6" thickBot="1" x14ac:dyDescent="0.2">
      <c r="A13" s="65">
        <f t="shared" si="1"/>
        <v>11</v>
      </c>
      <c r="B13" s="71" t="s">
        <v>174</v>
      </c>
      <c r="C13" s="72" t="str">
        <f>VLOOKUP(B13,'HECVAT - Full'!A:E,2,FALSE)</f>
        <v>Do you conform with a specific industry standard security framework? (e.g. NIST Cybersecurity Framework, ISO 27001, etc.)</v>
      </c>
      <c r="D13" s="65" t="str">
        <f>VLOOKUP(B13,'HECVAT - Full'!A:E,4,FALSE)</f>
        <v xml:space="preserve">The Amazon Web Services infrastructure on which Portfolium is hosted is ISO 27001:2013 certified. The AWS ISO 27001 certification is available at: https://d0.awsstatic.com/certifications/iso_27001_global_certification.pdf. AWS also holds a SOC 2 Type II report using the Service Organization Control framework put forth by the American Institute of Certified Public Accountants (AICPA).
Portfolium does not adhere to a single security framework and instead incorporates best practices from a range of current standards into its own documented security policies.
</v>
      </c>
      <c r="E13" s="73" t="b">
        <f>IF(Table1[[#This Row],[Column11]]&gt;20,TRUE,FALSE)</f>
        <v>1</v>
      </c>
      <c r="F13" s="73" t="s">
        <v>18</v>
      </c>
      <c r="G13" s="74" t="s">
        <v>17</v>
      </c>
      <c r="H13" s="75">
        <v>1</v>
      </c>
      <c r="I13" s="65" t="str">
        <f>VLOOKUP(B13,'HECVAT - Full'!A:E,3,FALSE)</f>
        <v>No</v>
      </c>
      <c r="J13" s="65">
        <f>IF(Table1[[#This Row],[Column7]]=Table1[[#This Row],[Column9]],1,0)</f>
        <v>0</v>
      </c>
      <c r="K13" s="65">
        <f>IF(Table1[[#This Row],[Column8]]=1,25,"")</f>
        <v>25</v>
      </c>
      <c r="L13" s="65">
        <f>IF(Table1[[#This Row],[Column8]]=1,J13*K13,"")</f>
        <v>0</v>
      </c>
      <c r="M13" s="66">
        <f>VLOOKUP($B13,'Standards Crosswalk'!$A:$H,3,FALSE)</f>
        <v>0</v>
      </c>
      <c r="N13" s="66">
        <f>VLOOKUP($B13,'Standards Crosswalk'!$A:$H,4,FALSE)</f>
        <v>0</v>
      </c>
      <c r="O13" s="66" t="str">
        <f>VLOOKUP($B13,'Standards Crosswalk'!$A:$H,5,FALSE)</f>
        <v>18.1.1</v>
      </c>
      <c r="P13" s="66">
        <f>VLOOKUP($B13,'Standards Crosswalk'!$A:$H,6,FALSE)</f>
        <v>0</v>
      </c>
      <c r="Q13" s="66">
        <f>VLOOKUP($B13,'Standards Crosswalk'!$A:$H,7,FALSE)</f>
        <v>0</v>
      </c>
      <c r="R13" s="66" t="str">
        <f>VLOOKUP($B13,'Standards Crosswalk'!$A:$H,8,FALSE)</f>
        <v>SA-9</v>
      </c>
      <c r="S13" s="66" t="str">
        <f>VLOOKUP($B13,'Standards Crosswalk'!$A:$I,9,FALSE)</f>
        <v>12.1, Scope</v>
      </c>
      <c r="T13" s="67" t="s">
        <v>2043</v>
      </c>
      <c r="U13" s="79">
        <f>COUNTIFS(B:B,"SYST*",J:J,"=1")</f>
        <v>4</v>
      </c>
      <c r="V13" s="77">
        <f>COUNTIF(B:B,"SYST*")</f>
        <v>4</v>
      </c>
      <c r="W13" s="77">
        <f>SUMIFS(L:L,B:B,"SYST*")</f>
        <v>70</v>
      </c>
      <c r="X13" s="77">
        <f>SUMIFS(K:K,B:B,"SYST*")</f>
        <v>70</v>
      </c>
      <c r="Y13" s="78">
        <f t="shared" si="0"/>
        <v>1</v>
      </c>
    </row>
    <row r="14" spans="1:25" ht="409.6" thickBot="1" x14ac:dyDescent="0.2">
      <c r="A14" s="65">
        <f t="shared" si="1"/>
        <v>12</v>
      </c>
      <c r="B14" s="71" t="s">
        <v>175</v>
      </c>
      <c r="C14" s="72" t="str">
        <f>VLOOKUP(B14,'HECVAT - Full'!A:E,2,FALSE)</f>
        <v>Are you compliant with FISMA standards?</v>
      </c>
      <c r="D14" s="65" t="str">
        <f>VLOOKUP(B14,'HECVAT - Full'!A:E,4,FALSE)</f>
        <v xml:space="preserve">In the realm of public sector certifications, AWS, the IaaS that hosts Portfolium, has received authorization from the U.S. General Services Administration to operate at the FISMA Moderate level, and is also the platform for applications with Authorities to Operate (ATOs) under the Defense Information Assurance Certification and Accreditation Program (DIACAP), which has since been replaced by NIST/FISMA. AWS will continue to obtain the appropriate security certifications and conduct audits to demonstrate the security of our infrastructure and services.
</v>
      </c>
      <c r="E14" s="73" t="b">
        <f>IF(Table1[[#This Row],[Column11]]&gt;20,TRUE,FALSE)</f>
        <v>0</v>
      </c>
      <c r="F14" s="73" t="s">
        <v>18</v>
      </c>
      <c r="G14" s="74" t="s">
        <v>17</v>
      </c>
      <c r="H14" s="75">
        <v>1</v>
      </c>
      <c r="I14" s="65" t="str">
        <f>VLOOKUP(B14,'HECVAT - Full'!A:E,3,FALSE)</f>
        <v>Yes</v>
      </c>
      <c r="J14" s="65">
        <f>IF(Table1[[#This Row],[Column7]]=Table1[[#This Row],[Column9]],1,0)</f>
        <v>1</v>
      </c>
      <c r="K14" s="65">
        <f>IF(Table1[[#This Row],[Column8]]=1,15,"")</f>
        <v>15</v>
      </c>
      <c r="L14" s="65">
        <f>IF(Table1[[#This Row],[Column8]]=1,J14*K14,"")</f>
        <v>15</v>
      </c>
      <c r="M14" s="66">
        <f>VLOOKUP($B14,'Standards Crosswalk'!$A:$H,3,FALSE)</f>
        <v>0</v>
      </c>
      <c r="N14" s="66">
        <f>VLOOKUP($B14,'Standards Crosswalk'!$A:$H,4,FALSE)</f>
        <v>0</v>
      </c>
      <c r="O14" s="66" t="str">
        <f>VLOOKUP($B14,'Standards Crosswalk'!$A:$H,5,FALSE)</f>
        <v>18.1.1</v>
      </c>
      <c r="P14" s="66">
        <f>VLOOKUP($B14,'Standards Crosswalk'!$A:$H,6,FALSE)</f>
        <v>0</v>
      </c>
      <c r="Q14" s="66">
        <f>VLOOKUP($B14,'Standards Crosswalk'!$A:$H,7,FALSE)</f>
        <v>0</v>
      </c>
      <c r="R14" s="66" t="str">
        <f>VLOOKUP($B14,'Standards Crosswalk'!$A:$H,8,FALSE)</f>
        <v>SA-9</v>
      </c>
      <c r="S14" s="66">
        <f>VLOOKUP($B14,'Standards Crosswalk'!$A:$I,9,FALSE)</f>
        <v>0</v>
      </c>
      <c r="T14" s="84" t="s">
        <v>2044</v>
      </c>
      <c r="U14" s="81">
        <f>COUNTIFS(B:B,"VULN*",J:J,"=1")</f>
        <v>7</v>
      </c>
      <c r="V14" s="82">
        <f>COUNTIF(B:B,"VULN*")</f>
        <v>9</v>
      </c>
      <c r="W14" s="82">
        <f>SUMIFS(L:L,B:B,"VULN*")</f>
        <v>160</v>
      </c>
      <c r="X14" s="82">
        <f>SUMIFS(K:K,B:B,"VULN*")</f>
        <v>195</v>
      </c>
      <c r="Y14" s="83">
        <f t="shared" si="0"/>
        <v>0.82051282051282048</v>
      </c>
    </row>
    <row r="15" spans="1:25" ht="121" thickBot="1" x14ac:dyDescent="0.2">
      <c r="A15" s="65">
        <f t="shared" si="1"/>
        <v>13</v>
      </c>
      <c r="B15" s="71" t="s">
        <v>176</v>
      </c>
      <c r="C15" s="72" t="str">
        <f>VLOOKUP(B15,'HECVAT - Full'!A:E,2,FALSE)</f>
        <v>Does your organization have a data privacy policy?</v>
      </c>
      <c r="D15" s="65" t="str">
        <f>VLOOKUP(B15,'HECVAT - Full'!A:E,4,FALSE)</f>
        <v xml:space="preserve">https://www.instructure.com/policies/privacy 
</v>
      </c>
      <c r="E15" s="73" t="b">
        <f>IF(Table1[[#This Row],[Column11]]&gt;20,TRUE,FALSE)</f>
        <v>1</v>
      </c>
      <c r="F15" s="73" t="s">
        <v>18</v>
      </c>
      <c r="G15" s="74" t="s">
        <v>17</v>
      </c>
      <c r="H15" s="75">
        <v>1</v>
      </c>
      <c r="I15" s="65" t="str">
        <f>VLOOKUP(B15,'HECVAT - Full'!A:E,3,FALSE)</f>
        <v>Yes</v>
      </c>
      <c r="J15" s="65">
        <f>IF(Table1[[#This Row],[Column7]]=Table1[[#This Row],[Column9]],1,0)</f>
        <v>1</v>
      </c>
      <c r="K15" s="65">
        <f>IF(Table1[[#This Row],[Column8]]=1,25,"")</f>
        <v>25</v>
      </c>
      <c r="L15" s="65">
        <f>IF(Table1[[#This Row],[Column8]]=1,J15*K15,"")</f>
        <v>25</v>
      </c>
      <c r="M15" s="66">
        <f>VLOOKUP($B15,'Standards Crosswalk'!$A:$H,3,FALSE)</f>
        <v>0</v>
      </c>
      <c r="N15" s="66" t="str">
        <f>VLOOKUP($B15,'Standards Crosswalk'!$A:$H,4,FALSE)</f>
        <v>§164.308(a)(1)(i)</v>
      </c>
      <c r="O15" s="66" t="str">
        <f>VLOOKUP($B15,'Standards Crosswalk'!$A:$H,5,FALSE)</f>
        <v>18.1.4</v>
      </c>
      <c r="P15" s="66" t="str">
        <f>VLOOKUP($B15,'Standards Crosswalk'!$A:$H,6,FALSE)</f>
        <v>ID.GV-3</v>
      </c>
      <c r="Q15" s="66" t="str">
        <f>VLOOKUP($B15,'Standards Crosswalk'!$A:$H,7,FALSE)</f>
        <v>ID.GV-3</v>
      </c>
      <c r="R15" s="66" t="str">
        <f>VLOOKUP($B15,'Standards Crosswalk'!$A:$H,8,FALSE)</f>
        <v>SA-9</v>
      </c>
      <c r="S15" s="66">
        <f>VLOOKUP($B15,'Standards Crosswalk'!$A:$I,9,FALSE)</f>
        <v>0</v>
      </c>
      <c r="T15" s="65" t="str">
        <f>IF(I2="Yes","HIPAA","")</f>
        <v/>
      </c>
      <c r="U15" s="65" t="str">
        <f>IF(I2="Yes",(COUNTIFS(B:B,"HIPA*",J:J,"=1")),"")</f>
        <v/>
      </c>
      <c r="V15" s="65" t="str">
        <f>IF(I2="Yes",(COUNTIF(B:B,"HIPA*")),"")</f>
        <v/>
      </c>
      <c r="W15" s="65" t="str">
        <f>IF(I2="Yes",(SUMIFS(L:L,B:B,"HIPA*")),"")</f>
        <v/>
      </c>
      <c r="X15" s="65" t="str">
        <f>IF(I2="Yes",(SUMIFS(K:K,B:B,"HIPA*")),"")</f>
        <v/>
      </c>
      <c r="Y15" s="88" t="str">
        <f>IF(I2="Yes",(W15/X15),"")</f>
        <v/>
      </c>
    </row>
    <row r="16" spans="1:25" ht="28.5" customHeight="1" thickBot="1" x14ac:dyDescent="0.2">
      <c r="A16" s="65">
        <f t="shared" si="1"/>
        <v>14</v>
      </c>
      <c r="B16" s="71" t="s">
        <v>183</v>
      </c>
      <c r="C16" s="72" t="str">
        <f>VLOOKUP(B16,'HECVAT - Full'!A:E,2,FALSE)</f>
        <v>Describe how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v>
      </c>
      <c r="D16" s="65">
        <f>VLOOKUP(B16,'HECVAT - Full'!A:E,4,FALSE)</f>
        <v>0</v>
      </c>
      <c r="E16" s="73" t="b">
        <f>IF(Table1[[#This Row],[Column11]]&gt;20,TRUE,FALSE)</f>
        <v>1</v>
      </c>
      <c r="F16" s="80" t="s">
        <v>2089</v>
      </c>
      <c r="G16" s="74" t="s">
        <v>17</v>
      </c>
      <c r="H16" s="75">
        <v>1</v>
      </c>
      <c r="I16" s="65" t="str">
        <f>VLOOKUP(B16,'HECVAT - Full'!A:E,3,FALSE)</f>
        <v xml:space="preserve">Instructure has a robust third party due diligence process for each of its sub-contractors. Prior to using sub-contractors (or any software supporting Portfolium and handling customer data by sub-contractors) and, on an annual basis thereafter, Instructure’s security team performs a security review of these vendors. Included as part of this review, the security team requests a copy of each sub-contractor’s SOC2 Type 2 report. If any exceptions or other issues are noted in these reports, the security team follows up with the sub-contractor as necessary to determine scope and impact of the failure. If a SOC2 Type 2 report is not available for these sub-contractors, the security team provides the sub-contractor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each sub-contractor to help ensure security practices are in place and operating effectively. 
</v>
      </c>
      <c r="J16" s="65">
        <f>IF(VLOOKUP(Table1[[#This Row],[Column2]],'Analyst Report'!$A$41:$G$88,7,FALSE)="Yes",1,0)</f>
        <v>0</v>
      </c>
      <c r="K16" s="65">
        <f>IF(Table1[[#This Row],[Column8]]=1,25,"")</f>
        <v>25</v>
      </c>
      <c r="L16" s="65">
        <f>IF(Table1[[#This Row],[Column8]]=1,J16*K16,"")</f>
        <v>0</v>
      </c>
      <c r="M16" s="66" t="str">
        <f>VLOOKUP($B16,'Standards Crosswalk'!$A:$H,3,FALSE)</f>
        <v>CSC 13</v>
      </c>
      <c r="N16" s="66">
        <f>VLOOKUP($B16,'Standards Crosswalk'!$A:$H,4,FALSE)</f>
        <v>0</v>
      </c>
      <c r="O16" s="66" t="str">
        <f>VLOOKUP($B16,'Standards Crosswalk'!$A:$H,5,FALSE)</f>
        <v>15.1.3</v>
      </c>
      <c r="P16" s="66" t="str">
        <f>VLOOKUP($B16,'Standards Crosswalk'!$A:$H,6,FALSE)</f>
        <v>ID.AM-6, PR-AT-3</v>
      </c>
      <c r="Q16" s="66" t="str">
        <f>VLOOKUP($B16,'Standards Crosswalk'!$A:$H,7,FALSE)</f>
        <v>3.8.2</v>
      </c>
      <c r="R16" s="66" t="str">
        <f>VLOOKUP($B16,'Standards Crosswalk'!$A:$H,8,FALSE)</f>
        <v>MP-2, RA-3</v>
      </c>
      <c r="S16" s="66">
        <f>VLOOKUP($B16,'Standards Crosswalk'!$A:$I,9,FALSE)</f>
        <v>12.8</v>
      </c>
      <c r="T16" s="65" t="str">
        <f>IF(I3="Yes","Mobile App","")</f>
        <v>Mobile App</v>
      </c>
      <c r="U16" s="65">
        <f>IF(I3="Yes",(COUNTIFS(B:B,"MAPP*",J:J,"=1")),"")</f>
        <v>6</v>
      </c>
      <c r="V16" s="65">
        <f>IF(I3="Yes",(COUNTIF(B:B,"MAPP*")),"")</f>
        <v>11</v>
      </c>
      <c r="W16" s="65">
        <f>IF(I3="Yes",(SUMIFS(L:L,B:B,"MAPP*")),"")</f>
        <v>165</v>
      </c>
      <c r="X16" s="65">
        <f>IF(I3="Yes",(SUMIFS(K:K,B:B,"MAPP*")),"")</f>
        <v>265</v>
      </c>
      <c r="Y16" s="88">
        <f>IF(I3="Yes",(W16/X16),"")</f>
        <v>0.62264150943396224</v>
      </c>
    </row>
    <row r="17" spans="1:25" ht="28.5" customHeight="1" thickBot="1" x14ac:dyDescent="0.2">
      <c r="A17" s="65">
        <f t="shared" si="1"/>
        <v>15</v>
      </c>
      <c r="B17" s="71" t="s">
        <v>184</v>
      </c>
      <c r="C17" s="72" t="str">
        <f>VLOOKUP(B17,'HECVAT - Full'!A:E,2,FALSE)</f>
        <v>Provide a brief description for why each of these third parties will have access to institution data.</v>
      </c>
      <c r="D17" s="65">
        <f>VLOOKUP(B17,'HECVAT - Full'!A:E,4,FALSE)</f>
        <v>0</v>
      </c>
      <c r="E17" s="73" t="b">
        <f>IF(Table1[[#This Row],[Column11]]&gt;20,TRUE,FALSE)</f>
        <v>1</v>
      </c>
      <c r="F17" s="80" t="s">
        <v>2089</v>
      </c>
      <c r="G17" s="74" t="s">
        <v>17</v>
      </c>
      <c r="H17" s="75">
        <v>1</v>
      </c>
      <c r="I17" s="65" t="str">
        <f>VLOOKUP(B17,'HECVAT - Full'!A:E,3,FALSE)</f>
        <v xml:space="preserve">If we send data outside of the core system, it's to provide the service and support to the end users and to support the business.
1. Amazon Web Services: Provides infrastructure as a Service (IaaS) products, which include but are not limited to virtualized servers, storage and networking.
2. Google Analytics: Used for anonymized application usage analytics and product improvement.
3. see others in diagram below
</v>
      </c>
      <c r="J17" s="65">
        <f>IF(VLOOKUP(Table1[[#This Row],[Column2]],'Analyst Report'!$A$41:$G$88,7,FALSE)="Yes",1,0)</f>
        <v>0</v>
      </c>
      <c r="K17" s="65">
        <f>IF(Table1[[#This Row],[Column8]]=1,25,"")</f>
        <v>25</v>
      </c>
      <c r="L17" s="65">
        <f>IF(Table1[[#This Row],[Column8]]=1,J17*K17,"")</f>
        <v>0</v>
      </c>
      <c r="M17" s="66" t="str">
        <f>VLOOKUP($B17,'Standards Crosswalk'!$A:$H,3,FALSE)</f>
        <v>CSC 13</v>
      </c>
      <c r="N17" s="66">
        <f>VLOOKUP($B17,'Standards Crosswalk'!$A:$H,4,FALSE)</f>
        <v>0</v>
      </c>
      <c r="O17" s="66" t="str">
        <f>VLOOKUP($B17,'Standards Crosswalk'!$A:$H,5,FALSE)</f>
        <v>15.1.3</v>
      </c>
      <c r="P17" s="66" t="str">
        <f>VLOOKUP($B17,'Standards Crosswalk'!$A:$H,6,FALSE)</f>
        <v>ID.AM-6, PR-AT-3</v>
      </c>
      <c r="Q17" s="66" t="str">
        <f>VLOOKUP($B17,'Standards Crosswalk'!$A:$H,7,FALSE)</f>
        <v>3.8.2</v>
      </c>
      <c r="R17" s="66">
        <f>VLOOKUP($B17,'Standards Crosswalk'!$A:$H,8,FALSE)</f>
        <v>0</v>
      </c>
      <c r="S17" s="66">
        <f>VLOOKUP($B17,'Standards Crosswalk'!$A:$I,9,FALSE)</f>
        <v>12.8</v>
      </c>
      <c r="T17" s="65" t="str">
        <f>IF(I4="Yes","Third Parties","")</f>
        <v>Third Parties</v>
      </c>
      <c r="U17" s="65">
        <f>IF(I4="Yes",(COUNTIFS(B:B,"THRD*",J:J,"=1")),"")</f>
        <v>0</v>
      </c>
      <c r="V17" s="65">
        <f>IF(I4="Yes",(COUNTIF(B:B,"THRD*")),"")</f>
        <v>4</v>
      </c>
      <c r="W17" s="65">
        <f>IF(I4="Yes",(SUMIFS(L:L,B:B,"THRD*")),"")</f>
        <v>0</v>
      </c>
      <c r="X17" s="65">
        <f>IF(I4="Yes",(SUMIFS(K:K,B:B,"THRD*")),"")</f>
        <v>100</v>
      </c>
      <c r="Y17" s="88">
        <f>IF(I4="Yes",(W17/X17),"")</f>
        <v>0</v>
      </c>
    </row>
    <row r="18" spans="1:25" ht="15.75" customHeight="1" thickBot="1" x14ac:dyDescent="0.2">
      <c r="A18" s="65">
        <f t="shared" si="1"/>
        <v>16</v>
      </c>
      <c r="B18" s="71" t="s">
        <v>185</v>
      </c>
      <c r="C18" s="72" t="str">
        <f>VLOOKUP(B18,'HECVAT - Full'!A:E,2,FALSE)</f>
        <v>What legal agreements (i.e. contracts) do you have in place with these third parties that address liability in the event of a data breach?</v>
      </c>
      <c r="D18" s="65">
        <f>VLOOKUP(B18,'HECVAT - Full'!A:E,4,FALSE)</f>
        <v>0</v>
      </c>
      <c r="E18" s="73" t="b">
        <f>IF(Table1[[#This Row],[Column11]]&gt;20,TRUE,FALSE)</f>
        <v>1</v>
      </c>
      <c r="F18" s="80" t="s">
        <v>2089</v>
      </c>
      <c r="G18" s="74" t="s">
        <v>17</v>
      </c>
      <c r="H18" s="75">
        <v>1</v>
      </c>
      <c r="I18" s="65" t="str">
        <f>VLOOKUP(B18,'HECVAT - Full'!A:E,3,FALSE)</f>
        <v xml:space="preserve">Instructure takes full responsibility for sub contractors it may engage to provide cloud-related infrastructure elements. Instructure engages these third parties by entering into contractual agreements and, where appropriate, data processing agreements related to data privacy laws.
</v>
      </c>
      <c r="J18" s="65">
        <f>IF(VLOOKUP(Table1[[#This Row],[Column2]],'Analyst Report'!$A$41:$G$88,7,FALSE)="Yes",1,0)</f>
        <v>0</v>
      </c>
      <c r="K18" s="65">
        <f>IF(Table1[[#This Row],[Column8]]=1,25,"")</f>
        <v>25</v>
      </c>
      <c r="L18" s="65">
        <f>IF(Table1[[#This Row],[Column8]]=1,J18*K18,"")</f>
        <v>0</v>
      </c>
      <c r="M18" s="66" t="str">
        <f>VLOOKUP($B18,'Standards Crosswalk'!$A:$H,3,FALSE)</f>
        <v>CSC 13</v>
      </c>
      <c r="N18" s="66">
        <f>VLOOKUP($B18,'Standards Crosswalk'!$A:$H,4,FALSE)</f>
        <v>0</v>
      </c>
      <c r="O18" s="66" t="str">
        <f>VLOOKUP($B18,'Standards Crosswalk'!$A:$H,5,FALSE)</f>
        <v>15.1.3</v>
      </c>
      <c r="P18" s="66" t="str">
        <f>VLOOKUP($B18,'Standards Crosswalk'!$A:$H,6,FALSE)</f>
        <v>ID.GV-3</v>
      </c>
      <c r="Q18" s="66">
        <f>VLOOKUP($B18,'Standards Crosswalk'!$A:$H,7,FALSE)</f>
        <v>0</v>
      </c>
      <c r="R18" s="66" t="str">
        <f>VLOOKUP($B18,'Standards Crosswalk'!$A:$H,8,FALSE)</f>
        <v>PS-3</v>
      </c>
      <c r="S18" s="66">
        <f>VLOOKUP($B18,'Standards Crosswalk'!$A:$I,9,FALSE)</f>
        <v>12.8</v>
      </c>
      <c r="T18" s="65" t="str">
        <f>IF(I5="Yes","Business Continuity Plan","")</f>
        <v>Business Continuity Plan</v>
      </c>
      <c r="U18" s="65">
        <f>IF(I5="Yes",(COUNTIFS(B:B,"BCPL*",J:J,"=1")),"")</f>
        <v>4</v>
      </c>
      <c r="V18" s="65">
        <f>IF(I5="Yes",(COUNTIF(B:B,"BCPL*")),"")</f>
        <v>12</v>
      </c>
      <c r="W18" s="65">
        <f>IF(I5="Yes",(SUMIFS(L:L,B:B,"BCPL*")),"")</f>
        <v>60</v>
      </c>
      <c r="X18" s="65">
        <f>IF(I5="Yes",(SUMIFS(K:K,B:B,"BCPL*")),"")</f>
        <v>250</v>
      </c>
      <c r="Y18" s="88">
        <f>IF(I5="Yes",(W18/X18),"")</f>
        <v>0.24</v>
      </c>
    </row>
    <row r="19" spans="1:25" ht="409.6" thickBot="1" x14ac:dyDescent="0.2">
      <c r="A19" s="65">
        <f t="shared" si="1"/>
        <v>17</v>
      </c>
      <c r="B19" s="71" t="s">
        <v>429</v>
      </c>
      <c r="C19" s="72" t="str">
        <f>VLOOKUP(B19,'HECVAT - Full'!A:E,2,FALSE)</f>
        <v>Describe or provide references to your third party management strategy or provide additional information that may help analysts better understand your environment and how it relates to third-party solutions.</v>
      </c>
      <c r="D19" s="65">
        <f>VLOOKUP(B19,'HECVAT - Full'!A:E,4,FALSE)</f>
        <v>0</v>
      </c>
      <c r="E19" s="73" t="b">
        <f>IF(Table1[[#This Row],[Column11]]&gt;20,TRUE,FALSE)</f>
        <v>1</v>
      </c>
      <c r="F19" s="80" t="s">
        <v>2089</v>
      </c>
      <c r="G19" s="74" t="s">
        <v>17</v>
      </c>
      <c r="H19" s="75">
        <v>1</v>
      </c>
      <c r="I19" s="65" t="str">
        <f>VLOOKUP(B19,'HECVAT - Full'!A:E,3,FALSE)</f>
        <v xml:space="preserve">Portfolium integrates with LMS platforms through the LTI standard. Documentation on these integrations can be found at https://help.portfolium.com/edu-platform#lms-integrations 
</v>
      </c>
      <c r="J19" s="65">
        <f>IF(VLOOKUP(Table1[[#This Row],[Column2]],'Analyst Report'!$A$41:$G$88,7,FALSE)="Yes",1,0)</f>
        <v>0</v>
      </c>
      <c r="K19" s="65">
        <f>IF(Table1[[#This Row],[Column8]]=1,25,"")</f>
        <v>25</v>
      </c>
      <c r="L19" s="65">
        <f>IF(Table1[[#This Row],[Column8]]=1,J19*K19,"")</f>
        <v>0</v>
      </c>
      <c r="M19" s="66">
        <f>VLOOKUP($B19,'Standards Crosswalk'!$A:$H,3,FALSE)</f>
        <v>0</v>
      </c>
      <c r="N19" s="66">
        <f>VLOOKUP($B19,'Standards Crosswalk'!$A:$H,4,FALSE)</f>
        <v>0</v>
      </c>
      <c r="O19" s="66" t="str">
        <f>VLOOKUP($B19,'Standards Crosswalk'!$A:$H,5,FALSE)</f>
        <v>15.1.3</v>
      </c>
      <c r="P19" s="66" t="str">
        <f>VLOOKUP($B19,'Standards Crosswalk'!$A:$H,6,FALSE)</f>
        <v>ID.AM-6, PR.AT-3</v>
      </c>
      <c r="Q19" s="66">
        <f>VLOOKUP($B19,'Standards Crosswalk'!$A:$H,7,FALSE)</f>
        <v>0</v>
      </c>
      <c r="R19" s="66" t="str">
        <f>VLOOKUP($B19,'Standards Crosswalk'!$A:$H,8,FALSE)</f>
        <v>PS-5</v>
      </c>
      <c r="S19" s="66">
        <f>VLOOKUP($B19,'Standards Crosswalk'!$A:$I,9,FALSE)</f>
        <v>12.8</v>
      </c>
      <c r="T19" s="65" t="str">
        <f>IF(I7="Yes","Disaster Recovery Plan","")</f>
        <v>Disaster Recovery Plan</v>
      </c>
      <c r="U19" s="65">
        <f>IF(I7="Yes",(COUNTIFS(B:B,"DRPL*",J:J,"=1")),"")</f>
        <v>11</v>
      </c>
      <c r="V19" s="65">
        <f>IF(I7="Yes",(COUNTIF(B:B,"DRPL*")),"")</f>
        <v>13</v>
      </c>
      <c r="W19" s="65">
        <f>IF(I7="Yes",(SUMIFS(L:L,B:B,"DRPL*")),"")</f>
        <v>225</v>
      </c>
      <c r="X19" s="65">
        <f>IF(I7="Yes",(SUMIFS(K:K,B:B,"DRPL*")),"")</f>
        <v>270</v>
      </c>
      <c r="Y19" s="88">
        <f t="shared" ref="Y19:Y21" si="3">IF(I7="Yes",(W19/X19),"")</f>
        <v>0.83333333333333337</v>
      </c>
    </row>
    <row r="20" spans="1:25" ht="31" thickBot="1" x14ac:dyDescent="0.2">
      <c r="A20" s="65">
        <f t="shared" si="1"/>
        <v>18</v>
      </c>
      <c r="B20" s="71" t="s">
        <v>186</v>
      </c>
      <c r="C20" s="72" t="str">
        <f>VLOOKUP(B20,'HECVAT - Full'!A:E,2,FALSE)</f>
        <v>Will the consulting take place on-premises?</v>
      </c>
      <c r="D20" s="65">
        <f>VLOOKUP(B20,'HECVAT - Full'!A:E,4,FALSE)</f>
        <v>0</v>
      </c>
      <c r="E20" s="73" t="b">
        <f>IF(Table1[[#This Row],[Column11]]&gt;20,TRUE,FALSE)</f>
        <v>0</v>
      </c>
      <c r="F20" s="73" t="s">
        <v>93</v>
      </c>
      <c r="G20" s="74" t="s">
        <v>17</v>
      </c>
      <c r="H20" s="75">
        <v>1</v>
      </c>
      <c r="I20" s="65">
        <f>VLOOKUP(B20,'HECVAT - Full'!A:E,3,FALSE)</f>
        <v>0</v>
      </c>
      <c r="J20" s="65">
        <f>IF(Table1[[#This Row],[Column7]]=Table1[[#This Row],[Column9]],1,0)</f>
        <v>0</v>
      </c>
      <c r="K20" s="65">
        <f>IF(Table1[[#This Row],[Column8]]=1,20,"")</f>
        <v>20</v>
      </c>
      <c r="L20" s="65">
        <f>IF(Table1[[#This Row],[Column8]]=1,J20*K20,"")</f>
        <v>0</v>
      </c>
      <c r="M20" s="66">
        <f>VLOOKUP($B20,'Standards Crosswalk'!$A:$H,3,FALSE)</f>
        <v>0</v>
      </c>
      <c r="N20" s="66">
        <f>VLOOKUP($B20,'Standards Crosswalk'!$A:$H,4,FALSE)</f>
        <v>0</v>
      </c>
      <c r="O20" s="66" t="str">
        <f>VLOOKUP($B20,'Standards Crosswalk'!$A:$H,5,FALSE)</f>
        <v>15.2.1</v>
      </c>
      <c r="P20" s="66" t="str">
        <f>VLOOKUP($B20,'Standards Crosswalk'!$A:$H,6,FALSE)</f>
        <v>ID.AM-6, PR.AT-3</v>
      </c>
      <c r="Q20" s="66">
        <f>VLOOKUP($B20,'Standards Crosswalk'!$A:$H,7,FALSE)</f>
        <v>0</v>
      </c>
      <c r="R20" s="66">
        <f>VLOOKUP($B20,'Standards Crosswalk'!$A:$H,8,FALSE)</f>
        <v>0</v>
      </c>
      <c r="S20" s="66">
        <f>VLOOKUP($B20,'Standards Crosswalk'!$A:$I,9,FALSE)</f>
        <v>0</v>
      </c>
      <c r="T20" s="65" t="str">
        <f>IF(I8="Yes","PCI DSS","")</f>
        <v/>
      </c>
      <c r="U20" s="65" t="str">
        <f>IF(I8="Yes",(COUNTIFS(B:B,"PCID*",J:J,"=1")),"")</f>
        <v/>
      </c>
      <c r="V20" s="65" t="str">
        <f>IF(I8="Yes",(COUNTIF(B:B,"PCID*")),"")</f>
        <v/>
      </c>
      <c r="W20" s="65" t="str">
        <f>IF(I8="Yes",(SUMIFS(L:L,B:B,"PCID*")),"")</f>
        <v/>
      </c>
      <c r="X20" s="65" t="str">
        <f>IF(I8="Yes",(SUMIFS(K:K,B:B,"PCID*")),"")</f>
        <v/>
      </c>
      <c r="Y20" s="88" t="str">
        <f t="shared" si="3"/>
        <v/>
      </c>
    </row>
    <row r="21" spans="1:25" ht="31" thickBot="1" x14ac:dyDescent="0.2">
      <c r="A21" s="65">
        <f t="shared" si="1"/>
        <v>19</v>
      </c>
      <c r="B21" s="71" t="s">
        <v>187</v>
      </c>
      <c r="C21" s="72" t="str">
        <f>VLOOKUP(B21,'HECVAT - Full'!A:E,2,FALSE)</f>
        <v>Will the consultant require access to Institution's network resources?</v>
      </c>
      <c r="D21" s="65">
        <f>VLOOKUP(B21,'HECVAT - Full'!A:E,4,FALSE)</f>
        <v>0</v>
      </c>
      <c r="E21" s="73" t="b">
        <f>IF(Table1[[#This Row],[Column11]]&gt;20,TRUE,FALSE)</f>
        <v>0</v>
      </c>
      <c r="F21" s="73" t="s">
        <v>93</v>
      </c>
      <c r="G21" s="74" t="s">
        <v>20</v>
      </c>
      <c r="H21" s="75">
        <v>1</v>
      </c>
      <c r="I21" s="65">
        <f>VLOOKUP(B21,'HECVAT - Full'!A:E,3,FALSE)</f>
        <v>0</v>
      </c>
      <c r="J21" s="65">
        <f>IF(Table1[[#This Row],[Column7]]=Table1[[#This Row],[Column9]],1,0)</f>
        <v>0</v>
      </c>
      <c r="K21" s="65">
        <f>IF(Table1[[#This Row],[Column8]]=1,20,"")</f>
        <v>20</v>
      </c>
      <c r="L21" s="65">
        <f>IF(Table1[[#This Row],[Column8]]=1,J21*K21,"")</f>
        <v>0</v>
      </c>
      <c r="M21" s="66" t="str">
        <f>VLOOKUP($B21,'Standards Crosswalk'!$A:$H,3,FALSE)</f>
        <v>CSC 14</v>
      </c>
      <c r="N21" s="66">
        <f>VLOOKUP($B21,'Standards Crosswalk'!$A:$H,4,FALSE)</f>
        <v>0</v>
      </c>
      <c r="O21" s="66" t="str">
        <f>VLOOKUP($B21,'Standards Crosswalk'!$A:$H,5,FALSE)</f>
        <v>9.1.2</v>
      </c>
      <c r="P21" s="66" t="str">
        <f>VLOOKUP($B21,'Standards Crosswalk'!$A:$H,6,FALSE)</f>
        <v>ID.AM-6, PR.AT-3</v>
      </c>
      <c r="Q21" s="66" t="str">
        <f>VLOOKUP($B21,'Standards Crosswalk'!$A:$H,7,FALSE)</f>
        <v>3.1.2, 3.1.3</v>
      </c>
      <c r="R21" s="66" t="str">
        <f>VLOOKUP($B21,'Standards Crosswalk'!$A:$H,8,FALSE)</f>
        <v>AC-4</v>
      </c>
      <c r="S21" s="66">
        <f>VLOOKUP($B21,'Standards Crosswalk'!$A:$I,9,FALSE)</f>
        <v>0</v>
      </c>
      <c r="T21" s="65" t="str">
        <f>IF(I9="Yes","Consulting Only","")</f>
        <v/>
      </c>
      <c r="U21" s="65" t="str">
        <f>IF(I9="Yes",(COUNTIFS(B:B,"CONS*",J:J,"=1")),"")</f>
        <v/>
      </c>
      <c r="V21" s="65" t="str">
        <f>IF(I9="Yes",(COUNTIF(B:B,"CONS*")),"")</f>
        <v/>
      </c>
      <c r="W21" s="65" t="str">
        <f>IF(I9="Yes",(SUMIFS(L:L,B:B,"CONS*")),"")</f>
        <v/>
      </c>
      <c r="X21" s="65" t="str">
        <f>IF(I9="Yes",(SUMIFS(K:K,B:B,"CONS*")),"")</f>
        <v/>
      </c>
      <c r="Y21" s="88" t="str">
        <f t="shared" si="3"/>
        <v/>
      </c>
    </row>
    <row r="22" spans="1:25" ht="46" thickBot="1" x14ac:dyDescent="0.2">
      <c r="A22" s="65">
        <f t="shared" si="1"/>
        <v>20</v>
      </c>
      <c r="B22" s="71" t="s">
        <v>188</v>
      </c>
      <c r="C22" s="72" t="str">
        <f>VLOOKUP(B22,'HECVAT - Full'!A:E,2,FALSE)</f>
        <v>Will the consultant require access to hardware in the Institution's data centers?</v>
      </c>
      <c r="D22" s="65">
        <f>VLOOKUP(B22,'HECVAT - Full'!A:E,4,FALSE)</f>
        <v>0</v>
      </c>
      <c r="E22" s="73" t="b">
        <f>IF(Table1[[#This Row],[Column11]]&gt;20,TRUE,FALSE)</f>
        <v>1</v>
      </c>
      <c r="F22" s="73" t="s">
        <v>93</v>
      </c>
      <c r="G22" s="74" t="s">
        <v>20</v>
      </c>
      <c r="H22" s="75">
        <v>1</v>
      </c>
      <c r="I22" s="65">
        <f>VLOOKUP(B22,'HECVAT - Full'!A:E,3,FALSE)</f>
        <v>0</v>
      </c>
      <c r="J22" s="65">
        <f>IF(Table1[[#This Row],[Column7]]=Table1[[#This Row],[Column9]],1,0)</f>
        <v>0</v>
      </c>
      <c r="K22" s="65">
        <f>IF(Table1[[#This Row],[Column8]]=1,25,"")</f>
        <v>25</v>
      </c>
      <c r="L22" s="65">
        <f>IF(Table1[[#This Row],[Column8]]=1,J22*K22,"")</f>
        <v>0</v>
      </c>
      <c r="M22" s="66" t="str">
        <f>VLOOKUP($B22,'Standards Crosswalk'!$A:$H,3,FALSE)</f>
        <v>CSC 14</v>
      </c>
      <c r="N22" s="66">
        <f>VLOOKUP($B22,'Standards Crosswalk'!$A:$H,4,FALSE)</f>
        <v>0</v>
      </c>
      <c r="O22" s="66" t="str">
        <f>VLOOKUP($B22,'Standards Crosswalk'!$A:$H,5,FALSE)</f>
        <v>9.2.6</v>
      </c>
      <c r="P22" s="66" t="str">
        <f>VLOOKUP($B22,'Standards Crosswalk'!$A:$H,6,FALSE)</f>
        <v>ID.AM-6, PR.AT-3</v>
      </c>
      <c r="Q22" s="66" t="str">
        <f>VLOOKUP($B22,'Standards Crosswalk'!$A:$H,7,FALSE)</f>
        <v>3.1.2</v>
      </c>
      <c r="R22" s="66">
        <f>VLOOKUP($B22,'Standards Crosswalk'!$A:$H,8,FALSE)</f>
        <v>0</v>
      </c>
      <c r="S22" s="66">
        <f>VLOOKUP($B22,'Standards Crosswalk'!$A:$I,9,FALSE)</f>
        <v>0</v>
      </c>
      <c r="W22" s="65" t="s">
        <v>2100</v>
      </c>
      <c r="Y22" s="65" t="s">
        <v>2101</v>
      </c>
    </row>
    <row r="23" spans="1:25" ht="46" thickBot="1" x14ac:dyDescent="0.2">
      <c r="A23" s="65">
        <f t="shared" si="1"/>
        <v>21</v>
      </c>
      <c r="B23" s="71" t="s">
        <v>189</v>
      </c>
      <c r="C23" s="72" t="str">
        <f>VLOOKUP(B23,'HECVAT - Full'!A:E,2,FALSE)</f>
        <v>Will the consultant require an account within the Institution's domain (@*.edu)?</v>
      </c>
      <c r="D23" s="65">
        <f>VLOOKUP(B23,'HECVAT - Full'!A:E,4,FALSE)</f>
        <v>0</v>
      </c>
      <c r="E23" s="73" t="b">
        <f>IF(Table1[[#This Row],[Column11]]&gt;20,TRUE,FALSE)</f>
        <v>0</v>
      </c>
      <c r="F23" s="73" t="s">
        <v>93</v>
      </c>
      <c r="G23" s="74" t="s">
        <v>20</v>
      </c>
      <c r="H23" s="75">
        <v>1</v>
      </c>
      <c r="I23" s="65">
        <f>VLOOKUP(B23,'HECVAT - Full'!A:E,3,FALSE)</f>
        <v>0</v>
      </c>
      <c r="J23" s="65">
        <f>IF(Table1[[#This Row],[Column7]]=Table1[[#This Row],[Column9]],1,0)</f>
        <v>0</v>
      </c>
      <c r="K23" s="65">
        <f>IF(Table1[[#This Row],[Column8]]=1,20,"")</f>
        <v>20</v>
      </c>
      <c r="L23" s="65">
        <f>IF(Table1[[#This Row],[Column8]]=1,J23*K23,"")</f>
        <v>0</v>
      </c>
      <c r="M23" s="66" t="str">
        <f>VLOOKUP($B23,'Standards Crosswalk'!$A:$H,3,FALSE)</f>
        <v>CSC 14</v>
      </c>
      <c r="N23" s="66">
        <f>VLOOKUP($B23,'Standards Crosswalk'!$A:$H,4,FALSE)</f>
        <v>0</v>
      </c>
      <c r="O23" s="66">
        <f>VLOOKUP($B23,'Standards Crosswalk'!$A:$H,5,FALSE)</f>
        <v>0</v>
      </c>
      <c r="P23" s="66" t="str">
        <f>VLOOKUP($B23,'Standards Crosswalk'!$A:$H,6,FALSE)</f>
        <v>ID.AM-6, PR.AT-3</v>
      </c>
      <c r="Q23" s="66">
        <f>VLOOKUP($B23,'Standards Crosswalk'!$A:$H,7,FALSE)</f>
        <v>0</v>
      </c>
      <c r="R23" s="66">
        <f>VLOOKUP($B23,'Standards Crosswalk'!$A:$H,8,FALSE)</f>
        <v>0</v>
      </c>
      <c r="S23" s="66">
        <f>VLOOKUP($B23,'Standards Crosswalk'!$A:$I,9,FALSE)</f>
        <v>0</v>
      </c>
      <c r="T23" s="85"/>
      <c r="U23" s="86">
        <f>SUM(U7:U21)</f>
        <v>94</v>
      </c>
      <c r="V23" s="86">
        <f>SUM(V7:V21)</f>
        <v>137</v>
      </c>
      <c r="W23" s="89">
        <f>AVERAGE(Y2:Y21)</f>
        <v>0.63768369741528852</v>
      </c>
      <c r="X23" s="85" t="str">
        <f>IF(W23&gt;=0.9,"A",IF(W23&gt;=0.8,"B",IF(W23&gt;=0.7,"C",IF(W23&gt;=0.6,"D","F"))))</f>
        <v>D</v>
      </c>
      <c r="Y23" s="85">
        <f>SUM(W2:W21)</f>
        <v>2690</v>
      </c>
    </row>
    <row r="24" spans="1:25" ht="46" thickBot="1" x14ac:dyDescent="0.2">
      <c r="A24" s="65">
        <f t="shared" si="1"/>
        <v>22</v>
      </c>
      <c r="B24" s="71" t="s">
        <v>190</v>
      </c>
      <c r="C24" s="72" t="str">
        <f>VLOOKUP(B24,'HECVAT - Full'!A:E,2,FALSE)</f>
        <v>Has the consultant received training on [sensitive, HIPAA, PCI, etc.] data handling?</v>
      </c>
      <c r="D24" s="65">
        <f>VLOOKUP(B24,'HECVAT - Full'!A:E,4,FALSE)</f>
        <v>0</v>
      </c>
      <c r="E24" s="73" t="b">
        <f>IF(Table1[[#This Row],[Column11]]&gt;20,TRUE,FALSE)</f>
        <v>0</v>
      </c>
      <c r="F24" s="73" t="s">
        <v>93</v>
      </c>
      <c r="G24" s="74" t="s">
        <v>17</v>
      </c>
      <c r="H24" s="75">
        <v>1</v>
      </c>
      <c r="I24" s="65">
        <f>VLOOKUP(B24,'HECVAT - Full'!A:E,3,FALSE)</f>
        <v>0</v>
      </c>
      <c r="J24" s="65">
        <f>IF(Table1[[#This Row],[Column7]]=Table1[[#This Row],[Column9]],1,0)</f>
        <v>0</v>
      </c>
      <c r="K24" s="65">
        <f>IF(Table1[[#This Row],[Column8]]=1,20,"")</f>
        <v>20</v>
      </c>
      <c r="L24" s="65">
        <f>IF(Table1[[#This Row],[Column8]]=1,J24*K24,"")</f>
        <v>0</v>
      </c>
      <c r="M24" s="66" t="str">
        <f>VLOOKUP($B24,'Standards Crosswalk'!$A:$H,3,FALSE)</f>
        <v>CSC 13</v>
      </c>
      <c r="N24" s="66">
        <f>VLOOKUP($B24,'Standards Crosswalk'!$A:$H,4,FALSE)</f>
        <v>0</v>
      </c>
      <c r="O24" s="66" t="str">
        <f>VLOOKUP($B24,'Standards Crosswalk'!$A:$H,5,FALSE)</f>
        <v>18.1.1</v>
      </c>
      <c r="P24" s="66" t="str">
        <f>VLOOKUP($B24,'Standards Crosswalk'!$A:$H,6,FALSE)</f>
        <v>ID.AM-6, PR.AT-3</v>
      </c>
      <c r="Q24" s="66">
        <f>VLOOKUP($B24,'Standards Crosswalk'!$A:$H,7,FALSE)</f>
        <v>0</v>
      </c>
      <c r="R24" s="66">
        <f>VLOOKUP($B24,'Standards Crosswalk'!$A:$H,8,FALSE)</f>
        <v>0</v>
      </c>
      <c r="S24" s="66">
        <f>VLOOKUP($B24,'Standards Crosswalk'!$A:$I,9,FALSE)</f>
        <v>0</v>
      </c>
    </row>
    <row r="25" spans="1:25" ht="31" thickBot="1" x14ac:dyDescent="0.2">
      <c r="A25" s="65">
        <f t="shared" si="1"/>
        <v>23</v>
      </c>
      <c r="B25" s="71" t="s">
        <v>191</v>
      </c>
      <c r="C25" s="72" t="str">
        <f>VLOOKUP(B25,'HECVAT - Full'!A:E,2,FALSE)</f>
        <v>Will any data be transferred to the consultant's possession?</v>
      </c>
      <c r="D25" s="65">
        <f>VLOOKUP(B25,'HECVAT - Full'!A:E,4,FALSE)</f>
        <v>0</v>
      </c>
      <c r="E25" s="73" t="b">
        <f>IF(Table1[[#This Row],[Column11]]&gt;20,TRUE,FALSE)</f>
        <v>1</v>
      </c>
      <c r="F25" s="73" t="s">
        <v>93</v>
      </c>
      <c r="G25" s="74" t="s">
        <v>20</v>
      </c>
      <c r="H25" s="75">
        <v>1</v>
      </c>
      <c r="I25" s="65">
        <f>VLOOKUP(B25,'HECVAT - Full'!A:E,3,FALSE)</f>
        <v>0</v>
      </c>
      <c r="J25" s="65">
        <f>IF(Table1[[#This Row],[Column7]]=Table1[[#This Row],[Column9]],1,0)</f>
        <v>0</v>
      </c>
      <c r="K25" s="65">
        <f>IF(Table1[[#This Row],[Column8]]=1,25,"")</f>
        <v>25</v>
      </c>
      <c r="L25" s="65">
        <f>IF(Table1[[#This Row],[Column8]]=1,J25*K25,"")</f>
        <v>0</v>
      </c>
      <c r="M25" s="66" t="str">
        <f>VLOOKUP($B25,'Standards Crosswalk'!$A:$H,3,FALSE)</f>
        <v>CSC 13</v>
      </c>
      <c r="N25" s="66">
        <f>VLOOKUP($B25,'Standards Crosswalk'!$A:$H,4,FALSE)</f>
        <v>0</v>
      </c>
      <c r="O25" s="66" t="str">
        <f>VLOOKUP($B25,'Standards Crosswalk'!$A:$H,5,FALSE)</f>
        <v>9</v>
      </c>
      <c r="P25" s="66" t="str">
        <f>VLOOKUP($B25,'Standards Crosswalk'!$A:$H,6,FALSE)</f>
        <v>ID.AM-6, PR.AT-3</v>
      </c>
      <c r="Q25" s="66" t="str">
        <f>VLOOKUP($B25,'Standards Crosswalk'!$A:$H,7,FALSE)</f>
        <v>3.8.2</v>
      </c>
      <c r="R25" s="66" t="str">
        <f>VLOOKUP($B25,'Standards Crosswalk'!$A:$H,8,FALSE)</f>
        <v>MP-2</v>
      </c>
      <c r="S25" s="66">
        <f>VLOOKUP($B25,'Standards Crosswalk'!$A:$I,9,FALSE)</f>
        <v>0</v>
      </c>
    </row>
    <row r="26" spans="1:25" ht="31" thickBot="1" x14ac:dyDescent="0.2">
      <c r="A26" s="65">
        <f t="shared" si="1"/>
        <v>24</v>
      </c>
      <c r="B26" s="71" t="s">
        <v>192</v>
      </c>
      <c r="C26" s="72" t="str">
        <f>VLOOKUP(B26,'HECVAT - Full'!A:E,2,FALSE)</f>
        <v>Is it encrypted (at rest) while in the consultant's possession?</v>
      </c>
      <c r="D26" s="65">
        <f>VLOOKUP(B26,'HECVAT - Full'!A:E,4,FALSE)</f>
        <v>0</v>
      </c>
      <c r="E26" s="73" t="b">
        <f>IF(Table1[[#This Row],[Column11]]&gt;20,TRUE,FALSE)</f>
        <v>1</v>
      </c>
      <c r="F26" s="73" t="s">
        <v>93</v>
      </c>
      <c r="G26" s="74" t="s">
        <v>17</v>
      </c>
      <c r="H26" s="75">
        <f>IF(I25="Yes",1,0)</f>
        <v>0</v>
      </c>
      <c r="I26" s="65">
        <f>VLOOKUP(B26,'HECVAT - Full'!A:E,3,FALSE)</f>
        <v>0</v>
      </c>
      <c r="J26" s="65">
        <f>IF(Table1[[#This Row],[Column7]]=Table1[[#This Row],[Column9]],1,0)</f>
        <v>0</v>
      </c>
      <c r="K26" s="65" t="str">
        <f>IF(Table1[[#This Row],[Column8]]=1,25,"")</f>
        <v/>
      </c>
      <c r="L26" s="65" t="str">
        <f>IF(Table1[[#This Row],[Column8]]=1,J26*K26,"")</f>
        <v/>
      </c>
      <c r="M26" s="66" t="str">
        <f>VLOOKUP($B26,'Standards Crosswalk'!$A:$H,3,FALSE)</f>
        <v>CSC 13</v>
      </c>
      <c r="N26" s="66">
        <f>VLOOKUP($B26,'Standards Crosswalk'!$A:$H,4,FALSE)</f>
        <v>0</v>
      </c>
      <c r="O26" s="66" t="str">
        <f>VLOOKUP($B26,'Standards Crosswalk'!$A:$H,5,FALSE)</f>
        <v>10</v>
      </c>
      <c r="P26" s="66" t="str">
        <f>VLOOKUP($B26,'Standards Crosswalk'!$A:$H,6,FALSE)</f>
        <v>ID.AM-6, PR.AT-3</v>
      </c>
      <c r="Q26" s="66" t="str">
        <f>VLOOKUP($B26,'Standards Crosswalk'!$A:$H,7,FALSE)</f>
        <v>3.1.2, 3.1.19, 3.8.2</v>
      </c>
      <c r="R26" s="66" t="str">
        <f>VLOOKUP($B26,'Standards Crosswalk'!$A:$H,8,FALSE)</f>
        <v>MP-2</v>
      </c>
      <c r="S26" s="66">
        <f>VLOOKUP($B26,'Standards Crosswalk'!$A:$I,9,FALSE)</f>
        <v>0</v>
      </c>
    </row>
    <row r="27" spans="1:25" ht="46" thickBot="1" x14ac:dyDescent="0.2">
      <c r="A27" s="65">
        <f t="shared" si="1"/>
        <v>25</v>
      </c>
      <c r="B27" s="71" t="s">
        <v>193</v>
      </c>
      <c r="C27" s="72" t="str">
        <f>VLOOKUP(B27,'HECVAT - Full'!A:E,2,FALSE)</f>
        <v>Will the consultant need remote access to the Institution's network or systems?</v>
      </c>
      <c r="D27" s="65">
        <f>VLOOKUP(B27,'HECVAT - Full'!A:E,4,FALSE)</f>
        <v>0</v>
      </c>
      <c r="E27" s="73" t="b">
        <f>IF(Table1[[#This Row],[Column11]]&gt;20,TRUE,FALSE)</f>
        <v>1</v>
      </c>
      <c r="F27" s="73" t="s">
        <v>93</v>
      </c>
      <c r="G27" s="74" t="s">
        <v>20</v>
      </c>
      <c r="H27" s="75">
        <v>1</v>
      </c>
      <c r="I27" s="65">
        <f>VLOOKUP(B27,'HECVAT - Full'!A:E,3,FALSE)</f>
        <v>0</v>
      </c>
      <c r="J27" s="65">
        <f>IF(Table1[[#This Row],[Column7]]=Table1[[#This Row],[Column9]],1,0)</f>
        <v>0</v>
      </c>
      <c r="K27" s="65">
        <f>IF(Table1[[#This Row],[Column8]]=1,25,"")</f>
        <v>25</v>
      </c>
      <c r="L27" s="65">
        <f>IF(Table1[[#This Row],[Column8]]=1,J27*K27,"")</f>
        <v>0</v>
      </c>
      <c r="M27" s="66" t="str">
        <f>VLOOKUP($B27,'Standards Crosswalk'!$A:$H,3,FALSE)</f>
        <v>CSC 14</v>
      </c>
      <c r="N27" s="66">
        <f>VLOOKUP($B27,'Standards Crosswalk'!$A:$H,4,FALSE)</f>
        <v>0</v>
      </c>
      <c r="O27" s="66" t="str">
        <f>VLOOKUP($B27,'Standards Crosswalk'!$A:$H,5,FALSE)</f>
        <v>9</v>
      </c>
      <c r="P27" s="66" t="str">
        <f>VLOOKUP($B27,'Standards Crosswalk'!$A:$H,6,FALSE)</f>
        <v>ID.AM-6, PR.AT-3</v>
      </c>
      <c r="Q27" s="66">
        <f>VLOOKUP($B27,'Standards Crosswalk'!$A:$H,7,FALSE)</f>
        <v>0</v>
      </c>
      <c r="R27" s="66">
        <f>VLOOKUP($B27,'Standards Crosswalk'!$A:$H,8,FALSE)</f>
        <v>0</v>
      </c>
      <c r="S27" s="66">
        <f>VLOOKUP($B27,'Standards Crosswalk'!$A:$I,9,FALSE)</f>
        <v>0</v>
      </c>
    </row>
    <row r="28" spans="1:25" ht="31" thickBot="1" x14ac:dyDescent="0.2">
      <c r="A28" s="65">
        <f t="shared" si="1"/>
        <v>26</v>
      </c>
      <c r="B28" s="71" t="s">
        <v>194</v>
      </c>
      <c r="C28" s="72" t="str">
        <f>VLOOKUP(B28,'HECVAT - Full'!A:E,2,FALSE)</f>
        <v>Can we restrict that access based on source IP address?</v>
      </c>
      <c r="D28" s="65">
        <f>VLOOKUP(B28,'HECVAT - Full'!A:E,4,FALSE)</f>
        <v>0</v>
      </c>
      <c r="E28" s="73" t="b">
        <f>IF(Table1[[#This Row],[Column11]]&gt;20,TRUE,FALSE)</f>
        <v>1</v>
      </c>
      <c r="F28" s="73" t="s">
        <v>93</v>
      </c>
      <c r="G28" s="74" t="s">
        <v>17</v>
      </c>
      <c r="H28" s="75">
        <f>IF(I27="Yes",1,0)</f>
        <v>0</v>
      </c>
      <c r="I28" s="65">
        <f>VLOOKUP(B28,'HECVAT - Full'!A:E,3,FALSE)</f>
        <v>0</v>
      </c>
      <c r="J28" s="65">
        <f>IF(OR(Table1[[#This Row],[Column7]]=Table1[[#This Row],[Column9]],Table1[[#This Row],[Column9]]="N/A"),1,0)</f>
        <v>0</v>
      </c>
      <c r="K28" s="65" t="str">
        <f>IF(Table1[[#This Row],[Column8]]=1,20,"")</f>
        <v/>
      </c>
      <c r="L28" s="65" t="str">
        <f>IF(Table1[[#This Row],[Column8]]=1,J28*K28,"")</f>
        <v/>
      </c>
      <c r="M28" s="66">
        <f>VLOOKUP($B28,'Standards Crosswalk'!$A:$H,3,FALSE)</f>
        <v>0</v>
      </c>
      <c r="N28" s="66">
        <f>VLOOKUP($B28,'Standards Crosswalk'!$A:$H,4,FALSE)</f>
        <v>0</v>
      </c>
      <c r="O28" s="66" t="str">
        <f>VLOOKUP($B28,'Standards Crosswalk'!$A:$H,5,FALSE)</f>
        <v>9</v>
      </c>
      <c r="P28" s="66" t="str">
        <f>VLOOKUP($B28,'Standards Crosswalk'!$A:$H,6,FALSE)</f>
        <v>ID.AM-6, PR.AT-3</v>
      </c>
      <c r="Q28" s="66">
        <f>VLOOKUP($B28,'Standards Crosswalk'!$A:$H,7,FALSE)</f>
        <v>0</v>
      </c>
      <c r="R28" s="66">
        <f>VLOOKUP($B28,'Standards Crosswalk'!$A:$H,8,FALSE)</f>
        <v>0</v>
      </c>
      <c r="S28" s="66">
        <f>VLOOKUP($B28,'Standards Crosswalk'!$A:$I,9,FALSE)</f>
        <v>0</v>
      </c>
    </row>
    <row r="29" spans="1:25" ht="409.6" thickBot="1" x14ac:dyDescent="0.2">
      <c r="A29" s="65">
        <f t="shared" si="1"/>
        <v>27</v>
      </c>
      <c r="B29" s="71" t="s">
        <v>195</v>
      </c>
      <c r="C29" s="72" t="str">
        <f>VLOOKUP(B29,'HECVAT - Full'!A:E,2,FALSE)</f>
        <v>Do you support role-based access control (RBAC) for end-users?</v>
      </c>
      <c r="D29" s="65" t="str">
        <f>VLOOKUP(B29,'HECVAT - Full'!A:E,4,FALSE)</f>
        <v xml:space="preserve">User roles in Portfolium are permissions-based and can be managed by administrators with appropriate permissions. The Portfolium platform provides a multi-level security protocol enabled to a granular level. The system will be provisioned according to the institution's requirements to provide specific permissions and access as deemed appropriate. The system supports different roles for various users and will also allow users to review the assignments, artifacts and submissions in "private" mode if desired, allowing for the ability for complete anonymity. At any time, customers are control and can remove permissions or even add through a self-serve interface or their dedicated Customer Success Manager at Portfolium can quickly provision the environment change.
</v>
      </c>
      <c r="E29" s="73" t="b">
        <f>IF(Table1[[#This Row],[Column11]]&gt;20,TRUE,FALSE)</f>
        <v>1</v>
      </c>
      <c r="F29" s="80" t="s">
        <v>2029</v>
      </c>
      <c r="G29" s="74" t="s">
        <v>17</v>
      </c>
      <c r="H29" s="75">
        <v>1</v>
      </c>
      <c r="I29" s="65" t="str">
        <f>VLOOKUP(B29,'HECVAT - Full'!A:E,3,FALSE)</f>
        <v>Yes</v>
      </c>
      <c r="J29" s="65">
        <f>IF(Table1[[#This Row],[Column7]]=Table1[[#This Row],[Column9]],1,0)</f>
        <v>1</v>
      </c>
      <c r="K29" s="65">
        <f>IF(Table1[[#This Row],[Column8]]=1,25,"")</f>
        <v>25</v>
      </c>
      <c r="L29" s="65">
        <f>IF(Table1[[#This Row],[Column8]]=1,J29*K29,"")</f>
        <v>25</v>
      </c>
      <c r="M29" s="66" t="str">
        <f>VLOOKUP($B29,'Standards Crosswalk'!$A:$H,3,FALSE)</f>
        <v>CSC 18</v>
      </c>
      <c r="N29" s="66">
        <f>VLOOKUP($B29,'Standards Crosswalk'!$A:$H,4,FALSE)</f>
        <v>0</v>
      </c>
      <c r="O29" s="66">
        <f>VLOOKUP($B29,'Standards Crosswalk'!$A:$H,5,FALSE)</f>
        <v>0</v>
      </c>
      <c r="P29" s="66" t="str">
        <f>VLOOKUP($B29,'Standards Crosswalk'!$A:$H,6,FALSE)</f>
        <v>ID.AM-5</v>
      </c>
      <c r="Q29" s="66">
        <f>VLOOKUP($B29,'Standards Crosswalk'!$A:$H,7,FALSE)</f>
        <v>0</v>
      </c>
      <c r="R29" s="66">
        <f>VLOOKUP($B29,'Standards Crosswalk'!$A:$H,8,FALSE)</f>
        <v>0</v>
      </c>
      <c r="S29" s="66">
        <f>VLOOKUP($B29,'Standards Crosswalk'!$A:$I,9,FALSE)</f>
        <v>0</v>
      </c>
    </row>
    <row r="30" spans="1:25" ht="409.6" thickBot="1" x14ac:dyDescent="0.2">
      <c r="A30" s="65">
        <f t="shared" si="1"/>
        <v>28</v>
      </c>
      <c r="B30" s="71" t="s">
        <v>196</v>
      </c>
      <c r="C30" s="72" t="str">
        <f>VLOOKUP(B30,'HECVAT - Full'!A:E,2,FALSE)</f>
        <v>Do you support role-based access control (RBAC) for system administrators?</v>
      </c>
      <c r="D30" s="65" t="str">
        <f>VLOOKUP(B30,'HECVAT - Full'!A:E,4,FALSE)</f>
        <v xml:space="preserve">Portfolium limits the number of system administrators with this level of access to only those who are vetted, capable, skilled, and authorized  to have this level of access. While the answer in the HECVAT is "No", "system administrator" is a role that has all of the access required to administer these systems, and those permissions are appropriate for this type of role, which is applied to this small group of people. 
</v>
      </c>
      <c r="E30" s="73" t="b">
        <f>IF(Table1[[#This Row],[Column11]]&gt;20,TRUE,FALSE)</f>
        <v>1</v>
      </c>
      <c r="F30" s="80" t="s">
        <v>2029</v>
      </c>
      <c r="G30" s="74" t="s">
        <v>17</v>
      </c>
      <c r="H30" s="75">
        <v>1</v>
      </c>
      <c r="I30" s="65" t="str">
        <f>VLOOKUP(B30,'HECVAT - Full'!A:E,3,FALSE)</f>
        <v>No</v>
      </c>
      <c r="J30" s="65">
        <f>IF(Table1[[#This Row],[Column7]]=Table1[[#This Row],[Column9]],1,0)</f>
        <v>0</v>
      </c>
      <c r="K30" s="65">
        <f>IF(Table1[[#This Row],[Column8]]=1,25,"")</f>
        <v>25</v>
      </c>
      <c r="L30" s="65">
        <f>IF(Table1[[#This Row],[Column8]]=1,J30*K30,"")</f>
        <v>0</v>
      </c>
      <c r="M30" s="66" t="str">
        <f>VLOOKUP($B30,'Standards Crosswalk'!$A:$H,3,FALSE)</f>
        <v>CSC 2, CSC 3</v>
      </c>
      <c r="N30" s="66">
        <f>VLOOKUP($B30,'Standards Crosswalk'!$A:$H,4,FALSE)</f>
        <v>0</v>
      </c>
      <c r="O30" s="66" t="str">
        <f>VLOOKUP($B30,'Standards Crosswalk'!$A:$H,5,FALSE)</f>
        <v>11.2.6</v>
      </c>
      <c r="P30" s="66" t="str">
        <f>VLOOKUP($B30,'Standards Crosswalk'!$A:$H,6,FALSE)</f>
        <v>ID.AM-5</v>
      </c>
      <c r="Q30" s="66">
        <f>VLOOKUP($B30,'Standards Crosswalk'!$A:$H,7,FALSE)</f>
        <v>0</v>
      </c>
      <c r="R30" s="66">
        <f>VLOOKUP($B30,'Standards Crosswalk'!$A:$H,8,FALSE)</f>
        <v>0</v>
      </c>
      <c r="S30" s="66">
        <f>VLOOKUP($B30,'Standards Crosswalk'!$A:$I,9,FALSE)</f>
        <v>0</v>
      </c>
    </row>
    <row r="31" spans="1:25" ht="409.6" thickBot="1" x14ac:dyDescent="0.2">
      <c r="A31" s="65">
        <f t="shared" si="1"/>
        <v>29</v>
      </c>
      <c r="B31" s="71" t="s">
        <v>539</v>
      </c>
      <c r="C31" s="72" t="str">
        <f>VLOOKUP(B31,'HECVAT - Full'!A:E,2,FALSE)</f>
        <v>Can employees access customer data remotely?</v>
      </c>
      <c r="D31" s="65" t="str">
        <f>VLOOKUP(B31,'HECVAT - Full'!A:E,4,FALSE)</f>
        <v xml:space="preserve">Instructure employees may have access to client data remotely in order perform their duties. As part of our commitment to security, however, Instructure is dedicated to keeping our employees up-to-date and informed of the latest industry developments and practices. This includes ongoing training through Bridge, Instructure’s cloud-based learning and training management system, as well as a documented approach to onboarding which requires all new employees to read, understand, and sign the Family Educational Rights and Privacy Act (FERPA) and Children's Online Privacy Protection Act (COPPA) compliance forms.
Moreover, Instructure's information security policies address acceptable use for computers, email, and the internet by employees, and employees take an annual security training that explains employee responsibilities for maintaining a safe and secure working environment.
Instructure maintains security policies that are based on the guidance provided by International Organization for Standardization's (ISO) 27000 suite of standards.
</v>
      </c>
      <c r="E31" s="73" t="b">
        <f>IF(Table1[[#This Row],[Column11]]&gt;20,TRUE,FALSE)</f>
        <v>0</v>
      </c>
      <c r="F31" s="80" t="s">
        <v>2029</v>
      </c>
      <c r="G31" s="74" t="s">
        <v>17</v>
      </c>
      <c r="H31" s="75">
        <v>1</v>
      </c>
      <c r="I31" s="65" t="str">
        <f>VLOOKUP(B31,'HECVAT - Full'!A:E,3,FALSE)</f>
        <v>Yes</v>
      </c>
      <c r="J31" s="65">
        <f>IF(Table1[[#This Row],[Column7]]=Table1[[#This Row],[Column9]],1,0)</f>
        <v>1</v>
      </c>
      <c r="K31" s="65">
        <f>IF(Table1[[#This Row],[Column8]]=1,20,"")</f>
        <v>20</v>
      </c>
      <c r="L31" s="65">
        <f>IF(Table1[[#This Row],[Column8]]=1,J31*K31,"")</f>
        <v>20</v>
      </c>
      <c r="M31" s="66" t="str">
        <f>VLOOKUP($B31,'Standards Crosswalk'!$A:$H,3,FALSE)</f>
        <v>CSC 14</v>
      </c>
      <c r="N31" s="66">
        <f>VLOOKUP($B31,'Standards Crosswalk'!$A:$H,4,FALSE)</f>
        <v>0</v>
      </c>
      <c r="O31" s="66">
        <f>VLOOKUP($B31,'Standards Crosswalk'!$A:$H,5,FALSE)</f>
        <v>6.2</v>
      </c>
      <c r="P31" s="66" t="str">
        <f>VLOOKUP($B31,'Standards Crosswalk'!$A:$H,6,FALSE)</f>
        <v>PR.AC-3, PR.MA-2</v>
      </c>
      <c r="Q31" s="66" t="str">
        <f>VLOOKUP($B31,'Standards Crosswalk'!$A:$H,7,FALSE)</f>
        <v>3.1.2</v>
      </c>
      <c r="R31" s="66" t="str">
        <f>VLOOKUP($B31,'Standards Crosswalk'!$A:$H,8,FALSE)</f>
        <v>AC-17; NIST SP 800-46</v>
      </c>
      <c r="S31" s="66" t="str">
        <f>VLOOKUP($B31,'Standards Crosswalk'!$A:$I,9,FALSE)</f>
        <v>7.x</v>
      </c>
    </row>
    <row r="32" spans="1:25" ht="409.6" thickBot="1" x14ac:dyDescent="0.2">
      <c r="A32" s="65">
        <f t="shared" si="1"/>
        <v>30</v>
      </c>
      <c r="B32" s="71" t="s">
        <v>197</v>
      </c>
      <c r="C32" s="72" t="str">
        <f>VLOOKUP(B32,'HECVAT - Full'!A:E,2,FALSE)</f>
        <v>Can you provide overall system and/or application architecture diagrams including a full description of the data communications architecture for all components of the system?</v>
      </c>
      <c r="D32" s="65" t="str">
        <f>VLOOKUP(B32,'HECVAT - Full'!A:E,4,FALSE)</f>
        <v xml:space="preserve">AWS Cloud Infrastructure
Portfolium is hosted with Amazon Web Services (AWS). The AWS Cloud infrastructure is built around Regions and Availability Zones (AZs). AWS Regions provide multiple, physically separated and isolated Availability Zones which are connected with low latency, high throughput, and highly redundant networking. These Availability Zones allow Portfolium to efficiently design and operate its applications and databases, making them more highly available, fault tolerant, and scalable than traditional single datacenter infrastructures or multi-datacenter infrastructures.
Network Architecture
Portfolium utilizes Amazon VPC (Virtual Private Cloud) to isolate and control access, both into and out of its network. On top of the AWS network, all DNS traffic is routed through CloudFlare’s world-renowned private DNS network, enhancing performance and security as it prevents DDoS and other known attacks.
[IMG] (https://lh5.googleusercontent.com/NqdeJ4CeOM4zqDKRxEWuA1xnJQHVGEAv4v9VTWrSA0b2yVIfzzEAYZwfBruo9uxjVYe3LSWbVZObKihoMJfjrA6hl6aMBi22oqDUVm0SVj4_r7pZHckjX959IlAWMatPBE7E98Hx)
Data Storage with Amazon S3
Portfolium utilizes Amazon S3 (Simple Storage Service) to store user-uploaded artifacts (documents, images, etc.). Amazon S3 provides a highly durable storage infrastructure designed for mission-critical and primary data storage. Objects are redundantly stored on multiple devices across multiple facilities in an Amazon S3 region. 
Amazon S3 also regularly verifies the integrity of data stored using checksums. If Amazon S3 detects data corruption, it is repaired using redundant data. In addition, Amazon S3 calculates checksums on all network traffic to detect corruption of data packets when storing or retrieving data.
Amazon S3's standard storage is:
    • Backed with the Amazon S3 Service Level Agreement
    • Designed to provide 99.999999999% durability and 99.99% availability of objects over a given year
    • Designed to sustain the concurrent loss of data in two facilities
Physical and Network Security
The physical security is handled at the AWS data centers by their security teams.
Our virtual security is handled by AWS VPC (virtual private cloud). There are policies that lock everything down from networking ports to IP access. Only port 80 is open on the web servers, and only 22 is open on our gateway SSH servers.
For software security, we implement the latest web security practices such as CSRF protected form posts, one-way salted &amp; hashed password storage, database escaping policies, XSS output protection, etc. This covers our servers and database.
Additional information is found at https://portfolium.com/security
</v>
      </c>
      <c r="E32" s="73" t="b">
        <f>IF(Table1[[#This Row],[Column11]]&gt;20,TRUE,FALSE)</f>
        <v>0</v>
      </c>
      <c r="F32" s="80" t="s">
        <v>2029</v>
      </c>
      <c r="G32" s="74" t="s">
        <v>17</v>
      </c>
      <c r="H32" s="75">
        <v>1</v>
      </c>
      <c r="I32" s="65" t="str">
        <f>VLOOKUP(B32,'HECVAT - Full'!A:E,3,FALSE)</f>
        <v>Yes</v>
      </c>
      <c r="J32" s="65">
        <f>IF(Table1[[#This Row],[Column7]]=Table1[[#This Row],[Column9]],1,0)</f>
        <v>1</v>
      </c>
      <c r="K32" s="65">
        <f>IF(Table1[[#This Row],[Column8]]=1,20,"")</f>
        <v>20</v>
      </c>
      <c r="L32" s="65">
        <f>IF(Table1[[#This Row],[Column8]]=1,J32*K32,"")</f>
        <v>20</v>
      </c>
      <c r="M32" s="66" t="str">
        <f>VLOOKUP($B32,'Standards Crosswalk'!$A:$H,3,FALSE)</f>
        <v>CSC16</v>
      </c>
      <c r="N32" s="66">
        <f>VLOOKUP($B32,'Standards Crosswalk'!$A:$H,4,FALSE)</f>
        <v>0</v>
      </c>
      <c r="O32" s="66" t="str">
        <f>VLOOKUP($B32,'Standards Crosswalk'!$A:$H,5,FALSE)</f>
        <v>9.1.1</v>
      </c>
      <c r="P32" s="66" t="str">
        <f>VLOOKUP($B32,'Standards Crosswalk'!$A:$H,6,FALSE)</f>
        <v>PR.AC-4, PR.PT-3</v>
      </c>
      <c r="Q32" s="66" t="str">
        <f>VLOOKUP($B32,'Standards Crosswalk'!$A:$H,7,FALSE)</f>
        <v>3.4.9</v>
      </c>
      <c r="R32" s="66" t="str">
        <f>VLOOKUP($B32,'Standards Crosswalk'!$A:$H,8,FALSE)</f>
        <v>CM-11</v>
      </c>
      <c r="S32" s="66" t="str">
        <f>VLOOKUP($B32,'Standards Crosswalk'!$A:$I,9,FALSE)</f>
        <v>7.x</v>
      </c>
    </row>
    <row r="33" spans="1:19" ht="409.6" thickBot="1" x14ac:dyDescent="0.2">
      <c r="A33" s="65">
        <f t="shared" si="1"/>
        <v>31</v>
      </c>
      <c r="B33" s="71" t="s">
        <v>198</v>
      </c>
      <c r="C33" s="72" t="str">
        <f>VLOOKUP(B33,'HECVAT - Full'!A:E,2,FALSE)</f>
        <v xml:space="preserve">Does the system provide data input validation and error messages? </v>
      </c>
      <c r="D33" s="65" t="str">
        <f>VLOOKUP(B33,'HECVAT - Full'!A:E,4,FALSE)</f>
        <v xml:space="preserve">Where specific data input is required, such as a date, word, or number is required, Portfolium is capable of validating the data. Error messages related to the discrepancy will be displayed for the user. Portfolium is built to be simple and gives users all the resources they need to navigate the system efficiently.
</v>
      </c>
      <c r="E33" s="73" t="b">
        <f>IF(Table1[[#This Row],[Column11]]&gt;20,TRUE,FALSE)</f>
        <v>0</v>
      </c>
      <c r="F33" s="80" t="s">
        <v>2029</v>
      </c>
      <c r="G33" s="74" t="s">
        <v>17</v>
      </c>
      <c r="H33" s="75">
        <v>1</v>
      </c>
      <c r="I33" s="65" t="str">
        <f>VLOOKUP(B33,'HECVAT - Full'!A:E,3,FALSE)</f>
        <v>Yes</v>
      </c>
      <c r="J33" s="65">
        <f>IF(Table1[[#This Row],[Column7]]=Table1[[#This Row],[Column9]],1,0)</f>
        <v>1</v>
      </c>
      <c r="K33" s="65">
        <f>IF(Table1[[#This Row],[Column8]]=1,20,"")</f>
        <v>20</v>
      </c>
      <c r="L33" s="65">
        <f>IF(Table1[[#This Row],[Column8]]=1,J33*K33,"")</f>
        <v>20</v>
      </c>
      <c r="M33" s="66" t="str">
        <f>VLOOKUP($B33,'Standards Crosswalk'!$A:$H,3,FALSE)</f>
        <v>CSC 18</v>
      </c>
      <c r="N33" s="66">
        <f>VLOOKUP($B33,'Standards Crosswalk'!$A:$H,4,FALSE)</f>
        <v>0</v>
      </c>
      <c r="O33" s="66">
        <f>VLOOKUP($B33,'Standards Crosswalk'!$A:$H,5,FALSE)</f>
        <v>0</v>
      </c>
      <c r="P33" s="66" t="str">
        <f>VLOOKUP($B33,'Standards Crosswalk'!$A:$H,6,FALSE)</f>
        <v>ID.AM-5</v>
      </c>
      <c r="Q33" s="66">
        <f>VLOOKUP($B33,'Standards Crosswalk'!$A:$H,7,FALSE)</f>
        <v>0</v>
      </c>
      <c r="R33" s="66">
        <f>VLOOKUP($B33,'Standards Crosswalk'!$A:$H,8,FALSE)</f>
        <v>0</v>
      </c>
      <c r="S33" s="66">
        <f>VLOOKUP($B33,'Standards Crosswalk'!$A:$I,9,FALSE)</f>
        <v>0</v>
      </c>
    </row>
    <row r="34" spans="1:19" ht="409.6" thickBot="1" x14ac:dyDescent="0.2">
      <c r="A34" s="65">
        <f t="shared" si="1"/>
        <v>32</v>
      </c>
      <c r="B34" s="71" t="s">
        <v>199</v>
      </c>
      <c r="C34" s="72" t="str">
        <f>VLOOKUP(B34,'HECVAT - Full'!A:E,2,FALSE)</f>
        <v xml:space="preserve">Do you employ a single-tenant environment? </v>
      </c>
      <c r="D34" s="65" t="str">
        <f>VLOOKUP(B34,'HECVAT - Full'!A:E,4,FALSE)</f>
        <v xml:space="preserve">Data is separated natively with Amazon Web Services multi-tenant software. Multi-tenancy is regarded as one of the essential attributes of cloud computing and ensures that data is secure and logically separated from other institutions.
</v>
      </c>
      <c r="E34" s="73" t="b">
        <f>IF(Table1[[#This Row],[Column11]]&gt;20,TRUE,FALSE)</f>
        <v>1</v>
      </c>
      <c r="F34" s="80" t="s">
        <v>2029</v>
      </c>
      <c r="G34" s="74" t="s">
        <v>17</v>
      </c>
      <c r="H34" s="75">
        <v>1</v>
      </c>
      <c r="I34" s="65" t="str">
        <f>VLOOKUP(B34,'HECVAT - Full'!A:E,3,FALSE)</f>
        <v>No</v>
      </c>
      <c r="J34" s="65">
        <f>IF(Table1[[#This Row],[Column7]]=Table1[[#This Row],[Column9]],1,0)</f>
        <v>0</v>
      </c>
      <c r="K34" s="65">
        <f>IF(Table1[[#This Row],[Column8]]=1,25,"")</f>
        <v>25</v>
      </c>
      <c r="L34" s="65">
        <f>IF(Table1[[#This Row],[Column8]]=1,J34*K34,"")</f>
        <v>0</v>
      </c>
      <c r="M34" s="66" t="str">
        <f>VLOOKUP($B34,'Standards Crosswalk'!$A:$H,3,FALSE)</f>
        <v>CSC 12</v>
      </c>
      <c r="N34" s="66">
        <f>VLOOKUP($B34,'Standards Crosswalk'!$A:$H,4,FALSE)</f>
        <v>0</v>
      </c>
      <c r="O34" s="66">
        <f>VLOOKUP($B34,'Standards Crosswalk'!$A:$H,5,FALSE)</f>
        <v>6.2</v>
      </c>
      <c r="P34" s="66" t="str">
        <f>VLOOKUP($B34,'Standards Crosswalk'!$A:$H,6,FALSE)</f>
        <v>PR.PT-3</v>
      </c>
      <c r="Q34" s="66" t="str">
        <f>VLOOKUP($B34,'Standards Crosswalk'!$A:$H,7,FALSE)</f>
        <v>3.1.12, 3.1.13, 3.1.14, 3.1.14, 3.1.15, 3.1.8, 3.1.20, 3.7.5, 3.8.2, 3.13.7</v>
      </c>
      <c r="R34" s="66" t="str">
        <f>VLOOKUP($B34,'Standards Crosswalk'!$A:$H,8,FALSE)</f>
        <v>AC-3, CM-7; NIST SP 800-46</v>
      </c>
      <c r="S34" s="66">
        <f>VLOOKUP($B34,'Standards Crosswalk'!$A:$I,9,FALSE)</f>
        <v>0</v>
      </c>
    </row>
    <row r="35" spans="1:19" ht="409.6" thickBot="1" x14ac:dyDescent="0.2">
      <c r="A35" s="65">
        <f t="shared" si="1"/>
        <v>33</v>
      </c>
      <c r="B35" s="71" t="s">
        <v>200</v>
      </c>
      <c r="C35" s="72" t="str">
        <f>VLOOKUP(B35,'HECVAT - Full'!A:E,2,FALSE)</f>
        <v>What operating system(s) is/are leveraged by the system(s)/application(s) that will have access to institution's data?</v>
      </c>
      <c r="D35" s="65">
        <f>VLOOKUP(B35,'HECVAT - Full'!A:E,4,FALSE)</f>
        <v>0</v>
      </c>
      <c r="E35" s="73" t="b">
        <f>IF(Table1[[#This Row],[Column11]]&gt;20,TRUE,FALSE)</f>
        <v>0</v>
      </c>
      <c r="F35" s="80" t="s">
        <v>2029</v>
      </c>
      <c r="G35" s="74"/>
      <c r="H35" s="75">
        <v>1</v>
      </c>
      <c r="I35" s="65" t="str">
        <f>VLOOKUP(B35,'HECVAT - Full'!A:E,3,FALSE)</f>
        <v xml:space="preserve">Portfolium utilizes the Debian-based Linux operating system on all servers which make up the Portfolium platform. Instructure employees use various operating systems, including Mac OS, Windows, and Linux, to support and service the application. Employee devices are managed through an MDM platform.
</v>
      </c>
      <c r="J35" s="65">
        <f>IF(VLOOKUP(Table1[[#This Row],[Column2]],'Analyst Report'!$A$41:$G$88,7,FALSE)="Yes",1,0)</f>
        <v>0</v>
      </c>
      <c r="K35" s="65">
        <f>IF(Table1[[#This Row],[Column8]]=1,20,"")</f>
        <v>20</v>
      </c>
      <c r="L35" s="65">
        <f>IF(Table1[[#This Row],[Column8]]=1,J35*K35,"")</f>
        <v>0</v>
      </c>
      <c r="M35" s="66" t="str">
        <f>VLOOKUP($B35,'Standards Crosswalk'!$A:$H,3,FALSE)</f>
        <v>CSC 2</v>
      </c>
      <c r="N35" s="66">
        <f>VLOOKUP($B35,'Standards Crosswalk'!$A:$H,4,FALSE)</f>
        <v>0</v>
      </c>
      <c r="O35" s="66" t="str">
        <f>VLOOKUP($B35,'Standards Crosswalk'!$A:$H,5,FALSE)</f>
        <v>12.5.1</v>
      </c>
      <c r="P35" s="66" t="str">
        <f>VLOOKUP($B35,'Standards Crosswalk'!$A:$H,6,FALSE)</f>
        <v>PR.PT-3</v>
      </c>
      <c r="Q35" s="66">
        <f>VLOOKUP($B35,'Standards Crosswalk'!$A:$H,7,FALSE)</f>
        <v>0</v>
      </c>
      <c r="R35" s="66" t="str">
        <f>VLOOKUP($B35,'Standards Crosswalk'!$A:$H,8,FALSE)</f>
        <v>AC-17; NIST SP 800-46</v>
      </c>
      <c r="S35" s="66">
        <f>VLOOKUP($B35,'Standards Crosswalk'!$A:$I,9,FALSE)</f>
        <v>0</v>
      </c>
    </row>
    <row r="36" spans="1:19" ht="61" thickBot="1" x14ac:dyDescent="0.2">
      <c r="A36" s="65">
        <f t="shared" si="1"/>
        <v>34</v>
      </c>
      <c r="B36" s="71" t="s">
        <v>201</v>
      </c>
      <c r="C36" s="72" t="str">
        <f>VLOOKUP(B36,'HECVAT - Full'!A:E,2,FALSE)</f>
        <v>Have you or any third party you contract with that may have access or allow access to the institution's data experienced a breach?</v>
      </c>
      <c r="D36" s="65">
        <f>VLOOKUP(B36,'HECVAT - Full'!A:E,4,FALSE)</f>
        <v>0</v>
      </c>
      <c r="E36" s="73" t="b">
        <f>IF(Table1[[#This Row],[Column11]]&gt;20,TRUE,FALSE)</f>
        <v>1</v>
      </c>
      <c r="F36" s="80" t="s">
        <v>2029</v>
      </c>
      <c r="G36" s="74" t="s">
        <v>20</v>
      </c>
      <c r="H36" s="75">
        <v>1</v>
      </c>
      <c r="I36" s="65" t="str">
        <f>VLOOKUP(B36,'HECVAT - Full'!A:E,3,FALSE)</f>
        <v>No</v>
      </c>
      <c r="J36" s="65">
        <f>IF(Table1[[#This Row],[Column7]]=Table1[[#This Row],[Column9]],1,0)</f>
        <v>1</v>
      </c>
      <c r="K36" s="65">
        <f>IF(Table1[[#This Row],[Column8]]=1,25,"")</f>
        <v>25</v>
      </c>
      <c r="L36" s="65">
        <f>IF(Table1[[#This Row],[Column8]]=1,J36*K36,"")</f>
        <v>25</v>
      </c>
      <c r="M36" s="66">
        <f>VLOOKUP($B36,'Standards Crosswalk'!$A:$H,3,FALSE)</f>
        <v>0</v>
      </c>
      <c r="N36" s="66">
        <f>VLOOKUP($B36,'Standards Crosswalk'!$A:$H,4,FALSE)</f>
        <v>0</v>
      </c>
      <c r="O36" s="66">
        <f>VLOOKUP($B36,'Standards Crosswalk'!$A:$H,5,FALSE)</f>
        <v>16</v>
      </c>
      <c r="P36" s="66">
        <f>VLOOKUP($B36,'Standards Crosswalk'!$A:$H,6,FALSE)</f>
        <v>0</v>
      </c>
      <c r="Q36" s="66">
        <f>VLOOKUP($B36,'Standards Crosswalk'!$A:$H,7,FALSE)</f>
        <v>0</v>
      </c>
      <c r="R36" s="66">
        <f>VLOOKUP($B36,'Standards Crosswalk'!$A:$H,8,FALSE)</f>
        <v>0</v>
      </c>
      <c r="S36" s="66" t="str">
        <f>VLOOKUP($B36,'Standards Crosswalk'!$A:$I,9,FALSE)</f>
        <v>12.8, 4.2</v>
      </c>
    </row>
    <row r="37" spans="1:19" ht="409.6" thickBot="1" x14ac:dyDescent="0.2">
      <c r="A37" s="65">
        <f t="shared" si="1"/>
        <v>35</v>
      </c>
      <c r="B37" s="71" t="s">
        <v>202</v>
      </c>
      <c r="C37" s="72" t="str">
        <f>VLOOKUP(B37,'HECVAT - Full'!A:E,2,FALSE)</f>
        <v xml:space="preserve">Describe or provide a reference to additional software/products necessary to implement a functional system on either the backend or user-interface side of the system. </v>
      </c>
      <c r="D37" s="65">
        <f>VLOOKUP(B37,'HECVAT - Full'!A:E,4,FALSE)</f>
        <v>0</v>
      </c>
      <c r="E37" s="73" t="b">
        <f>IF(Table1[[#This Row],[Column11]]&gt;20,TRUE,FALSE)</f>
        <v>0</v>
      </c>
      <c r="F37" s="80" t="s">
        <v>2029</v>
      </c>
      <c r="G37" s="74"/>
      <c r="H37" s="75">
        <v>1</v>
      </c>
      <c r="I37" s="65" t="str">
        <f>VLOOKUP(B37,'HECVAT - Full'!A:E,3,FALSE)</f>
        <v xml:space="preserve">Portfolium does not require any additional products to support the core software functionality. Portfolium is a Software-as-a-Service and therefore its only requirements are an internet connection and a browser-enabled computer or mobile device.
</v>
      </c>
      <c r="J37" s="65">
        <f>IF(VLOOKUP(Table1[[#This Row],[Column2]],'Analyst Report'!$A$41:$G$88,7,FALSE)="Yes",1,0)</f>
        <v>0</v>
      </c>
      <c r="K37" s="65">
        <f>IF(Table1[[#This Row],[Column8]]=1,15,"")</f>
        <v>15</v>
      </c>
      <c r="L37" s="65">
        <f>IF(Table1[[#This Row],[Column8]]=1,J37*K37,"")</f>
        <v>0</v>
      </c>
      <c r="M37" s="66" t="str">
        <f>VLOOKUP($B37,'Standards Crosswalk'!$A:$H,3,FALSE)</f>
        <v>CSC 2</v>
      </c>
      <c r="N37" s="66">
        <f>VLOOKUP($B37,'Standards Crosswalk'!$A:$H,4,FALSE)</f>
        <v>0</v>
      </c>
      <c r="O37" s="66" t="str">
        <f>VLOOKUP($B37,'Standards Crosswalk'!$A:$H,5,FALSE)</f>
        <v>12.5.1</v>
      </c>
      <c r="P37" s="66" t="str">
        <f>VLOOKUP($B37,'Standards Crosswalk'!$A:$H,6,FALSE)</f>
        <v>ID.AM-2</v>
      </c>
      <c r="Q37" s="66">
        <f>VLOOKUP($B37,'Standards Crosswalk'!$A:$H,7,FALSE)</f>
        <v>0</v>
      </c>
      <c r="R37" s="66">
        <f>VLOOKUP($B37,'Standards Crosswalk'!$A:$H,8,FALSE)</f>
        <v>0</v>
      </c>
      <c r="S37" s="66">
        <f>VLOOKUP($B37,'Standards Crosswalk'!$A:$I,9,FALSE)</f>
        <v>0</v>
      </c>
    </row>
    <row r="38" spans="1:19" ht="409.6" thickBot="1" x14ac:dyDescent="0.2">
      <c r="A38" s="65">
        <f t="shared" si="1"/>
        <v>36</v>
      </c>
      <c r="B38" s="71" t="s">
        <v>203</v>
      </c>
      <c r="C38" s="72" t="str">
        <f>VLOOKUP(B38,'HECVAT - Full'!A:E,2,FALSE)</f>
        <v xml:space="preserve">Describe or provide a reference to the overall system and/or application architecture(s), including appropriate diagrams. Include a full description of the data communications architecture for all components of the system. </v>
      </c>
      <c r="D38" s="65">
        <f>VLOOKUP(B38,'HECVAT - Full'!A:E,4,FALSE)</f>
        <v>0</v>
      </c>
      <c r="E38" s="73" t="b">
        <f>IF(Table1[[#This Row],[Column11]]&gt;20,TRUE,FALSE)</f>
        <v>1</v>
      </c>
      <c r="F38" s="80" t="s">
        <v>2029</v>
      </c>
      <c r="G38" s="74"/>
      <c r="H38" s="75">
        <v>1</v>
      </c>
      <c r="I38" s="65" t="str">
        <f>VLOOKUP(B38,'HECVAT - Full'!A:E,3,FALSE)</f>
        <v xml:space="preserve">Data Storage with Amazon S3
Portfolium utilizes Amazon S3 (Simple Storage Service) to store user-uploaded artifacts (documents, images, etc.). Amazon S3 provides a highly durable storage infrastructure designed for mission-critical and primary data storage. Objects are redundantly stored on multiple devices across multiple facilities in an Amazon S3 region. 
Amazon S3 also regularly verifies the integrity of data stored using checksums. If Amazon S3 detects data corruption, it is repaired using redundant data. In addition, Amazon S3 calculates checksums on all network traffic to detect corruption of data packets when storing or retrieving data.
Amazon S3's standard storage is:
    • Backed with the Amazon S3 Service Level Agreement
    • Designed to provide 99.999999999% durability and 99.99% availability of objects over a given year
    • Designed to sustain the concurrent loss of data in two facilities
Physical and Network Security
The physical security is handled at the AWS data centers by their security teams.
Our virtual security is handled by AWS VPC (virtual private cloud). There are policies that lock everything down from networking ports to IP access. Only port 80 is open on the web servers, and only 22 is open on our gateway SSH servers.
For software security, we implement the latest web security practices such as CSRF protected form posts, one-way salted &amp; hashed password storage, database escaping policies, XSS output protection, etc. This covers our servers and database.
Additional information is found at https://portfolium.com/security
</v>
      </c>
      <c r="J38" s="65">
        <f>IF(VLOOKUP(Table1[[#This Row],[Column2]],'Analyst Report'!$A$41:$G$88,7,FALSE)="Yes",1,0)</f>
        <v>0</v>
      </c>
      <c r="K38" s="65">
        <f>IF(Table1[[#This Row],[Column8]]=1,25,"")</f>
        <v>25</v>
      </c>
      <c r="L38" s="65">
        <f>IF(Table1[[#This Row],[Column8]]=1,J38*K38,"")</f>
        <v>0</v>
      </c>
      <c r="M38" s="66" t="str">
        <f>VLOOKUP($B38,'Standards Crosswalk'!$A:$H,3,FALSE)</f>
        <v>CSC 2</v>
      </c>
      <c r="N38" s="66">
        <f>VLOOKUP($B38,'Standards Crosswalk'!$A:$H,4,FALSE)</f>
        <v>0</v>
      </c>
      <c r="O38" s="66" t="str">
        <f>VLOOKUP($B38,'Standards Crosswalk'!$A:$H,5,FALSE)</f>
        <v>12.1.1</v>
      </c>
      <c r="P38" s="66" t="str">
        <f>VLOOKUP($B38,'Standards Crosswalk'!$A:$H,6,FALSE)</f>
        <v>ID.AM-1, ID.AM-2, ID.AM-4</v>
      </c>
      <c r="Q38" s="66">
        <f>VLOOKUP($B38,'Standards Crosswalk'!$A:$H,7,FALSE)</f>
        <v>0</v>
      </c>
      <c r="R38" s="66" t="str">
        <f>VLOOKUP($B38,'Standards Crosswalk'!$A:$H,8,FALSE)</f>
        <v>CA-9, SC-4</v>
      </c>
      <c r="S38" s="66">
        <f>VLOOKUP($B38,'Standards Crosswalk'!$A:$I,9,FALSE)</f>
        <v>2.4</v>
      </c>
    </row>
    <row r="39" spans="1:19" ht="409.6" thickBot="1" x14ac:dyDescent="0.2">
      <c r="A39" s="65">
        <f t="shared" si="1"/>
        <v>37</v>
      </c>
      <c r="B39" s="71" t="s">
        <v>204</v>
      </c>
      <c r="C39" s="72" t="str">
        <f>VLOOKUP(B39,'HECVAT - Full'!A:E,2,FALSE)</f>
        <v>Are databases used in the system segregated from front-end systems? (e.g. web and application servers)</v>
      </c>
      <c r="D39" s="65" t="str">
        <f>VLOOKUP(B39,'HECVAT - Full'!A:E,4,FALSE)</f>
        <v xml:space="preserve">Portfolium's databases and servers are segregated from front end systems. We use API servers and AWS RDS for databases. Portfolium uses an n-tiered architecture. 
</v>
      </c>
      <c r="E39" s="73" t="b">
        <f>IF(Table1[[#This Row],[Column11]]&gt;20,TRUE,FALSE)</f>
        <v>1</v>
      </c>
      <c r="F39" s="80" t="s">
        <v>2029</v>
      </c>
      <c r="G39" s="74" t="s">
        <v>17</v>
      </c>
      <c r="H39" s="75">
        <v>1</v>
      </c>
      <c r="I39" s="65" t="str">
        <f>VLOOKUP(B39,'HECVAT - Full'!A:E,3,FALSE)</f>
        <v>Yes</v>
      </c>
      <c r="J39" s="65">
        <f>IF(Table1[[#This Row],[Column7]]=Table1[[#This Row],[Column9]],1,0)</f>
        <v>1</v>
      </c>
      <c r="K39" s="65">
        <f>IF(Table1[[#This Row],[Column8]]=1,40,"")</f>
        <v>40</v>
      </c>
      <c r="L39" s="65">
        <f>IF(Table1[[#This Row],[Column8]]=1,J39*K39,"")</f>
        <v>40</v>
      </c>
      <c r="M39" s="66" t="str">
        <f>VLOOKUP($B39,'Standards Crosswalk'!$A:$H,3,FALSE)</f>
        <v>CSC 13</v>
      </c>
      <c r="N39" s="66">
        <f>VLOOKUP($B39,'Standards Crosswalk'!$A:$H,4,FALSE)</f>
        <v>0</v>
      </c>
      <c r="O39" s="66" t="str">
        <f>VLOOKUP($B39,'Standards Crosswalk'!$A:$H,5,FALSE)</f>
        <v>12.1.4</v>
      </c>
      <c r="P39" s="66">
        <f>VLOOKUP($B39,'Standards Crosswalk'!$A:$H,6,FALSE)</f>
        <v>0</v>
      </c>
      <c r="Q39" s="66">
        <f>VLOOKUP($B39,'Standards Crosswalk'!$A:$H,7,FALSE)</f>
        <v>0</v>
      </c>
      <c r="R39" s="66">
        <f>VLOOKUP($B39,'Standards Crosswalk'!$A:$H,8,FALSE)</f>
        <v>0</v>
      </c>
      <c r="S39" s="66">
        <f>VLOOKUP($B39,'Standards Crosswalk'!$A:$I,9,FALSE)</f>
        <v>0</v>
      </c>
    </row>
    <row r="40" spans="1:19" ht="371" thickBot="1" x14ac:dyDescent="0.2">
      <c r="A40" s="65">
        <f t="shared" si="1"/>
        <v>38</v>
      </c>
      <c r="B40" s="71" t="s">
        <v>205</v>
      </c>
      <c r="C40" s="72" t="str">
        <f>VLOOKUP(B40,'HECVAT - Full'!A:E,2,FALSE)</f>
        <v xml:space="preserve">Describe or provide a reference to all web-enabled features and functionality of the system (i.e. accessed via a web-based interface). </v>
      </c>
      <c r="D40" s="65">
        <f>VLOOKUP(B40,'HECVAT - Full'!A:E,4,FALSE)</f>
        <v>0</v>
      </c>
      <c r="E40" s="73" t="b">
        <f>IF(Table1[[#This Row],[Column11]]&gt;20,TRUE,FALSE)</f>
        <v>0</v>
      </c>
      <c r="F40" s="80" t="s">
        <v>2029</v>
      </c>
      <c r="G40" s="74" t="s">
        <v>20</v>
      </c>
      <c r="H40" s="75">
        <v>1</v>
      </c>
      <c r="I40" s="65" t="str">
        <f>VLOOKUP(B40,'HECVAT - Full'!A:E,3,FALSE)</f>
        <v xml:space="preserve">Documentation for the product can be found here: https://help.portfolium.com
</v>
      </c>
      <c r="J40" s="65">
        <f>IF(VLOOKUP(Table1[[#This Row],[Column2]],'Analyst Report'!$A$41:$G$88,7,FALSE)="Yes",1,0)</f>
        <v>0</v>
      </c>
      <c r="K40" s="65">
        <f>IF(Table1[[#This Row],[Column8]]=1,10,"")</f>
        <v>10</v>
      </c>
      <c r="L40" s="65">
        <f>IF(Table1[[#This Row],[Column8]]=1,J40*K40,"")</f>
        <v>0</v>
      </c>
      <c r="M40" s="66" t="str">
        <f>VLOOKUP($B40,'Standards Crosswalk'!$A:$H,3,FALSE)</f>
        <v>CSC 7</v>
      </c>
      <c r="N40" s="66">
        <f>VLOOKUP($B40,'Standards Crosswalk'!$A:$H,4,FALSE)</f>
        <v>0</v>
      </c>
      <c r="O40" s="66" t="str">
        <f>VLOOKUP($B40,'Standards Crosswalk'!$A:$H,5,FALSE)</f>
        <v>12.1.1</v>
      </c>
      <c r="P40" s="66">
        <f>VLOOKUP($B40,'Standards Crosswalk'!$A:$H,6,FALSE)</f>
        <v>0</v>
      </c>
      <c r="Q40" s="66">
        <f>VLOOKUP($B40,'Standards Crosswalk'!$A:$H,7,FALSE)</f>
        <v>0</v>
      </c>
      <c r="R40" s="66">
        <f>VLOOKUP($B40,'Standards Crosswalk'!$A:$H,8,FALSE)</f>
        <v>0</v>
      </c>
      <c r="S40" s="66">
        <f>VLOOKUP($B40,'Standards Crosswalk'!$A:$I,9,FALSE)</f>
        <v>0</v>
      </c>
    </row>
    <row r="41" spans="1:19" ht="409.6" thickBot="1" x14ac:dyDescent="0.2">
      <c r="A41" s="65">
        <f t="shared" si="1"/>
        <v>39</v>
      </c>
      <c r="B41" s="71" t="s">
        <v>206</v>
      </c>
      <c r="C41" s="72" t="str">
        <f>VLOOKUP(B41,'HECVAT - Full'!A:E,2,FALSE)</f>
        <v>Are there any OS and/or web-browser combinations that are not currently supported?</v>
      </c>
      <c r="D41" s="65" t="str">
        <f>VLOOKUP(B41,'HECVAT - Full'!A:E,4,FALSE)</f>
        <v xml:space="preserve">Portfolium can be run on any OS that's capable of running a supported web browser. Supported web browsers include: Internet Explorer 11, Edge, Chrome, Firefox, and Safari. 
</v>
      </c>
      <c r="E41" s="73" t="b">
        <f>IF(Table1[[#This Row],[Column11]]&gt;20,TRUE,FALSE)</f>
        <v>0</v>
      </c>
      <c r="F41" s="80" t="s">
        <v>2029</v>
      </c>
      <c r="G41" s="74" t="s">
        <v>20</v>
      </c>
      <c r="H41" s="75">
        <v>1</v>
      </c>
      <c r="I41" s="65" t="str">
        <f>VLOOKUP(B41,'HECVAT - Full'!A:E,3,FALSE)</f>
        <v>Yes</v>
      </c>
      <c r="J41" s="65">
        <f>IF(VLOOKUP(Table1[[#This Row],[Column2]],'Analyst Report'!$A$41:$G$88,7,FALSE)="Yes",1,0)</f>
        <v>0</v>
      </c>
      <c r="K41" s="65">
        <f>IF(Table1[[#This Row],[Column8]]=1,15,"")</f>
        <v>15</v>
      </c>
      <c r="L41" s="65">
        <f>IF(Table1[[#This Row],[Column8]]=1,J41*K41,"")</f>
        <v>0</v>
      </c>
      <c r="M41" s="66" t="str">
        <f>VLOOKUP($B41,'Standards Crosswalk'!$A:$H,3,FALSE)</f>
        <v>CSC 7</v>
      </c>
      <c r="N41" s="66">
        <f>VLOOKUP($B41,'Standards Crosswalk'!$A:$H,4,FALSE)</f>
        <v>0</v>
      </c>
      <c r="O41" s="66" t="str">
        <f>VLOOKUP($B41,'Standards Crosswalk'!$A:$H,5,FALSE)</f>
        <v>12.5.1</v>
      </c>
      <c r="P41" s="66">
        <f>VLOOKUP($B41,'Standards Crosswalk'!$A:$H,6,FALSE)</f>
        <v>0</v>
      </c>
      <c r="Q41" s="66">
        <f>VLOOKUP($B41,'Standards Crosswalk'!$A:$H,7,FALSE)</f>
        <v>0</v>
      </c>
      <c r="R41" s="66">
        <f>VLOOKUP($B41,'Standards Crosswalk'!$A:$H,8,FALSE)</f>
        <v>0</v>
      </c>
      <c r="S41" s="66">
        <f>VLOOKUP($B41,'Standards Crosswalk'!$A:$I,9,FALSE)</f>
        <v>0</v>
      </c>
    </row>
    <row r="42" spans="1:19" ht="256" thickBot="1" x14ac:dyDescent="0.2">
      <c r="A42" s="65">
        <f t="shared" si="1"/>
        <v>40</v>
      </c>
      <c r="B42" s="71" t="s">
        <v>207</v>
      </c>
      <c r="C42" s="72" t="str">
        <f>VLOOKUP(B42,'HECVAT - Full'!A:E,2,FALSE)</f>
        <v xml:space="preserve">Can your system take advantage of mobile and/or GPS enabled mobile devices?  </v>
      </c>
      <c r="D42" s="65" t="str">
        <f>VLOOKUP(B42,'HECVAT - Full'!A:E,4,FALSE)</f>
        <v xml:space="preserve">Portfolium is mobile responsive. So any mobile device that has access to a browser and internet.
</v>
      </c>
      <c r="E42" s="73" t="b">
        <f>IF(Table1[[#This Row],[Column11]]&gt;20,TRUE,FALSE)</f>
        <v>1</v>
      </c>
      <c r="F42" s="80" t="s">
        <v>2029</v>
      </c>
      <c r="G42" s="74" t="s">
        <v>17</v>
      </c>
      <c r="H42" s="75">
        <v>1</v>
      </c>
      <c r="I42" s="65" t="str">
        <f>VLOOKUP(B42,'HECVAT - Full'!A:E,3,FALSE)</f>
        <v>Yes</v>
      </c>
      <c r="J42" s="65">
        <f>IF(Table1[[#This Row],[Column7]]=Table1[[#This Row],[Column9]],1,0)</f>
        <v>1</v>
      </c>
      <c r="K42" s="65">
        <f>IF(Table1[[#This Row],[Column8]]=1,25,"")</f>
        <v>25</v>
      </c>
      <c r="L42" s="65">
        <f>IF(Table1[[#This Row],[Column8]]=1,J42*K42,"")</f>
        <v>25</v>
      </c>
      <c r="M42" s="66" t="str">
        <f>VLOOKUP($B42,'Standards Crosswalk'!$A:$H,3,FALSE)</f>
        <v>CSC 2</v>
      </c>
      <c r="N42" s="66">
        <f>VLOOKUP($B42,'Standards Crosswalk'!$A:$H,4,FALSE)</f>
        <v>0</v>
      </c>
      <c r="O42" s="66">
        <f>VLOOKUP($B42,'Standards Crosswalk'!$A:$H,5,FALSE)</f>
        <v>0</v>
      </c>
      <c r="P42" s="66">
        <f>VLOOKUP($B42,'Standards Crosswalk'!$A:$H,6,FALSE)</f>
        <v>0</v>
      </c>
      <c r="Q42" s="66">
        <f>VLOOKUP($B42,'Standards Crosswalk'!$A:$H,7,FALSE)</f>
        <v>0</v>
      </c>
      <c r="R42" s="66">
        <f>VLOOKUP($B42,'Standards Crosswalk'!$A:$H,8,FALSE)</f>
        <v>0</v>
      </c>
      <c r="S42" s="66">
        <f>VLOOKUP($B42,'Standards Crosswalk'!$A:$I,9,FALSE)</f>
        <v>0</v>
      </c>
    </row>
    <row r="43" spans="1:19" ht="385" thickBot="1" x14ac:dyDescent="0.2">
      <c r="A43" s="65">
        <f t="shared" si="1"/>
        <v>41</v>
      </c>
      <c r="B43" s="71" t="s">
        <v>540</v>
      </c>
      <c r="C43" s="72" t="str">
        <f>VLOOKUP(B43,'HECVAT - Full'!A:E,2,FALSE)</f>
        <v>Describe or provide a reference to the facilities available in the system to provide separation of duties between security administration and system administration functions.</v>
      </c>
      <c r="D43" s="65">
        <f>VLOOKUP(B43,'HECVAT - Full'!A:E,4,FALSE)</f>
        <v>0</v>
      </c>
      <c r="E43" s="73" t="b">
        <f>IF(Table1[[#This Row],[Column11]]&gt;20,TRUE,FALSE)</f>
        <v>1</v>
      </c>
      <c r="F43" s="80" t="s">
        <v>2029</v>
      </c>
      <c r="G43" s="74" t="s">
        <v>17</v>
      </c>
      <c r="H43" s="75">
        <v>1</v>
      </c>
      <c r="I43" s="65" t="str">
        <f>VLOOKUP(B43,'HECVAT - Full'!A:E,3,FALSE)</f>
        <v xml:space="preserve">Within Portfolium, users are granted access and permissions based on core roles.
</v>
      </c>
      <c r="J43" s="65">
        <f>IF(VLOOKUP(Table1[[#This Row],[Column2]],'Analyst Report'!$A$41:$G$88,7,FALSE)="Yes",1,0)</f>
        <v>0</v>
      </c>
      <c r="K43" s="65">
        <f>IF(Table1[[#This Row],[Column8]]=1,25,"")</f>
        <v>25</v>
      </c>
      <c r="L43" s="65">
        <f>IF(Table1[[#This Row],[Column8]]=1,J43*K43,"")</f>
        <v>0</v>
      </c>
      <c r="M43" s="66" t="str">
        <f>VLOOKUP($B43,'Standards Crosswalk'!$A:$H,3,FALSE)</f>
        <v>CSC 14</v>
      </c>
      <c r="N43" s="66">
        <f>VLOOKUP($B43,'Standards Crosswalk'!$A:$H,4,FALSE)</f>
        <v>0</v>
      </c>
      <c r="O43" s="66" t="str">
        <f>VLOOKUP($B43,'Standards Crosswalk'!$A:$H,5,FALSE)</f>
        <v>9.2.3, 12.1.4</v>
      </c>
      <c r="P43" s="66" t="str">
        <f>VLOOKUP($B43,'Standards Crosswalk'!$A:$H,6,FALSE)</f>
        <v>PR.AC-4, PR.PT-3</v>
      </c>
      <c r="Q43" s="66" t="str">
        <f>VLOOKUP($B43,'Standards Crosswalk'!$A:$H,7,FALSE)</f>
        <v>3.1.4</v>
      </c>
      <c r="R43" s="66" t="str">
        <f>VLOOKUP($B43,'Standards Crosswalk'!$A:$H,8,FALSE)</f>
        <v>AC-5</v>
      </c>
      <c r="S43" s="66" t="str">
        <f>VLOOKUP($B43,'Standards Crosswalk'!$A:$I,9,FALSE)</f>
        <v>12.x</v>
      </c>
    </row>
    <row r="44" spans="1:19" ht="409.6" thickBot="1" x14ac:dyDescent="0.2">
      <c r="A44" s="65">
        <f t="shared" si="1"/>
        <v>42</v>
      </c>
      <c r="B44" s="71" t="s">
        <v>208</v>
      </c>
      <c r="C44" s="72" t="str">
        <f>VLOOKUP(B44,'HECVAT - Full'!A:E,2,FALSE)</f>
        <v>Describe or provide a reference that details how administrator access is handled (e.g. provisioning, principle of least privilege, deprovisioning, etc.)</v>
      </c>
      <c r="D44" s="65">
        <f>VLOOKUP(B44,'HECVAT - Full'!A:E,4,FALSE)</f>
        <v>0</v>
      </c>
      <c r="E44" s="73" t="b">
        <f>IF(Table1[[#This Row],[Column11]]&gt;20,TRUE,FALSE)</f>
        <v>1</v>
      </c>
      <c r="F44" s="80" t="s">
        <v>2029</v>
      </c>
      <c r="G44" s="74" t="s">
        <v>17</v>
      </c>
      <c r="H44" s="75">
        <v>1</v>
      </c>
      <c r="I44" s="65" t="str">
        <f>VLOOKUP(B44,'HECVAT - Full'!A:E,3,FALSE)</f>
        <v xml:space="preserve">Portfolium uses RBAC to manage access. Initially, administrators are provisioned and assigned permissions during implementation. Provisioning of additional administrators is performed by each client either programmatically through the API, through integration with a system of record (such as student information system), or manually through the UI. 
Regarding Instructure's internal operations and system management, Instructure uses a multiple approval system for granting access to employees. First, the manager of the employee requesting access must fill out a ticket requesting detailed level of access to the system and specifying which parts, functions, and features are to be accessible by the employee. Clear, valid, and necessary business justification must be provided for the user in question.
The completed access request ticket is then reviewed by the direct manager of the requester. If management approves, the request ticket is routed to the Operations team for final approval. If all parties approve the employee’s access, the Operations team grants access as requested in the ticket. Per the employee exit policy, user accounts are deleted upon termination of employment.
</v>
      </c>
      <c r="J44" s="65">
        <f>IF(VLOOKUP(Table1[[#This Row],[Column2]],'Analyst Report'!$A$41:$G$88,7,FALSE)="Yes",1,0)</f>
        <v>0</v>
      </c>
      <c r="K44" s="65">
        <f>IF(Table1[[#This Row],[Column8]]=1,25,"")</f>
        <v>25</v>
      </c>
      <c r="L44" s="65">
        <f>IF(Table1[[#This Row],[Column8]]=1,J44*K44,"")</f>
        <v>0</v>
      </c>
      <c r="M44" s="66" t="str">
        <f>VLOOKUP($B44,'Standards Crosswalk'!$A:$H,3,FALSE)</f>
        <v>CSC 5</v>
      </c>
      <c r="N44" s="66">
        <f>VLOOKUP($B44,'Standards Crosswalk'!$A:$H,4,FALSE)</f>
        <v>0</v>
      </c>
      <c r="O44" s="66">
        <f>VLOOKUP($B44,'Standards Crosswalk'!$A:$H,5,FALSE)</f>
        <v>9.1999999999999993</v>
      </c>
      <c r="P44" s="66" t="str">
        <f>VLOOKUP($B44,'Standards Crosswalk'!$A:$H,6,FALSE)</f>
        <v>PR.AC-4, PR.PT-3</v>
      </c>
      <c r="Q44" s="66" t="str">
        <f>VLOOKUP($B44,'Standards Crosswalk'!$A:$H,7,FALSE)</f>
        <v>3.1.1, 3.1.5, 3.1.6, 3.7.1, 3.7.2</v>
      </c>
      <c r="R44" s="66" t="str">
        <f>VLOOKUP($B44,'Standards Crosswalk'!$A:$H,8,FALSE)</f>
        <v>AC-2, AC-3, AC-6, MA-2, MA-3</v>
      </c>
      <c r="S44" s="66" t="str">
        <f>VLOOKUP($B44,'Standards Crosswalk'!$A:$I,9,FALSE)</f>
        <v>7.x, 8.x</v>
      </c>
    </row>
    <row r="45" spans="1:19" ht="409.6" thickBot="1" x14ac:dyDescent="0.2">
      <c r="A45" s="65">
        <f t="shared" si="1"/>
        <v>43</v>
      </c>
      <c r="B45" s="71" t="s">
        <v>209</v>
      </c>
      <c r="C45" s="72" t="str">
        <f>VLOOKUP(B45,'HECVAT - Full'!A:E,2,FALSE)</f>
        <v>Describe or provide references explaining how tertiary services are redundant (i.e. DNS, ISP, etc.).</v>
      </c>
      <c r="D45" s="65">
        <f>VLOOKUP(B45,'HECVAT - Full'!A:E,4,FALSE)</f>
        <v>0</v>
      </c>
      <c r="E45" s="73" t="b">
        <f>IF(Table1[[#This Row],[Column11]]&gt;20,TRUE,FALSE)</f>
        <v>0</v>
      </c>
      <c r="F45" s="80" t="s">
        <v>2029</v>
      </c>
      <c r="G45" s="74" t="s">
        <v>17</v>
      </c>
      <c r="H45" s="75">
        <v>1</v>
      </c>
      <c r="I45" s="65" t="str">
        <f>VLOOKUP(B45,'HECVAT - Full'!A:E,3,FALSE)</f>
        <v xml:space="preserve">In accordance with ISO 27001 standards, Amazon Web Services provides an array of redundancy for all systems including fire suppression, cooling, electrical, multiple ISP providers, multiple DNS providers, etc.
For more information on AWS' security practices, please see AWS' security white paper at http://d0.awsstatic.com/whitepapers/Security/AWS%20Security%20Whitepaper.pdf.
</v>
      </c>
      <c r="J45" s="65">
        <f>IF(VLOOKUP(Table1[[#This Row],[Column2]],'Analyst Report'!$A$41:$G$88,7,FALSE)="Yes",1,0)</f>
        <v>0</v>
      </c>
      <c r="K45" s="65">
        <f>IF(Table1[[#This Row],[Column8]]=1,15,"")</f>
        <v>15</v>
      </c>
      <c r="L45" s="65">
        <f>IF(Table1[[#This Row],[Column8]]=1,J45*K45,"")</f>
        <v>0</v>
      </c>
      <c r="M45" s="66" t="str">
        <f>VLOOKUP($B45,'Standards Crosswalk'!$A:$H,3,FALSE)</f>
        <v>CSC 14</v>
      </c>
      <c r="N45" s="66">
        <f>VLOOKUP($B45,'Standards Crosswalk'!$A:$H,4,FALSE)</f>
        <v>0</v>
      </c>
      <c r="O45" s="66" t="str">
        <f>VLOOKUP($B45,'Standards Crosswalk'!$A:$H,5,FALSE)</f>
        <v>9.1.1</v>
      </c>
      <c r="P45" s="66" t="str">
        <f>VLOOKUP($B45,'Standards Crosswalk'!$A:$H,6,FALSE)</f>
        <v>PR.AC-4</v>
      </c>
      <c r="Q45" s="66" t="str">
        <f>VLOOKUP($B45,'Standards Crosswalk'!$A:$H,7,FALSE)</f>
        <v>3.1.2</v>
      </c>
      <c r="R45" s="66">
        <f>VLOOKUP($B45,'Standards Crosswalk'!$A:$H,8,FALSE)</f>
        <v>0</v>
      </c>
      <c r="S45" s="66">
        <f>VLOOKUP($B45,'Standards Crosswalk'!$A:$I,9,FALSE)</f>
        <v>0</v>
      </c>
    </row>
    <row r="46" spans="1:19" ht="409.6" thickBot="1" x14ac:dyDescent="0.2">
      <c r="A46" s="65">
        <f t="shared" si="1"/>
        <v>44</v>
      </c>
      <c r="B46" s="71" t="s">
        <v>211</v>
      </c>
      <c r="C46" s="72" t="str">
        <f>VLOOKUP(B46,'HECVAT - Full'!A:E,2,FALSE)</f>
        <v>Can you enforce password/passphrase aging requirements?</v>
      </c>
      <c r="D46" s="65" t="str">
        <f>VLOOKUP(B46,'HECVAT - Full'!A:E,4,FALSE)</f>
        <v xml:space="preserve">When using Portfolium's internal authentication service, the only password requirement is an eight character minimum length. If integrating with an external identity provider (e.g. LDAP, AD, CAS, SAML, etc.) then the security settings, such as password policies, defined in the external authentication server will be used by Canvas.
</v>
      </c>
      <c r="E46" s="73" t="b">
        <f>IF(Table1[[#This Row],[Column11]]&gt;20,TRUE,FALSE)</f>
        <v>1</v>
      </c>
      <c r="F46" s="73" t="s">
        <v>2030</v>
      </c>
      <c r="G46" s="74" t="s">
        <v>17</v>
      </c>
      <c r="H46" s="75">
        <v>1</v>
      </c>
      <c r="I46" s="65" t="str">
        <f>VLOOKUP(B46,'HECVAT - Full'!A:E,3,FALSE)</f>
        <v>No</v>
      </c>
      <c r="J46" s="65">
        <f>IF(Table1[[#This Row],[Column7]]=Table1[[#This Row],[Column9]],1,0)</f>
        <v>0</v>
      </c>
      <c r="K46" s="65">
        <f>IF(Table1[[#This Row],[Column8]]=1,25,"")</f>
        <v>25</v>
      </c>
      <c r="L46" s="65">
        <f>IF(Table1[[#This Row],[Column8]]=1,J46*K46,"")</f>
        <v>0</v>
      </c>
      <c r="M46" s="66" t="str">
        <f>VLOOKUP($B46,'Standards Crosswalk'!$A:$H,3,FALSE)</f>
        <v>CSC 16</v>
      </c>
      <c r="N46" s="66">
        <f>VLOOKUP($B46,'Standards Crosswalk'!$A:$H,4,FALSE)</f>
        <v>0</v>
      </c>
      <c r="O46" s="66" t="str">
        <f>VLOOKUP($B46,'Standards Crosswalk'!$A:$H,5,FALSE)</f>
        <v>9.2.3, 9.3.1, 9.4.3</v>
      </c>
      <c r="P46" s="66" t="str">
        <f>VLOOKUP($B46,'Standards Crosswalk'!$A:$H,6,FALSE)</f>
        <v>PR.AC-1</v>
      </c>
      <c r="Q46" s="66" t="str">
        <f>VLOOKUP($B46,'Standards Crosswalk'!$A:$H,7,FALSE)</f>
        <v>3.5.6</v>
      </c>
      <c r="R46" s="66" t="str">
        <f>VLOOKUP($B46,'Standards Crosswalk'!$A:$H,8,FALSE)</f>
        <v>IA-4</v>
      </c>
      <c r="S46" s="66" t="str">
        <f>VLOOKUP($B46,'Standards Crosswalk'!$A:$I,9,FALSE)</f>
        <v>8.x</v>
      </c>
    </row>
    <row r="47" spans="1:19" ht="409.6" thickBot="1" x14ac:dyDescent="0.2">
      <c r="A47" s="65">
        <f t="shared" si="1"/>
        <v>45</v>
      </c>
      <c r="B47" s="71" t="s">
        <v>212</v>
      </c>
      <c r="C47" s="72" t="str">
        <f>VLOOKUP(B47,'HECVAT - Full'!A:E,2,FALSE)</f>
        <v>Can you enforce password/passphrase complexity requirements [provided by the institution]?</v>
      </c>
      <c r="D47" s="65" t="str">
        <f>VLOOKUP(B47,'HECVAT - Full'!A:E,4,FALSE)</f>
        <v xml:space="preserve">Portfolium only requires that a password contain at least eight characters; however, Canvas can be configured to authenticate using an authentication service or identity provider such as CAS, SAML, etc. in which settings such as password policies are configured.
</v>
      </c>
      <c r="E47" s="73" t="b">
        <f>IF(Table1[[#This Row],[Column11]]&gt;20,TRUE,FALSE)</f>
        <v>1</v>
      </c>
      <c r="F47" s="73" t="s">
        <v>2030</v>
      </c>
      <c r="G47" s="74" t="s">
        <v>17</v>
      </c>
      <c r="H47" s="75">
        <v>1</v>
      </c>
      <c r="I47" s="65" t="str">
        <f>VLOOKUP(B47,'HECVAT - Full'!A:E,3,FALSE)</f>
        <v>No</v>
      </c>
      <c r="J47" s="65">
        <f>IF(Table1[[#This Row],[Column7]]=Table1[[#This Row],[Column9]],1,0)</f>
        <v>0</v>
      </c>
      <c r="K47" s="65">
        <f>IF(Table1[[#This Row],[Column8]]=1,25,"")</f>
        <v>25</v>
      </c>
      <c r="L47" s="65">
        <f>IF(Table1[[#This Row],[Column8]]=1,J47*K47,"")</f>
        <v>0</v>
      </c>
      <c r="M47" s="66" t="str">
        <f>VLOOKUP($B47,'Standards Crosswalk'!$A:$H,3,FALSE)</f>
        <v>CSC 16</v>
      </c>
      <c r="N47" s="66">
        <f>VLOOKUP($B47,'Standards Crosswalk'!$A:$H,4,FALSE)</f>
        <v>0</v>
      </c>
      <c r="O47" s="66" t="str">
        <f>VLOOKUP($B47,'Standards Crosswalk'!$A:$H,5,FALSE)</f>
        <v>9.2.3, 9.3.1, 9.4.3</v>
      </c>
      <c r="P47" s="66" t="str">
        <f>VLOOKUP($B47,'Standards Crosswalk'!$A:$H,6,FALSE)</f>
        <v>PR.AC-1</v>
      </c>
      <c r="Q47" s="66" t="str">
        <f>VLOOKUP($B47,'Standards Crosswalk'!$A:$H,7,FALSE)</f>
        <v>3.5.7</v>
      </c>
      <c r="R47" s="66" t="str">
        <f>VLOOKUP($B47,'Standards Crosswalk'!$A:$H,8,FALSE)</f>
        <v>IA-5(1)</v>
      </c>
      <c r="S47" s="66" t="str">
        <f>VLOOKUP($B47,'Standards Crosswalk'!$A:$I,9,FALSE)</f>
        <v>8.x</v>
      </c>
    </row>
    <row r="48" spans="1:19" ht="196" thickBot="1" x14ac:dyDescent="0.2">
      <c r="A48" s="65">
        <f t="shared" si="1"/>
        <v>46</v>
      </c>
      <c r="B48" s="71" t="s">
        <v>213</v>
      </c>
      <c r="C48" s="72" t="str">
        <f>VLOOKUP(B48,'HECVAT - Full'!A:E,2,FALSE)</f>
        <v>Does the system have password complexity or length limitations and/or restrictions?</v>
      </c>
      <c r="D48" s="65" t="str">
        <f>VLOOKUP(B48,'HECVAT - Full'!A:E,4,FALSE)</f>
        <v xml:space="preserve">Currently, Portfolium requires a minimum 8-character password.
</v>
      </c>
      <c r="E48" s="73" t="b">
        <f>IF(Table1[[#This Row],[Column11]]&gt;20,TRUE,FALSE)</f>
        <v>1</v>
      </c>
      <c r="F48" s="73" t="s">
        <v>2030</v>
      </c>
      <c r="G48" s="74" t="s">
        <v>17</v>
      </c>
      <c r="H48" s="75">
        <v>1</v>
      </c>
      <c r="I48" s="65" t="str">
        <f>VLOOKUP(B48,'HECVAT - Full'!A:E,3,FALSE)</f>
        <v>Yes</v>
      </c>
      <c r="J48" s="65">
        <f>IF(Table1[[#This Row],[Column7]]=Table1[[#This Row],[Column9]],1,0)</f>
        <v>1</v>
      </c>
      <c r="K48" s="65">
        <f>IF(Table1[[#This Row],[Column8]]=1,25,"")</f>
        <v>25</v>
      </c>
      <c r="L48" s="65">
        <f>IF(Table1[[#This Row],[Column8]]=1,J48*K48,"")</f>
        <v>25</v>
      </c>
      <c r="M48" s="66" t="str">
        <f>VLOOKUP($B48,'Standards Crosswalk'!$A:$H,3,FALSE)</f>
        <v>CSC 16</v>
      </c>
      <c r="N48" s="66">
        <f>VLOOKUP($B48,'Standards Crosswalk'!$A:$H,4,FALSE)</f>
        <v>0</v>
      </c>
      <c r="O48" s="66" t="str">
        <f>VLOOKUP($B48,'Standards Crosswalk'!$A:$H,5,FALSE)</f>
        <v>9.2.3, 9.3.1, 9.4.3</v>
      </c>
      <c r="P48" s="66" t="str">
        <f>VLOOKUP($B48,'Standards Crosswalk'!$A:$H,6,FALSE)</f>
        <v>PR.AC-1</v>
      </c>
      <c r="Q48" s="66">
        <f>VLOOKUP($B48,'Standards Crosswalk'!$A:$H,7,FALSE)</f>
        <v>0</v>
      </c>
      <c r="R48" s="66">
        <f>VLOOKUP($B48,'Standards Crosswalk'!$A:$H,8,FALSE)</f>
        <v>0</v>
      </c>
      <c r="S48" s="66" t="str">
        <f>VLOOKUP($B48,'Standards Crosswalk'!$A:$I,9,FALSE)</f>
        <v>8.x</v>
      </c>
    </row>
    <row r="49" spans="1:19" ht="409.6" thickBot="1" x14ac:dyDescent="0.2">
      <c r="A49" s="65">
        <f t="shared" si="1"/>
        <v>47</v>
      </c>
      <c r="B49" s="71" t="s">
        <v>214</v>
      </c>
      <c r="C49" s="72" t="str">
        <f>VLOOKUP(B49,'HECVAT - Full'!A:E,2,FALSE)</f>
        <v>Do you have documented password/passphrase reset procedures that are currently implemented in the system and/or customer support?</v>
      </c>
      <c r="D49" s="65" t="str">
        <f>VLOOKUP(B49,'HECVAT - Full'!A:E,4,FALSE)</f>
        <v xml:space="preserve">If using an external identity provider that is integrated with Portfolium, such as LDAP, Active Directory, CAS, SAML 2.0 and Shibboleth, then a password reset is performed through that system or by your administrators who have access to those identity management systems.
If using Portfolium-internal authentication, individual users can reset their own passwords using the "Password Settings" tab.  Additionally, users can click the "forgot password" link on the login page which will send an email to the user to have them reset their password. This process is documented and available for users in Portfolium's knowledgebase.
</v>
      </c>
      <c r="E49" s="73" t="b">
        <f>IF(Table1[[#This Row],[Column11]]&gt;20,TRUE,FALSE)</f>
        <v>0</v>
      </c>
      <c r="F49" s="73" t="s">
        <v>2030</v>
      </c>
      <c r="G49" s="74" t="s">
        <v>17</v>
      </c>
      <c r="H49" s="75">
        <v>1</v>
      </c>
      <c r="I49" s="65" t="str">
        <f>VLOOKUP(B49,'HECVAT - Full'!A:E,3,FALSE)</f>
        <v>Yes</v>
      </c>
      <c r="J49" s="65">
        <f>IF(Table1[[#This Row],[Column7]]=Table1[[#This Row],[Column9]],1,0)</f>
        <v>1</v>
      </c>
      <c r="K49" s="65">
        <f>IF(Table1[[#This Row],[Column8]]=1,20,"")</f>
        <v>20</v>
      </c>
      <c r="L49" s="65">
        <f>IF(Table1[[#This Row],[Column8]]=1,J49*K49,"")</f>
        <v>20</v>
      </c>
      <c r="M49" s="66" t="str">
        <f>VLOOKUP($B49,'Standards Crosswalk'!$A:$H,3,FALSE)</f>
        <v>CSC 16</v>
      </c>
      <c r="N49" s="66">
        <f>VLOOKUP($B49,'Standards Crosswalk'!$A:$H,4,FALSE)</f>
        <v>0</v>
      </c>
      <c r="O49" s="66" t="str">
        <f>VLOOKUP($B49,'Standards Crosswalk'!$A:$H,5,FALSE)</f>
        <v>9.2.3, 9.3.1, 9.4.3</v>
      </c>
      <c r="P49" s="66" t="str">
        <f>VLOOKUP($B49,'Standards Crosswalk'!$A:$H,6,FALSE)</f>
        <v>PR.AC-1</v>
      </c>
      <c r="Q49" s="66" t="str">
        <f>VLOOKUP($B49,'Standards Crosswalk'!$A:$H,7,FALSE)</f>
        <v>3.5.5, 3.5.8</v>
      </c>
      <c r="R49" s="66" t="str">
        <f>VLOOKUP($B49,'Standards Crosswalk'!$A:$H,8,FALSE)</f>
        <v>IA-4</v>
      </c>
      <c r="S49" s="66" t="str">
        <f>VLOOKUP($B49,'Standards Crosswalk'!$A:$I,9,FALSE)</f>
        <v>2.1, 8.x</v>
      </c>
    </row>
    <row r="50" spans="1:19" ht="409.6" thickBot="1" x14ac:dyDescent="0.2">
      <c r="A50" s="65">
        <f t="shared" si="1"/>
        <v>48</v>
      </c>
      <c r="B50" s="71" t="s">
        <v>215</v>
      </c>
      <c r="C50" s="72" t="str">
        <f>VLOOKUP(B50,'HECVAT - Full'!A:E,2,FALSE)</f>
        <v>Does your web-based interface support authentication, including standards-based single-sign-on? (e.g. InCommon)</v>
      </c>
      <c r="D50" s="65" t="str">
        <f>VLOOKUP(B50,'HECVAT - Full'!A:E,4,FALSE)</f>
        <v xml:space="preserve">Portfolium is a member of InCommon Federation and supports common authentication protocols such as Shibboleth, SAML, LDAP, Active Directory, Google, Facebook, and LinkedIn.
</v>
      </c>
      <c r="E50" s="73" t="b">
        <f>IF(Table1[[#This Row],[Column11]]&gt;20,TRUE,FALSE)</f>
        <v>1</v>
      </c>
      <c r="F50" s="73" t="s">
        <v>2030</v>
      </c>
      <c r="G50" s="74" t="s">
        <v>17</v>
      </c>
      <c r="H50" s="75">
        <v>1</v>
      </c>
      <c r="I50" s="65" t="str">
        <f>VLOOKUP(B50,'HECVAT - Full'!A:E,3,FALSE)</f>
        <v>Yes</v>
      </c>
      <c r="J50" s="65">
        <f>IF(Table1[[#This Row],[Column7]]=Table1[[#This Row],[Column9]],1,0)</f>
        <v>1</v>
      </c>
      <c r="K50" s="65">
        <f>IF(Table1[[#This Row],[Column8]]=1,40,"")</f>
        <v>40</v>
      </c>
      <c r="L50" s="65">
        <f>IF(Table1[[#This Row],[Column8]]=1,J50*K50,"")</f>
        <v>40</v>
      </c>
      <c r="M50" s="66" t="str">
        <f>VLOOKUP($B50,'Standards Crosswalk'!$A:$H,3,FALSE)</f>
        <v>CSC 16</v>
      </c>
      <c r="N50" s="66">
        <f>VLOOKUP($B50,'Standards Crosswalk'!$A:$H,4,FALSE)</f>
        <v>0</v>
      </c>
      <c r="O50" s="66" t="str">
        <f>VLOOKUP($B50,'Standards Crosswalk'!$A:$H,5,FALSE)</f>
        <v>9.1.1, 9.2.3, 9.3.1, 9.4.3</v>
      </c>
      <c r="P50" s="66" t="str">
        <f>VLOOKUP($B50,'Standards Crosswalk'!$A:$H,6,FALSE)</f>
        <v>PR.AC-1</v>
      </c>
      <c r="Q50" s="66" t="str">
        <f>VLOOKUP($B50,'Standards Crosswalk'!$A:$H,7,FALSE)</f>
        <v>3.5.1</v>
      </c>
      <c r="R50" s="66" t="str">
        <f>VLOOKUP($B50,'Standards Crosswalk'!$A:$H,8,FALSE)</f>
        <v>IA-2, IA-5</v>
      </c>
      <c r="S50" s="66" t="str">
        <f>VLOOKUP($B50,'Standards Crosswalk'!$A:$I,9,FALSE)</f>
        <v>8.x</v>
      </c>
    </row>
    <row r="51" spans="1:19" ht="409.6" thickBot="1" x14ac:dyDescent="0.2">
      <c r="A51" s="65">
        <f t="shared" si="1"/>
        <v>49</v>
      </c>
      <c r="B51" s="71" t="s">
        <v>216</v>
      </c>
      <c r="C51" s="72" t="str">
        <f>VLOOKUP(B51,'HECVAT - Full'!A:E,2,FALSE)</f>
        <v>Are there any passwords/passphrases hard coded into your systems or products?</v>
      </c>
      <c r="D51" s="65" t="str">
        <f>VLOOKUP(B51,'HECVAT - Full'!A:E,4,FALSE)</f>
        <v xml:space="preserve">No user facing passwords/passphrases are hard coded in the product/system.
Though in the codebase, there are passphrases to our internal systems
</v>
      </c>
      <c r="E51" s="73" t="b">
        <f>IF(Table1[[#This Row],[Column11]]&gt;20,TRUE,FALSE)</f>
        <v>1</v>
      </c>
      <c r="F51" s="73" t="s">
        <v>2030</v>
      </c>
      <c r="G51" s="74" t="s">
        <v>20</v>
      </c>
      <c r="H51" s="75">
        <v>1</v>
      </c>
      <c r="I51" s="65">
        <f>VLOOKUP(B51,'HECVAT - Full'!A:E,3,FALSE)</f>
        <v>0</v>
      </c>
      <c r="J51" s="65">
        <f>IF(Table1[[#This Row],[Column7]]=Table1[[#This Row],[Column9]],1,0)</f>
        <v>0</v>
      </c>
      <c r="K51" s="65">
        <f>IF(Table1[[#This Row],[Column8]]=1,40,"")</f>
        <v>40</v>
      </c>
      <c r="L51" s="65">
        <f>IF(Table1[[#This Row],[Column8]]=1,J51*K51,"")</f>
        <v>0</v>
      </c>
      <c r="M51" s="66" t="str">
        <f>VLOOKUP($B51,'Standards Crosswalk'!$A:$H,3,FALSE)</f>
        <v>CSC 16</v>
      </c>
      <c r="N51" s="66">
        <f>VLOOKUP($B51,'Standards Crosswalk'!$A:$H,4,FALSE)</f>
        <v>0</v>
      </c>
      <c r="O51" s="66" t="str">
        <f>VLOOKUP($B51,'Standards Crosswalk'!$A:$H,5,FALSE)</f>
        <v>9</v>
      </c>
      <c r="P51" s="66">
        <f>VLOOKUP($B51,'Standards Crosswalk'!$A:$H,6,FALSE)</f>
        <v>0</v>
      </c>
      <c r="Q51" s="66">
        <f>VLOOKUP($B51,'Standards Crosswalk'!$A:$H,7,FALSE)</f>
        <v>0</v>
      </c>
      <c r="R51" s="66">
        <f>VLOOKUP($B51,'Standards Crosswalk'!$A:$H,8,FALSE)</f>
        <v>0</v>
      </c>
      <c r="S51" s="66" t="str">
        <f>VLOOKUP($B51,'Standards Crosswalk'!$A:$I,9,FALSE)</f>
        <v>2.1, 8.x</v>
      </c>
    </row>
    <row r="52" spans="1:19" ht="409.6" thickBot="1" x14ac:dyDescent="0.2">
      <c r="A52" s="65">
        <f t="shared" si="1"/>
        <v>50</v>
      </c>
      <c r="B52" s="71" t="s">
        <v>217</v>
      </c>
      <c r="C52" s="72" t="str">
        <f>VLOOKUP(B52,'HECVAT - Full'!A:E,2,FALSE)</f>
        <v>Are user account passwords/passphrases visible in administration modules?</v>
      </c>
      <c r="D52" s="65" t="str">
        <f>VLOOKUP(B52,'HECVAT - Full'!A:E,4,FALSE)</f>
        <v xml:space="preserve">Administrators do not have access to visible account passwords within Portfolium.  All passwords stored in Portfolium are one-way hashed and uniquely salted. They cannot be decrypted or revealed.
</v>
      </c>
      <c r="E52" s="73" t="b">
        <f>IF(Table1[[#This Row],[Column11]]&gt;20,TRUE,FALSE)</f>
        <v>1</v>
      </c>
      <c r="F52" s="73" t="s">
        <v>2030</v>
      </c>
      <c r="G52" s="74" t="s">
        <v>20</v>
      </c>
      <c r="H52" s="75">
        <v>1</v>
      </c>
      <c r="I52" s="65" t="str">
        <f>VLOOKUP(B52,'HECVAT - Full'!A:E,3,FALSE)</f>
        <v>No</v>
      </c>
      <c r="J52" s="65">
        <f>IF(Table1[[#This Row],[Column7]]=Table1[[#This Row],[Column9]],1,0)</f>
        <v>1</v>
      </c>
      <c r="K52" s="65">
        <f>IF(Table1[[#This Row],[Column8]]=1,25,"")</f>
        <v>25</v>
      </c>
      <c r="L52" s="65">
        <f>IF(Table1[[#This Row],[Column8]]=1,J52*K52,"")</f>
        <v>25</v>
      </c>
      <c r="M52" s="66" t="str">
        <f>VLOOKUP($B52,'Standards Crosswalk'!$A:$H,3,FALSE)</f>
        <v>CSC 16</v>
      </c>
      <c r="N52" s="66">
        <f>VLOOKUP($B52,'Standards Crosswalk'!$A:$H,4,FALSE)</f>
        <v>0</v>
      </c>
      <c r="O52" s="66" t="str">
        <f>VLOOKUP($B52,'Standards Crosswalk'!$A:$H,5,FALSE)</f>
        <v>9</v>
      </c>
      <c r="P52" s="66" t="str">
        <f>VLOOKUP($B52,'Standards Crosswalk'!$A:$H,6,FALSE)</f>
        <v>PR.AC-1</v>
      </c>
      <c r="Q52" s="66">
        <f>VLOOKUP($B52,'Standards Crosswalk'!$A:$H,7,FALSE)</f>
        <v>0</v>
      </c>
      <c r="R52" s="66">
        <f>VLOOKUP($B52,'Standards Crosswalk'!$A:$H,8,FALSE)</f>
        <v>0</v>
      </c>
      <c r="S52" s="66" t="str">
        <f>VLOOKUP($B52,'Standards Crosswalk'!$A:$I,9,FALSE)</f>
        <v>8.x</v>
      </c>
    </row>
    <row r="53" spans="1:19" ht="329" thickBot="1" x14ac:dyDescent="0.2">
      <c r="A53" s="65">
        <f t="shared" si="1"/>
        <v>51</v>
      </c>
      <c r="B53" s="71" t="s">
        <v>218</v>
      </c>
      <c r="C53" s="72" t="str">
        <f>VLOOKUP(B53,'HECVAT - Full'!A:E,2,FALSE)</f>
        <v>Are user account passwords/passphrases stored encrypted?</v>
      </c>
      <c r="D53" s="65" t="str">
        <f>VLOOKUP(B53,'HECVAT - Full'!A:E,4,FALSE)</f>
        <v xml:space="preserve">Portfolium stores is passwords which are salted and one way hashed.  Everything is encrypted in transport and at rest
</v>
      </c>
      <c r="E53" s="73" t="b">
        <f>IF(Table1[[#This Row],[Column11]]&gt;20,TRUE,FALSE)</f>
        <v>1</v>
      </c>
      <c r="F53" s="73" t="s">
        <v>2030</v>
      </c>
      <c r="G53" s="74" t="s">
        <v>17</v>
      </c>
      <c r="H53" s="75">
        <v>1</v>
      </c>
      <c r="I53" s="65" t="str">
        <f>VLOOKUP(B53,'HECVAT - Full'!A:E,3,FALSE)</f>
        <v>Yes</v>
      </c>
      <c r="J53" s="65">
        <f>IF(Table1[[#This Row],[Column7]]=Table1[[#This Row],[Column9]],1,0)</f>
        <v>1</v>
      </c>
      <c r="K53" s="65">
        <f>IF(Table1[[#This Row],[Column8]]=1,40,"")</f>
        <v>40</v>
      </c>
      <c r="L53" s="65">
        <f>IF(Table1[[#This Row],[Column8]]=1,J53*K53,"")</f>
        <v>40</v>
      </c>
      <c r="M53" s="66" t="str">
        <f>VLOOKUP($B53,'Standards Crosswalk'!$A:$H,3,FALSE)</f>
        <v>CSC 16</v>
      </c>
      <c r="N53" s="66">
        <f>VLOOKUP($B53,'Standards Crosswalk'!$A:$H,4,FALSE)</f>
        <v>0</v>
      </c>
      <c r="O53" s="66" t="str">
        <f>VLOOKUP($B53,'Standards Crosswalk'!$A:$H,5,FALSE)</f>
        <v>9</v>
      </c>
      <c r="P53" s="66" t="str">
        <f>VLOOKUP($B53,'Standards Crosswalk'!$A:$H,6,FALSE)</f>
        <v>PR.AC-1</v>
      </c>
      <c r="Q53" s="66" t="str">
        <f>VLOOKUP($B53,'Standards Crosswalk'!$A:$H,7,FALSE)</f>
        <v>3.5.10</v>
      </c>
      <c r="R53" s="66" t="str">
        <f>VLOOKUP($B53,'Standards Crosswalk'!$A:$H,8,FALSE)</f>
        <v>IA-5(1)</v>
      </c>
      <c r="S53" s="66" t="str">
        <f>VLOOKUP($B53,'Standards Crosswalk'!$A:$I,9,FALSE)</f>
        <v>8.x</v>
      </c>
    </row>
    <row r="54" spans="1:19" ht="241" thickBot="1" x14ac:dyDescent="0.2">
      <c r="A54" s="65">
        <f t="shared" si="1"/>
        <v>52</v>
      </c>
      <c r="B54" s="71" t="s">
        <v>219</v>
      </c>
      <c r="C54" s="72" t="str">
        <f>VLOOKUP(B54,'HECVAT - Full'!A:E,2,FALSE)</f>
        <v>Does your application and/or user-frontend/portal support multi-factor authentication? (e.g. Duo, Google Authenticator, OTP, etc.)</v>
      </c>
      <c r="D54" s="65" t="str">
        <f>VLOOKUP(B54,'HECVAT - Full'!A:E,4,FALSE)</f>
        <v xml:space="preserve">Portfolium supports FB, LinkedIn and other SAML-based logins which have MFA already built in.
</v>
      </c>
      <c r="E54" s="73" t="b">
        <f>IF(Table1[[#This Row],[Column11]]&gt;20,TRUE,FALSE)</f>
        <v>0</v>
      </c>
      <c r="F54" s="73" t="s">
        <v>2030</v>
      </c>
      <c r="G54" s="74" t="s">
        <v>17</v>
      </c>
      <c r="H54" s="75">
        <v>1</v>
      </c>
      <c r="I54" s="65" t="str">
        <f>VLOOKUP(B54,'HECVAT - Full'!A:E,3,FALSE)</f>
        <v>No</v>
      </c>
      <c r="J54" s="65">
        <f>IF(Table1[[#This Row],[Column7]]=Table1[[#This Row],[Column9]],1,0)</f>
        <v>0</v>
      </c>
      <c r="K54" s="65">
        <f>IF(Table1[[#This Row],[Column8]]=1,20,"")</f>
        <v>20</v>
      </c>
      <c r="L54" s="65">
        <f>IF(Table1[[#This Row],[Column8]]=1,J54*K54,"")</f>
        <v>0</v>
      </c>
      <c r="M54" s="66" t="str">
        <f>VLOOKUP($B54,'Standards Crosswalk'!$A:$H,3,FALSE)</f>
        <v>CSC 16</v>
      </c>
      <c r="N54" s="66">
        <f>VLOOKUP($B54,'Standards Crosswalk'!$A:$H,4,FALSE)</f>
        <v>0</v>
      </c>
      <c r="O54" s="66" t="str">
        <f>VLOOKUP($B54,'Standards Crosswalk'!$A:$H,5,FALSE)</f>
        <v>9</v>
      </c>
      <c r="P54" s="66" t="str">
        <f>VLOOKUP($B54,'Standards Crosswalk'!$A:$H,6,FALSE)</f>
        <v>PR.AC-4</v>
      </c>
      <c r="Q54" s="66" t="str">
        <f>VLOOKUP($B54,'Standards Crosswalk'!$A:$H,7,FALSE)</f>
        <v>3.5.2, 3.5.3</v>
      </c>
      <c r="R54" s="66" t="str">
        <f>VLOOKUP($B54,'Standards Crosswalk'!$A:$H,8,FALSE)</f>
        <v>IA-5</v>
      </c>
      <c r="S54" s="66" t="str">
        <f>VLOOKUP($B54,'Standards Crosswalk'!$A:$I,9,FALSE)</f>
        <v>8.x</v>
      </c>
    </row>
    <row r="55" spans="1:19" ht="256" thickBot="1" x14ac:dyDescent="0.2">
      <c r="A55" s="65">
        <f t="shared" si="1"/>
        <v>53</v>
      </c>
      <c r="B55" s="71" t="s">
        <v>220</v>
      </c>
      <c r="C55" s="72" t="str">
        <f>VLOOKUP(B55,'HECVAT - Full'!A:E,2,FALSE)</f>
        <v>Does your application support integration with other authentication and authorization systems?  List which ones (such as Active Directory, Kerberos and what version) in Additional Info?</v>
      </c>
      <c r="D55" s="65" t="str">
        <f>VLOOKUP(B55,'HECVAT - Full'!A:E,4,FALSE)</f>
        <v xml:space="preserve">Portfolium supports Google, Facebook, LInkedIn, Shibboleth, and email/password
</v>
      </c>
      <c r="E55" s="73" t="b">
        <f>IF(Table1[[#This Row],[Column11]]&gt;20,TRUE,FALSE)</f>
        <v>0</v>
      </c>
      <c r="F55" s="73" t="s">
        <v>2030</v>
      </c>
      <c r="G55" s="74" t="s">
        <v>17</v>
      </c>
      <c r="H55" s="75">
        <v>1</v>
      </c>
      <c r="I55" s="65" t="str">
        <f>VLOOKUP(B55,'HECVAT - Full'!A:E,3,FALSE)</f>
        <v>Yes</v>
      </c>
      <c r="J55" s="65">
        <f>IF(Table1[[#This Row],[Column7]]=Table1[[#This Row],[Column9]],1,0)</f>
        <v>1</v>
      </c>
      <c r="K55" s="65">
        <f>IF(Table1[[#This Row],[Column8]]=1,15,"")</f>
        <v>15</v>
      </c>
      <c r="L55" s="65">
        <f>IF(Table1[[#This Row],[Column8]]=1,J55*K55,"")</f>
        <v>15</v>
      </c>
      <c r="M55" s="66" t="str">
        <f>VLOOKUP($B55,'Standards Crosswalk'!$A:$H,3,FALSE)</f>
        <v>CSC 16</v>
      </c>
      <c r="N55" s="66">
        <f>VLOOKUP($B55,'Standards Crosswalk'!$A:$H,4,FALSE)</f>
        <v>0</v>
      </c>
      <c r="O55" s="66" t="str">
        <f>VLOOKUP($B55,'Standards Crosswalk'!$A:$H,5,FALSE)</f>
        <v>9.4.3</v>
      </c>
      <c r="P55" s="66" t="str">
        <f>VLOOKUP($B55,'Standards Crosswalk'!$A:$H,6,FALSE)</f>
        <v>PR.AC-1, PR.AC-4</v>
      </c>
      <c r="Q55" s="66">
        <f>VLOOKUP($B55,'Standards Crosswalk'!$A:$H,7,FALSE)</f>
        <v>0</v>
      </c>
      <c r="R55" s="66">
        <f>VLOOKUP($B55,'Standards Crosswalk'!$A:$H,8,FALSE)</f>
        <v>0</v>
      </c>
      <c r="S55" s="66">
        <f>VLOOKUP($B55,'Standards Crosswalk'!$A:$I,9,FALSE)</f>
        <v>0</v>
      </c>
    </row>
    <row r="56" spans="1:19" ht="409.6" thickBot="1" x14ac:dyDescent="0.2">
      <c r="A56" s="65">
        <f t="shared" si="1"/>
        <v>54</v>
      </c>
      <c r="B56" s="71" t="s">
        <v>221</v>
      </c>
      <c r="C56" s="72" t="str">
        <f>VLOOKUP(B56,'HECVAT - Full'!A:E,2,FALSE)</f>
        <v>Will any external authentication or authorization system be utilized by an application with access to the institution's data?</v>
      </c>
      <c r="D56" s="65" t="str">
        <f>VLOOKUP(B56,'HECVAT - Full'!A:E,4,FALSE)</f>
        <v xml:space="preserve">Portfolium is not accessed through third party authentication by default, however institutions can connect their own identity providers for the purposes of accessing Portfolium. SSO is also supported. Authentications used by any other application that accesses data stored within Portfolium, is managed, configured, and the responsibility of the client.
</v>
      </c>
      <c r="E56" s="73" t="b">
        <f>IF(Table1[[#This Row],[Column11]]&gt;20,TRUE,FALSE)</f>
        <v>0</v>
      </c>
      <c r="F56" s="73" t="s">
        <v>2030</v>
      </c>
      <c r="G56" s="74" t="s">
        <v>20</v>
      </c>
      <c r="H56" s="75">
        <f>IF(I55="Yes",1,0)</f>
        <v>1</v>
      </c>
      <c r="I56" s="65" t="str">
        <f>VLOOKUP(B56,'HECVAT - Full'!A:E,3,FALSE)</f>
        <v>No</v>
      </c>
      <c r="J56" s="65">
        <f>IF(Table1[[#This Row],[Column7]]=Table1[[#This Row],[Column9]],1,0)</f>
        <v>1</v>
      </c>
      <c r="K56" s="65">
        <f>IF(Table1[[#This Row],[Column8]]=1,20,"")</f>
        <v>20</v>
      </c>
      <c r="L56" s="65">
        <f>IF(Table1[[#This Row],[Column8]]=1,J56*K56,"")</f>
        <v>20</v>
      </c>
      <c r="M56" s="66" t="str">
        <f>VLOOKUP($B56,'Standards Crosswalk'!$A:$H,3,FALSE)</f>
        <v>CSC 16</v>
      </c>
      <c r="N56" s="66">
        <f>VLOOKUP($B56,'Standards Crosswalk'!$A:$H,4,FALSE)</f>
        <v>0</v>
      </c>
      <c r="O56" s="66" t="str">
        <f>VLOOKUP($B56,'Standards Crosswalk'!$A:$H,5,FALSE)</f>
        <v>9</v>
      </c>
      <c r="P56" s="66" t="str">
        <f>VLOOKUP($B56,'Standards Crosswalk'!$A:$H,6,FALSE)</f>
        <v>PR.AC-1, PR.AC-4</v>
      </c>
      <c r="Q56" s="66">
        <f>VLOOKUP($B56,'Standards Crosswalk'!$A:$H,7,FALSE)</f>
        <v>0</v>
      </c>
      <c r="R56" s="66">
        <f>VLOOKUP($B56,'Standards Crosswalk'!$A:$H,8,FALSE)</f>
        <v>0</v>
      </c>
      <c r="S56" s="66" t="str">
        <f>VLOOKUP($B56,'Standards Crosswalk'!$A:$I,9,FALSE)</f>
        <v>8.x</v>
      </c>
    </row>
    <row r="57" spans="1:19" ht="241" thickBot="1" x14ac:dyDescent="0.2">
      <c r="A57" s="65">
        <f t="shared" si="1"/>
        <v>55</v>
      </c>
      <c r="B57" s="71" t="s">
        <v>222</v>
      </c>
      <c r="C57" s="72" t="str">
        <f>VLOOKUP(B57,'HECVAT - Full'!A:E,2,FALSE)</f>
        <v>Does the system (servers/infrastructure) support external authentication services (e.g. Active Directory, LDAP) in place of local authentication?</v>
      </c>
      <c r="D57" s="65" t="str">
        <f>VLOOKUP(B57,'HECVAT - Full'!A:E,4,FALSE)</f>
        <v xml:space="preserve">access to the servers/infrastructure is only accessible via SSH on a gateway/bastion machine
</v>
      </c>
      <c r="E57" s="73" t="b">
        <f>IF(Table1[[#This Row],[Column11]]&gt;20,TRUE,FALSE)</f>
        <v>0</v>
      </c>
      <c r="F57" s="73" t="s">
        <v>2030</v>
      </c>
      <c r="G57" s="74" t="s">
        <v>17</v>
      </c>
      <c r="H57" s="75">
        <v>1</v>
      </c>
      <c r="I57" s="65" t="str">
        <f>VLOOKUP(B57,'HECVAT - Full'!A:E,3,FALSE)</f>
        <v>Yes</v>
      </c>
      <c r="J57" s="65">
        <f>IF(Table1[[#This Row],[Column7]]=Table1[[#This Row],[Column9]],1,0)</f>
        <v>1</v>
      </c>
      <c r="K57" s="65">
        <f>IF(Table1[[#This Row],[Column8]]=1,20,"")</f>
        <v>20</v>
      </c>
      <c r="L57" s="65">
        <f>IF(Table1[[#This Row],[Column8]]=1,J57*K57,"")</f>
        <v>20</v>
      </c>
      <c r="M57" s="66" t="str">
        <f>VLOOKUP($B57,'Standards Crosswalk'!$A:$H,3,FALSE)</f>
        <v>CSC 16</v>
      </c>
      <c r="N57" s="66">
        <f>VLOOKUP($B57,'Standards Crosswalk'!$A:$H,4,FALSE)</f>
        <v>0</v>
      </c>
      <c r="O57" s="66" t="str">
        <f>VLOOKUP($B57,'Standards Crosswalk'!$A:$H,5,FALSE)</f>
        <v>9.4.3</v>
      </c>
      <c r="P57" s="66" t="str">
        <f>VLOOKUP($B57,'Standards Crosswalk'!$A:$H,6,FALSE)</f>
        <v>PR.AC-1, PR.AC-4</v>
      </c>
      <c r="Q57" s="66">
        <f>VLOOKUP($B57,'Standards Crosswalk'!$A:$H,7,FALSE)</f>
        <v>0</v>
      </c>
      <c r="R57" s="66">
        <f>VLOOKUP($B57,'Standards Crosswalk'!$A:$H,8,FALSE)</f>
        <v>0</v>
      </c>
      <c r="S57" s="66">
        <f>VLOOKUP($B57,'Standards Crosswalk'!$A:$I,9,FALSE)</f>
        <v>0</v>
      </c>
    </row>
    <row r="58" spans="1:19" ht="73.5" customHeight="1" thickBot="1" x14ac:dyDescent="0.2">
      <c r="A58" s="65">
        <f t="shared" si="1"/>
        <v>56</v>
      </c>
      <c r="B58" s="71" t="s">
        <v>223</v>
      </c>
      <c r="C58" s="72" t="str">
        <f>VLOOKUP(B58,'HECVAT - Full'!A:E,2,FALSE)</f>
        <v>Does the system operate in a mixed authentication mode (i.e. external and local authentication)?</v>
      </c>
      <c r="D58" s="65" t="str">
        <f>VLOOKUP(B58,'HECVAT - Full'!A:E,4,FALSE)</f>
        <v xml:space="preserve">Portfolium-internal authentication can be used alone or concurrently with any of our supported external identity providers (IdPs). Portfolium supports Active Directory, LDAP, SAML, and Shibboleth.
</v>
      </c>
      <c r="E58" s="73" t="b">
        <f>IF(Table1[[#This Row],[Column11]]&gt;20,TRUE,FALSE)</f>
        <v>0</v>
      </c>
      <c r="F58" s="73" t="s">
        <v>2030</v>
      </c>
      <c r="G58" s="74" t="s">
        <v>20</v>
      </c>
      <c r="H58" s="75">
        <f>IF(I57="Yes",1,0)</f>
        <v>1</v>
      </c>
      <c r="I58" s="65" t="str">
        <f>VLOOKUP(B58,'HECVAT - Full'!A:E,3,FALSE)</f>
        <v>Yes</v>
      </c>
      <c r="J58" s="65">
        <f>IF(Table1[[#This Row],[Column7]]=Table1[[#This Row],[Column9]],1,0)</f>
        <v>0</v>
      </c>
      <c r="K58" s="65">
        <f>IF(Table1[[#This Row],[Column8]]=1,20,"")</f>
        <v>20</v>
      </c>
      <c r="L58" s="65">
        <f>IF(Table1[[#This Row],[Column8]]=1,J58*K58,"")</f>
        <v>0</v>
      </c>
      <c r="M58" s="66" t="str">
        <f>VLOOKUP($B58,'Standards Crosswalk'!$A:$H,3,FALSE)</f>
        <v>CSC 16</v>
      </c>
      <c r="N58" s="66">
        <f>VLOOKUP($B58,'Standards Crosswalk'!$A:$H,4,FALSE)</f>
        <v>0</v>
      </c>
      <c r="O58" s="66">
        <f>VLOOKUP($B58,'Standards Crosswalk'!$A:$H,5,FALSE)</f>
        <v>0</v>
      </c>
      <c r="P58" s="66" t="str">
        <f>VLOOKUP($B58,'Standards Crosswalk'!$A:$H,6,FALSE)</f>
        <v>PR.AC-1, PR.AC-4</v>
      </c>
      <c r="Q58" s="66">
        <f>VLOOKUP($B58,'Standards Crosswalk'!$A:$H,7,FALSE)</f>
        <v>0</v>
      </c>
      <c r="R58" s="66">
        <f>VLOOKUP($B58,'Standards Crosswalk'!$A:$H,8,FALSE)</f>
        <v>0</v>
      </c>
      <c r="S58" s="66">
        <f>VLOOKUP($B58,'Standards Crosswalk'!$A:$I,9,FALSE)</f>
        <v>0</v>
      </c>
    </row>
    <row r="59" spans="1:19" ht="73.5" customHeight="1" thickBot="1" x14ac:dyDescent="0.2">
      <c r="A59" s="65">
        <f t="shared" si="1"/>
        <v>57</v>
      </c>
      <c r="B59" s="71" t="s">
        <v>224</v>
      </c>
      <c r="C59" s="72" t="str">
        <f>VLOOKUP(B59,'HECVAT - Full'!A:E,2,FALSE)</f>
        <v>Will any external authentication or authorization system be utilized by a system with access to institution data?</v>
      </c>
      <c r="D59" s="65" t="str">
        <f>VLOOKUP(B59,'HECVAT - Full'!A:E,4,FALSE)</f>
        <v xml:space="preserve">Portfolium is not accessed through third party authentication by default, however institutions can connect their own identity providers for the purposes of accessing Portfolium. SSO is also supported. Authentications used by any other application that accesses data stored within Portfolium,is managed, configured, and the responsibility of the client.
</v>
      </c>
      <c r="E59" s="73" t="b">
        <f>IF(Table1[[#This Row],[Column11]]&gt;20,TRUE,FALSE)</f>
        <v>0</v>
      </c>
      <c r="F59" s="73" t="s">
        <v>2030</v>
      </c>
      <c r="G59" s="74" t="s">
        <v>20</v>
      </c>
      <c r="H59" s="75">
        <f>IF(I57="Yes",1,0)</f>
        <v>1</v>
      </c>
      <c r="I59" s="65" t="str">
        <f>VLOOKUP(B59,'HECVAT - Full'!A:E,3,FALSE)</f>
        <v>No</v>
      </c>
      <c r="J59" s="65">
        <f>IF(Table1[[#This Row],[Column7]]=Table1[[#This Row],[Column9]],1,0)</f>
        <v>1</v>
      </c>
      <c r="K59" s="65">
        <f>IF(Table1[[#This Row],[Column8]]=1,20,"")</f>
        <v>20</v>
      </c>
      <c r="L59" s="65">
        <f>IF(Table1[[#This Row],[Column8]]=1,J59*K59,"")</f>
        <v>20</v>
      </c>
      <c r="M59" s="66" t="str">
        <f>VLOOKUP($B59,'Standards Crosswalk'!$A:$H,3,FALSE)</f>
        <v>CSC 16</v>
      </c>
      <c r="N59" s="66">
        <f>VLOOKUP($B59,'Standards Crosswalk'!$A:$H,4,FALSE)</f>
        <v>0</v>
      </c>
      <c r="O59" s="66">
        <f>VLOOKUP($B59,'Standards Crosswalk'!$A:$H,5,FALSE)</f>
        <v>0</v>
      </c>
      <c r="P59" s="66" t="str">
        <f>VLOOKUP($B59,'Standards Crosswalk'!$A:$H,6,FALSE)</f>
        <v>PR.AC-1, PR.AC-4</v>
      </c>
      <c r="Q59" s="66" t="str">
        <f>VLOOKUP($B59,'Standards Crosswalk'!$A:$H,7,FALSE)</f>
        <v>3.1.1</v>
      </c>
      <c r="R59" s="66">
        <f>VLOOKUP($B59,'Standards Crosswalk'!$A:$H,8,FALSE)</f>
        <v>0</v>
      </c>
      <c r="S59" s="66" t="str">
        <f>VLOOKUP($B59,'Standards Crosswalk'!$A:$I,9,FALSE)</f>
        <v>8.x</v>
      </c>
    </row>
    <row r="60" spans="1:19" ht="73.5" customHeight="1" thickBot="1" x14ac:dyDescent="0.2">
      <c r="A60" s="65">
        <f t="shared" si="1"/>
        <v>58</v>
      </c>
      <c r="B60" s="71" t="s">
        <v>225</v>
      </c>
      <c r="C60" s="72" t="str">
        <f>VLOOKUP(B60,'HECVAT - Full'!A:E,2,FALSE)</f>
        <v>Are audit logs available that include AT LEAST all of the following; login, logout, actions performed, and source IP address?</v>
      </c>
      <c r="D60" s="65" t="str">
        <f>VLOOKUP(B60,'HECVAT - Full'!A:E,4,FALSE)</f>
        <v xml:space="preserve">Portfolium tracks Login, Logout, actions performed (via API/Apache logs), as well as IP address.  
</v>
      </c>
      <c r="E60" s="73" t="b">
        <f>IF(Table1[[#This Row],[Column11]]&gt;20,TRUE,FALSE)</f>
        <v>1</v>
      </c>
      <c r="F60" s="73" t="s">
        <v>2030</v>
      </c>
      <c r="G60" s="74" t="s">
        <v>17</v>
      </c>
      <c r="H60" s="75">
        <v>1</v>
      </c>
      <c r="I60" s="65" t="str">
        <f>VLOOKUP(B60,'HECVAT - Full'!A:E,3,FALSE)</f>
        <v>Yes</v>
      </c>
      <c r="J60" s="65">
        <f>IF(Table1[[#This Row],[Column7]]=Table1[[#This Row],[Column9]],1,0)</f>
        <v>1</v>
      </c>
      <c r="K60" s="65">
        <f>IF(Table1[[#This Row],[Column8]]=1,25,"")</f>
        <v>25</v>
      </c>
      <c r="L60" s="65">
        <f>IF(Table1[[#This Row],[Column8]]=1,J60*K60,"")</f>
        <v>25</v>
      </c>
      <c r="M60" s="66" t="str">
        <f>VLOOKUP($B60,'Standards Crosswalk'!$A:$H,3,FALSE)</f>
        <v>CSC 6</v>
      </c>
      <c r="N60" s="66">
        <f>VLOOKUP($B60,'Standards Crosswalk'!$A:$H,4,FALSE)</f>
        <v>0</v>
      </c>
      <c r="O60" s="66" t="str">
        <f>VLOOKUP($B60,'Standards Crosswalk'!$A:$H,5,FALSE)</f>
        <v>12.4</v>
      </c>
      <c r="P60" s="66" t="str">
        <f>VLOOKUP($B60,'Standards Crosswalk'!$A:$H,6,FALSE)</f>
        <v>PR.PT-1</v>
      </c>
      <c r="Q60" s="66" t="str">
        <f>VLOOKUP($B60,'Standards Crosswalk'!$A:$H,7,FALSE)</f>
        <v>3.1.7, 3.3.1</v>
      </c>
      <c r="R60" s="66" t="str">
        <f>VLOOKUP($B60,'Standards Crosswalk'!$A:$H,8,FALSE)</f>
        <v>AC-6(1,3,9), AU-2, AU-2(3), AU-3, AU-7, AU-9(4), AU-12, NIST 800-92</v>
      </c>
      <c r="S60" s="66" t="str">
        <f>VLOOKUP($B60,'Standards Crosswalk'!$A:$I,9,FALSE)</f>
        <v>10.1, 10.2, 10.3, 10.5, 10.6, 10.7</v>
      </c>
    </row>
    <row r="61" spans="1:19" ht="73.5" customHeight="1" thickBot="1" x14ac:dyDescent="0.2">
      <c r="A61" s="65">
        <f t="shared" si="1"/>
        <v>59</v>
      </c>
      <c r="B61" s="71" t="s">
        <v>226</v>
      </c>
      <c r="C61" s="72" t="str">
        <f>VLOOKUP(B61,'HECVAT - Full'!A:E,2,FALSE)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D61" s="65">
        <f>VLOOKUP(B61,'HECVAT - Full'!A:E,4,FALSE)</f>
        <v>0</v>
      </c>
      <c r="E61" s="73" t="b">
        <f>IF(Table1[[#This Row],[Column11]]&gt;20,TRUE,FALSE)</f>
        <v>1</v>
      </c>
      <c r="F61" s="73" t="s">
        <v>2030</v>
      </c>
      <c r="G61" s="74" t="s">
        <v>20</v>
      </c>
      <c r="H61" s="75">
        <v>1</v>
      </c>
      <c r="I61" s="65" t="str">
        <f>VLOOKUP(B61,'HECVAT - Full'!A:E,3,FALSE)</f>
        <v xml:space="preserve">Portfolium uses a multiple approval system for granting access to  employees. The manager of the employee requesting access must fill out a ticket requesting detailed level of access to the system and specifying which parts, functions, and features are to be accessible by the  employee. Clear, valid, and necessary business justification must be provided for the user in question. Other approvals are included as necessary and based on the access being requested. If all parties approve the employee’s access, the respective technology team grants access as requested in the ticket. User accounts are deleted upon termination of employment. On a quarterly basis, user accounts are reviewed for appropriateness, making changes to access where required.
</v>
      </c>
      <c r="J61" s="65">
        <f>IF(VLOOKUP(Table1[[#This Row],[Column2]],'Analyst Report'!$A$41:$G$88,7,FALSE)="Yes",1,0)</f>
        <v>0</v>
      </c>
      <c r="K61" s="65">
        <f>IF(Table1[[#This Row],[Column8]]=1,25,"")</f>
        <v>25</v>
      </c>
      <c r="L61" s="65">
        <f>IF(Table1[[#This Row],[Column8]]=1,J61*K61,"")</f>
        <v>0</v>
      </c>
      <c r="M61" s="66" t="str">
        <f>VLOOKUP($B61,'Standards Crosswalk'!$A:$H,3,FALSE)</f>
        <v>CSC 6</v>
      </c>
      <c r="N61" s="66">
        <f>VLOOKUP($B61,'Standards Crosswalk'!$A:$H,4,FALSE)</f>
        <v>0</v>
      </c>
      <c r="O61" s="66" t="str">
        <f>VLOOKUP($B61,'Standards Crosswalk'!$A:$H,5,FALSE)</f>
        <v>12.4</v>
      </c>
      <c r="P61" s="66" t="str">
        <f>VLOOKUP($B61,'Standards Crosswalk'!$A:$H,6,FALSE)</f>
        <v>PR.PT-1</v>
      </c>
      <c r="Q61" s="66" t="str">
        <f>VLOOKUP($B61,'Standards Crosswalk'!$A:$H,7,FALSE)</f>
        <v>3.1.7, 3.3.2, 3.3.3, 3.3.4, 3.3.5, 3.4.3, 3.7.1, 3.7.6, 3.10.4, 3.10.5</v>
      </c>
      <c r="R61" s="66" t="str">
        <f>VLOOKUP($B61,'Standards Crosswalk'!$A:$H,8,FALSE)</f>
        <v>AU-2(3), AU-6, AU-12, AC-6(9), CM-3, MA-2, MA-5, PE-3</v>
      </c>
      <c r="S61" s="66" t="str">
        <f>VLOOKUP($B61,'Standards Crosswalk'!$A:$I,9,FALSE)</f>
        <v>10.1, 10.2, 10.3, 10.5, 10.6, 10.7, 9.x</v>
      </c>
    </row>
    <row r="62" spans="1:19" ht="409.6" thickBot="1" x14ac:dyDescent="0.2">
      <c r="A62" s="65">
        <f t="shared" si="1"/>
        <v>60</v>
      </c>
      <c r="B62" s="71" t="s">
        <v>227</v>
      </c>
      <c r="C62" s="72" t="str">
        <f>VLOOKUP(B62,'HECVAT - Full'!A:E,2,FALSE)</f>
        <v>Describe or provide a reference to the retention period for those logs, how logs are protected, and whether they are accessible to the customer (and if so, how).</v>
      </c>
      <c r="D62" s="65">
        <f>VLOOKUP(B62,'HECVAT - Full'!A:E,4,FALSE)</f>
        <v>0</v>
      </c>
      <c r="E62" s="73" t="b">
        <f>IF(Table1[[#This Row],[Column11]]&gt;20,TRUE,FALSE)</f>
        <v>0</v>
      </c>
      <c r="F62" s="73" t="s">
        <v>2030</v>
      </c>
      <c r="G62" s="74" t="s">
        <v>17</v>
      </c>
      <c r="H62" s="75">
        <v>1</v>
      </c>
      <c r="I62" s="65" t="str">
        <f>VLOOKUP(B62,'HECVAT - Full'!A:E,3,FALSE)</f>
        <v xml:space="preserve">Portfolium is hosted on AWS, where redundancy of these tertiary services is built-in to all AWS services used by Portfolium.
</v>
      </c>
      <c r="J62" s="65">
        <f>IF(Table1[[#This Row],[Column7]]=Table1[[#This Row],[Column9]],1,0)</f>
        <v>0</v>
      </c>
      <c r="K62" s="65">
        <f>IF(Table1[[#This Row],[Column8]]=1,20,"")</f>
        <v>20</v>
      </c>
      <c r="L62" s="65">
        <f>IF(Table1[[#This Row],[Column8]]=1,J62*K62,"")</f>
        <v>0</v>
      </c>
      <c r="M62" s="66" t="str">
        <f>VLOOKUP($B62,'Standards Crosswalk'!$A:$H,3,FALSE)</f>
        <v>CSC 6</v>
      </c>
      <c r="N62" s="66">
        <f>VLOOKUP($B62,'Standards Crosswalk'!$A:$H,4,FALSE)</f>
        <v>0</v>
      </c>
      <c r="O62" s="66" t="str">
        <f>VLOOKUP($B62,'Standards Crosswalk'!$A:$H,5,FALSE)</f>
        <v>12.4</v>
      </c>
      <c r="P62" s="66" t="str">
        <f>VLOOKUP($B62,'Standards Crosswalk'!$A:$H,6,FALSE)</f>
        <v>PR.PT-1</v>
      </c>
      <c r="Q62" s="66" t="str">
        <f>VLOOKUP($B62,'Standards Crosswalk'!$A:$H,7,FALSE)</f>
        <v>3.3.8, 3.3.9</v>
      </c>
      <c r="R62" s="66" t="str">
        <f>VLOOKUP($B62,'Standards Crosswalk'!$A:$H,8,FALSE)</f>
        <v>AU-9</v>
      </c>
      <c r="S62" s="66">
        <f>VLOOKUP($B62,'Standards Crosswalk'!$A:$I,9,FALSE)</f>
        <v>10.7</v>
      </c>
    </row>
    <row r="63" spans="1:19" ht="409.6" thickBot="1" x14ac:dyDescent="0.2">
      <c r="A63" s="65">
        <f t="shared" si="1"/>
        <v>61</v>
      </c>
      <c r="B63" s="71" t="s">
        <v>210</v>
      </c>
      <c r="C63" s="72" t="str">
        <f>VLOOKUP(B63,'HECVAT - Full'!A:E,2,FALSE)</f>
        <v>Describe or provide a reference to your Business Continuity Plan (BCP).</v>
      </c>
      <c r="D63" s="65">
        <f>VLOOKUP(B63,'HECVAT - Full'!A:E,4,FALSE)</f>
        <v>0</v>
      </c>
      <c r="E63" s="73" t="b">
        <f>IF(Table1[[#This Row],[Column11]]&gt;20,TRUE,FALSE)</f>
        <v>1</v>
      </c>
      <c r="F63" s="73" t="s">
        <v>2031</v>
      </c>
      <c r="G63" s="74" t="s">
        <v>17</v>
      </c>
      <c r="H63" s="75">
        <v>1</v>
      </c>
      <c r="I63" s="65" t="str">
        <f>VLOOKUP(B63,'HECVAT - Full'!A:E,3,FALSE)</f>
        <v xml:space="preserve">
Portfolium Disaster Recovery Policy
Last Updated December 19, 2018
The Portfolium Disaster Recovery &amp; Business Continuity Policy are subject to change at the discretion of the Executive Team and/or Board of Directors. Any changes or updates to the Disaster Recovery &amp; Business Continuity Policy will be documented and timestamped.
Portfolium is architected as an n-tier ephemeral system. The web servers auto-scale based on load/traffic into the ELBs (https://aws.amazon.com/elasticloadbalancing/) (Elastic Load Balancers), and can go away at any time without impacting the continuity of the application. Supporting systems and servers such as Redis (caching) and MySQL (persistent storage) all are deployed across multiple AZ’s (https://docs.aws.amazon.com/AWSEC2/latest/UserGuide/using-regions-availability-zones.html) (Availability Zones), with real-time replication.
Utilizing AWS and all of the services that are provided, Portfolium is able to deliver a highly available robust solution. In case of a disaster, there are clear steps to follow to ensure continuity in the service.
Disaster Recovery Site
Portfolium uses Availability Zones within the US-EAST-1 region (https://docs.aws.amazon.com/AWSEC2/latest/UserGuide/using-regions-availability-zones.html) (which is in North Virginia). 
Each Amazon Region is designed to be completely isolated from the other Amazon Regions. This achieves the greatest possible fault tolerance and stability. Each Availability Zone is isolated, but the Availability Zones in a Region are connected through low-latency links. AWS provides Portfolium with the flexibility to place instances and store data within multiple geographic regions as well as across multiple Availability Zones within each AWS Region. Each Availability Zone is designed as an independent failure zone. This means that Availability Zones are physically separated within a typical metropolitan region and are located in lower risk flood plains (specific flood zone categorization varies by AWS Region). In addition to discrete uninterruptible power supply (UPS) and onsite backup generation facilities, they are each fed via different grids from independent utilities to further reduce single points of failure. Availability Zones are all redundantly connected to multiple tier-1 transit providers.
Portfolium currently does not deploy its services across different AWS regions.
How to replicate and sync data between sites
AWS take care of Multiple Availability Zone replication automatically. Every time a file is uploaded to S3, it’s replicated to two other zones in the same region. All of Portfolium’s data services (ElastiCache, RDS, etc) are set up to utilize AZs. As the web servers auto-scale up and down, they’re evenly distributed across the available AZ’s within the US-EAST-1 region.
Monitoring &amp; Alerting
Portfolium partners with various providers to get a holistic view into the delivery of its services (availability, performance, engagement, defects, etc).
Pingdom (https://www.pingdom.com/): Pingdom is a health-check service that monitors the availability of defined endpoints/URLs around the world. We run Pingdom on key pages that would determine availability of the service. If ever unavailable, mobile push-notifications are sent out to the Chief Technology Officer and Site Reliability Engineer, and emails are sent to the whole dev and management team.
CloudWatch (https://aws.amazon.com/cloudwatch/): CloudWatch provides Portfolium with data and actionable insights to monitor the applications, understand and respond to system-wide performance changes, optimize resource utilization, and get a unified view of operational health. There are a multitude of alerting policies set up across all services that monitor CPU, Memory, Disk, Load, etc. Alerts are delivered via email to the Chief Technology Officer, Site Reliability Engineer, and Senior Engineer on the team.
Datadog (https://www.datadoghq.com/): Datadog is a application performance monitoring tool along side a system and application log aggregator. Which allows the Portfolium dev team to pinpoint an issue or unperformant transaction, and be able to do a system wide investigation (logs, application, and system) to analyze and resolve the concern.
Google Analytics (https://marketingplatform.google.com/about/analytics/): Google Analytics allows us to analyze traffic patterns and overall site load in real-time. During office hours, the live traffic is always visible to employees on a TV, and monitors are set up to alert developers for slow response times.
Sentry (https://sentry.io/welcome/): Sentry is a client-side error tracking software that helps Portfolium monitor and fix Javascript crashes in real time, iterate continuously, boost efficiency, and improve the user experience.
Disaster Recovery Steps
    1. Go to https://status.aws.amazon.com/ (https://status.aws.amazon.com/) and make sure there are no known service level outages.
    2. Log into AWS Console and quickly analyze:
    3. 
        1. The production RDS instance for CPU and connections
        2. OpsWorks production stack, and that the instances are all up
        3. ElastiCache Redis instance for CPU, connections, and engine CPU
    4. After analysis, if determined an availability zone is down, review services auto-failover logs to make sure things are switching over to the available zone.
    5. After analysis, if determined employee-disaster
    6. 
        1. put the splash page up at the load balancer level blocking all incoming traffic to the web servers
        2. Start a point in time restore to the 5-min interval before the incident
        3. remove the splash page allowing normal operations to continue</v>
      </c>
      <c r="J63" s="65">
        <f>IF(VLOOKUP(Table1[[#This Row],[Column2]],'Analyst Report'!$A$41:$G$88,7,FALSE)="Yes",1,0)</f>
        <v>0</v>
      </c>
      <c r="K63" s="65">
        <f>IF(Table1[[#This Row],[Column8]]=1,25,"")</f>
        <v>25</v>
      </c>
      <c r="L63" s="65">
        <f>IF(Table1[[#This Row],[Column8]]=1,J63*K63,"")</f>
        <v>0</v>
      </c>
      <c r="M63" s="66" t="str">
        <f>VLOOKUP($B63,'Standards Crosswalk'!$A:$H,3,FALSE)</f>
        <v>CSC 10</v>
      </c>
      <c r="N63" s="66">
        <f>VLOOKUP($B63,'Standards Crosswalk'!$A:$H,4,FALSE)</f>
        <v>0</v>
      </c>
      <c r="O63" s="66" t="str">
        <f>VLOOKUP($B63,'Standards Crosswalk'!$A:$H,5,FALSE)</f>
        <v>17.1.1</v>
      </c>
      <c r="P63" s="66" t="str">
        <f>VLOOKUP($B63,'Standards Crosswalk'!$A:$H,6,FALSE)</f>
        <v>PR.IP-9</v>
      </c>
      <c r="Q63" s="66" t="str">
        <f>VLOOKUP($B63,'Standards Crosswalk'!$A:$H,7,FALSE)</f>
        <v>3.12.2</v>
      </c>
      <c r="R63" s="66" t="str">
        <f>VLOOKUP($B63,'Standards Crosswalk'!$A:$H,8,FALSE)</f>
        <v>AU-7, AU-9, IR-4, AC-5, CP-4, CP-10; NIST SP 800-34</v>
      </c>
      <c r="S63" s="66">
        <f>VLOOKUP($B63,'Standards Crosswalk'!$A:$I,9,FALSE)</f>
        <v>0</v>
      </c>
    </row>
    <row r="64" spans="1:19" ht="46" thickBot="1" x14ac:dyDescent="0.2">
      <c r="A64" s="65">
        <f t="shared" si="1"/>
        <v>62</v>
      </c>
      <c r="B64" s="71" t="s">
        <v>228</v>
      </c>
      <c r="C64" s="72" t="str">
        <f>VLOOKUP(B64,'HECVAT - Full'!A:E,2,FALSE)</f>
        <v>May the Institution review your BCP and supporting documentation?</v>
      </c>
      <c r="D64" s="65">
        <f>VLOOKUP(B64,'HECVAT - Full'!A:E,4,FALSE)</f>
        <v>0</v>
      </c>
      <c r="E64" s="73" t="b">
        <f>IF(Table1[[#This Row],[Column11]]&gt;20,TRUE,FALSE)</f>
        <v>0</v>
      </c>
      <c r="F64" s="73" t="s">
        <v>2031</v>
      </c>
      <c r="G64" s="74" t="s">
        <v>17</v>
      </c>
      <c r="H64" s="75">
        <v>1</v>
      </c>
      <c r="I64" s="65" t="str">
        <f>VLOOKUP(B64,'HECVAT - Full'!A:E,3,FALSE)</f>
        <v>Yes</v>
      </c>
      <c r="J64" s="65">
        <f>IF(Table1[[#This Row],[Column7]]=Table1[[#This Row],[Column9]],1,0)</f>
        <v>1</v>
      </c>
      <c r="K64" s="65">
        <f>IF(Table1[[#This Row],[Column8]]=1,20,"")</f>
        <v>20</v>
      </c>
      <c r="L64" s="65">
        <f>IF(Table1[[#This Row],[Column8]]=1,J64*K64,"")</f>
        <v>20</v>
      </c>
      <c r="M64" s="66" t="str">
        <f>VLOOKUP($B64,'Standards Crosswalk'!$A:$H,3,FALSE)</f>
        <v>CSC 10</v>
      </c>
      <c r="N64" s="66">
        <f>VLOOKUP($B64,'Standards Crosswalk'!$A:$H,4,FALSE)</f>
        <v>0</v>
      </c>
      <c r="O64" s="66">
        <f>VLOOKUP($B64,'Standards Crosswalk'!$A:$H,5,FALSE)</f>
        <v>0</v>
      </c>
      <c r="P64" s="66" t="str">
        <f>VLOOKUP($B64,'Standards Crosswalk'!$A:$H,6,FALSE)</f>
        <v>PR.IP-9</v>
      </c>
      <c r="Q64" s="66" t="str">
        <f>VLOOKUP($B64,'Standards Crosswalk'!$A:$H,7,FALSE)</f>
        <v>3.12.2</v>
      </c>
      <c r="R64" s="66" t="str">
        <f>VLOOKUP($B64,'Standards Crosswalk'!$A:$H,8,FALSE)</f>
        <v>AC-5, CP-4, CP-10; NIST SP 800-34</v>
      </c>
      <c r="S64" s="66">
        <f>VLOOKUP($B64,'Standards Crosswalk'!$A:$I,9,FALSE)</f>
        <v>0</v>
      </c>
    </row>
    <row r="65" spans="1:19" ht="181" thickBot="1" x14ac:dyDescent="0.2">
      <c r="A65" s="65">
        <f t="shared" si="1"/>
        <v>63</v>
      </c>
      <c r="B65" s="71" t="s">
        <v>229</v>
      </c>
      <c r="C65" s="72" t="str">
        <f>VLOOKUP(B65,'HECVAT - Full'!A:E,2,FALSE)</f>
        <v>Is an owner assigned who is responsible for the maintenance and review of the Business Continuity Plan?</v>
      </c>
      <c r="D65" s="65" t="str">
        <f>VLOOKUP(B65,'HECVAT - Full'!A:E,4,FALSE)</f>
        <v xml:space="preserve">Key employees in the SRE team are responsible for the BCP
</v>
      </c>
      <c r="E65" s="73" t="b">
        <f>IF(Table1[[#This Row],[Column11]]&gt;20,TRUE,FALSE)</f>
        <v>0</v>
      </c>
      <c r="F65" s="73" t="s">
        <v>2031</v>
      </c>
      <c r="G65" s="74" t="s">
        <v>17</v>
      </c>
      <c r="H65" s="75">
        <v>1</v>
      </c>
      <c r="I65" s="65" t="str">
        <f>VLOOKUP(B65,'HECVAT - Full'!A:E,3,FALSE)</f>
        <v>Yes</v>
      </c>
      <c r="J65" s="65">
        <f>IF(Table1[[#This Row],[Column7]]=Table1[[#This Row],[Column9]],1,0)</f>
        <v>1</v>
      </c>
      <c r="K65" s="65">
        <f>IF(Table1[[#This Row],[Column8]]=1,20,"")</f>
        <v>20</v>
      </c>
      <c r="L65" s="65">
        <f>IF(Table1[[#This Row],[Column8]]=1,J65*K65,"")</f>
        <v>20</v>
      </c>
      <c r="M65" s="66" t="str">
        <f>VLOOKUP($B65,'Standards Crosswalk'!$A:$H,3,FALSE)</f>
        <v>CSC 10</v>
      </c>
      <c r="N65" s="66">
        <f>VLOOKUP($B65,'Standards Crosswalk'!$A:$H,4,FALSE)</f>
        <v>0</v>
      </c>
      <c r="O65" s="66" t="str">
        <f>VLOOKUP($B65,'Standards Crosswalk'!$A:$H,5,FALSE)</f>
        <v>17.1.1</v>
      </c>
      <c r="P65" s="66" t="str">
        <f>VLOOKUP($B65,'Standards Crosswalk'!$A:$H,6,FALSE)</f>
        <v>PR.IP-9</v>
      </c>
      <c r="Q65" s="66" t="str">
        <f>VLOOKUP($B65,'Standards Crosswalk'!$A:$H,7,FALSE)</f>
        <v>3.12.2</v>
      </c>
      <c r="R65" s="66" t="str">
        <f>VLOOKUP($B65,'Standards Crosswalk'!$A:$H,8,FALSE)</f>
        <v>AU-7, AU-9, IR-4, AC-5, CP-4, CP-10; NIST SP 800-34</v>
      </c>
      <c r="S65" s="66">
        <f>VLOOKUP($B65,'Standards Crosswalk'!$A:$I,9,FALSE)</f>
        <v>0</v>
      </c>
    </row>
    <row r="66" spans="1:19" ht="61" thickBot="1" x14ac:dyDescent="0.2">
      <c r="A66" s="65">
        <f t="shared" si="1"/>
        <v>64</v>
      </c>
      <c r="B66" s="71" t="s">
        <v>230</v>
      </c>
      <c r="C66" s="72" t="str">
        <f>VLOOKUP(B66,'HECVAT - Full'!A:E,2,FALSE)</f>
        <v>Is there a defined problem/issue escalation plan in your BCP for impacted clients?</v>
      </c>
      <c r="D66" s="65">
        <f>VLOOKUP(B66,'HECVAT - Full'!A:E,4,FALSE)</f>
        <v>0</v>
      </c>
      <c r="E66" s="73" t="b">
        <f>IF(Table1[[#This Row],[Column11]]&gt;20,TRUE,FALSE)</f>
        <v>0</v>
      </c>
      <c r="F66" s="73" t="s">
        <v>2031</v>
      </c>
      <c r="G66" s="74" t="s">
        <v>17</v>
      </c>
      <c r="H66" s="75">
        <v>1</v>
      </c>
      <c r="I66" s="65" t="str">
        <f>VLOOKUP(B66,'HECVAT - Full'!A:E,3,FALSE)</f>
        <v>Yes</v>
      </c>
      <c r="J66" s="65">
        <f>IF(Table1[[#This Row],[Column7]]=Table1[[#This Row],[Column9]],1,0)</f>
        <v>1</v>
      </c>
      <c r="K66" s="65">
        <f>IF(Table1[[#This Row],[Column8]]=1,20,"")</f>
        <v>20</v>
      </c>
      <c r="L66" s="65">
        <f>IF(Table1[[#This Row],[Column8]]=1,J66*K66,"")</f>
        <v>20</v>
      </c>
      <c r="M66" s="66" t="str">
        <f>VLOOKUP($B66,'Standards Crosswalk'!$A:$H,3,FALSE)</f>
        <v>CSC 10</v>
      </c>
      <c r="N66" s="66">
        <f>VLOOKUP($B66,'Standards Crosswalk'!$A:$H,4,FALSE)</f>
        <v>0</v>
      </c>
      <c r="O66" s="66" t="str">
        <f>VLOOKUP($B66,'Standards Crosswalk'!$A:$H,5,FALSE)</f>
        <v>17</v>
      </c>
      <c r="P66" s="66" t="str">
        <f>VLOOKUP($B66,'Standards Crosswalk'!$A:$H,6,FALSE)</f>
        <v>PR.IP-9</v>
      </c>
      <c r="Q66" s="66" t="str">
        <f>VLOOKUP($B66,'Standards Crosswalk'!$A:$H,7,FALSE)</f>
        <v>3.12.2</v>
      </c>
      <c r="R66" s="66" t="str">
        <f>VLOOKUP($B66,'Standards Crosswalk'!$A:$H,8,FALSE)</f>
        <v>AU-7, AU-9, IR-4, AC-5, CP-4, CP-10; NIST SP 800-34</v>
      </c>
      <c r="S66" s="66">
        <f>VLOOKUP($B66,'Standards Crosswalk'!$A:$I,9,FALSE)</f>
        <v>0</v>
      </c>
    </row>
    <row r="67" spans="1:19" ht="409.6" thickBot="1" x14ac:dyDescent="0.2">
      <c r="A67" s="65">
        <f t="shared" si="1"/>
        <v>65</v>
      </c>
      <c r="B67" s="71" t="s">
        <v>231</v>
      </c>
      <c r="C67" s="72" t="str">
        <f>VLOOKUP(B67,'HECVAT - Full'!A:E,2,FALSE)</f>
        <v>Is there a documented communication plan in your BCP for impacted clients?</v>
      </c>
      <c r="D67" s="65" t="str">
        <f>VLOOKUP(B67,'HECVAT - Full'!A:E,4,FALSE)</f>
        <v xml:space="preserve">All key engineers and management are trained on how to implement, and communicate during any major outage. Documents are available upon request and are updated to reflect all new and improved procedures.
</v>
      </c>
      <c r="E67" s="73" t="b">
        <f>IF(Table1[[#This Row],[Column11]]&gt;20,TRUE,FALSE)</f>
        <v>0</v>
      </c>
      <c r="F67" s="73" t="s">
        <v>2031</v>
      </c>
      <c r="G67" s="74" t="s">
        <v>17</v>
      </c>
      <c r="H67" s="75">
        <v>1</v>
      </c>
      <c r="I67" s="65">
        <f>VLOOKUP(B67,'HECVAT - Full'!A:E,3,FALSE)</f>
        <v>0</v>
      </c>
      <c r="J67" s="65">
        <f>IF(Table1[[#This Row],[Column7]]=Table1[[#This Row],[Column9]],1,0)</f>
        <v>0</v>
      </c>
      <c r="K67" s="65">
        <f>IF(Table1[[#This Row],[Column8]]=1,20,"")</f>
        <v>20</v>
      </c>
      <c r="L67" s="65">
        <f>IF(Table1[[#This Row],[Column8]]=1,J67*K67,"")</f>
        <v>0</v>
      </c>
      <c r="M67" s="66" t="str">
        <f>VLOOKUP($B67,'Standards Crosswalk'!$A:$H,3,FALSE)</f>
        <v>CSC 10</v>
      </c>
      <c r="N67" s="66">
        <f>VLOOKUP($B67,'Standards Crosswalk'!$A:$H,4,FALSE)</f>
        <v>0</v>
      </c>
      <c r="O67" s="66" t="str">
        <f>VLOOKUP($B67,'Standards Crosswalk'!$A:$H,5,FALSE)</f>
        <v>17.1.2</v>
      </c>
      <c r="P67" s="66" t="str">
        <f>VLOOKUP($B67,'Standards Crosswalk'!$A:$H,6,FALSE)</f>
        <v>PR.IP-9</v>
      </c>
      <c r="Q67" s="66" t="str">
        <f>VLOOKUP($B67,'Standards Crosswalk'!$A:$H,7,FALSE)</f>
        <v>3.12.2</v>
      </c>
      <c r="R67" s="66" t="str">
        <f>VLOOKUP($B67,'Standards Crosswalk'!$A:$H,8,FALSE)</f>
        <v>AU-7, AU-9, IR-4, AC-5, CP-4, CP-10; NIST SP 800-34</v>
      </c>
      <c r="S67" s="66">
        <f>VLOOKUP($B67,'Standards Crosswalk'!$A:$I,9,FALSE)</f>
        <v>0</v>
      </c>
    </row>
    <row r="68" spans="1:19" ht="256" thickBot="1" x14ac:dyDescent="0.2">
      <c r="A68" s="65">
        <f t="shared" ref="A68:A131" si="4">A67+1</f>
        <v>66</v>
      </c>
      <c r="B68" s="71" t="s">
        <v>232</v>
      </c>
      <c r="C68" s="72" t="str">
        <f>VLOOKUP(B68,'HECVAT - Full'!A:E,2,FALSE)</f>
        <v xml:space="preserve">Are all components of the BCP reviewed at least annually and updated as needed to reflect change? </v>
      </c>
      <c r="D68" s="65" t="str">
        <f>VLOOKUP(B68,'HECVAT - Full'!A:E,4,FALSE)</f>
        <v xml:space="preserve">All BCP components are reviewed and - at the very least - tested once per year to ensure compliancy.
</v>
      </c>
      <c r="E68" s="73" t="b">
        <f>IF(Table1[[#This Row],[Column11]]&gt;20,TRUE,FALSE)</f>
        <v>1</v>
      </c>
      <c r="F68" s="73" t="s">
        <v>2031</v>
      </c>
      <c r="G68" s="74" t="s">
        <v>17</v>
      </c>
      <c r="H68" s="75">
        <v>1</v>
      </c>
      <c r="I68" s="65">
        <f>VLOOKUP(B68,'HECVAT - Full'!A:E,3,FALSE)</f>
        <v>0</v>
      </c>
      <c r="J68" s="65">
        <f>IF(Table1[[#This Row],[Column7]]=Table1[[#This Row],[Column9]],1,0)</f>
        <v>0</v>
      </c>
      <c r="K68" s="65">
        <f>IF(Table1[[#This Row],[Column8]]=1,25,"")</f>
        <v>25</v>
      </c>
      <c r="L68" s="65">
        <f>IF(Table1[[#This Row],[Column8]]=1,J68*K68,"")</f>
        <v>0</v>
      </c>
      <c r="M68" s="66" t="str">
        <f>VLOOKUP($B68,'Standards Crosswalk'!$A:$H,3,FALSE)</f>
        <v>CSC 10</v>
      </c>
      <c r="N68" s="66">
        <f>VLOOKUP($B68,'Standards Crosswalk'!$A:$H,4,FALSE)</f>
        <v>0</v>
      </c>
      <c r="O68" s="66" t="str">
        <f>VLOOKUP($B68,'Standards Crosswalk'!$A:$H,5,FALSE)</f>
        <v>17.1.2</v>
      </c>
      <c r="P68" s="66" t="str">
        <f>VLOOKUP($B68,'Standards Crosswalk'!$A:$H,6,FALSE)</f>
        <v>PR.IP-9</v>
      </c>
      <c r="Q68" s="66" t="str">
        <f>VLOOKUP($B68,'Standards Crosswalk'!$A:$H,7,FALSE)</f>
        <v>3.12.2</v>
      </c>
      <c r="R68" s="66" t="str">
        <f>VLOOKUP($B68,'Standards Crosswalk'!$A:$H,8,FALSE)</f>
        <v>AU-7, AU-9, IR-4, AC-5, CP-4, CP-10; NIST SP 800-34</v>
      </c>
      <c r="S68" s="66">
        <f>VLOOKUP($B68,'Standards Crosswalk'!$A:$I,9,FALSE)</f>
        <v>0</v>
      </c>
    </row>
    <row r="69" spans="1:19" ht="409.6" thickBot="1" x14ac:dyDescent="0.2">
      <c r="A69" s="65">
        <f t="shared" si="4"/>
        <v>67</v>
      </c>
      <c r="B69" s="71" t="s">
        <v>233</v>
      </c>
      <c r="C69" s="72" t="str">
        <f>VLOOKUP(B69,'HECVAT - Full'!A:E,2,FALSE)</f>
        <v xml:space="preserve">Has your BCP been tested in the last year? </v>
      </c>
      <c r="D69" s="65" t="str">
        <f>VLOOKUP(B69,'HECVAT - Full'!A:E,4,FALSE)</f>
        <v xml:space="preserve">Our BCP processes are of the highest priority and are tested once a year in the event of a region-wide issue. All data is snapshotted and held encrypted in remote zones to ensure that fast recovery is attainable. 
</v>
      </c>
      <c r="E69" s="73" t="b">
        <f>IF(Table1[[#This Row],[Column11]]&gt;20,TRUE,FALSE)</f>
        <v>1</v>
      </c>
      <c r="F69" s="73" t="s">
        <v>2031</v>
      </c>
      <c r="G69" s="74" t="s">
        <v>17</v>
      </c>
      <c r="H69" s="75">
        <v>1</v>
      </c>
      <c r="I69" s="65">
        <f>VLOOKUP(B69,'HECVAT - Full'!A:E,3,FALSE)</f>
        <v>0</v>
      </c>
      <c r="J69" s="65">
        <f>IF(Table1[[#This Row],[Column7]]=Table1[[#This Row],[Column9]],1,0)</f>
        <v>0</v>
      </c>
      <c r="K69" s="65">
        <f>IF(Table1[[#This Row],[Column8]]=1,25,"")</f>
        <v>25</v>
      </c>
      <c r="L69" s="65">
        <f>IF(Table1[[#This Row],[Column8]]=1,J69*K69,"")</f>
        <v>0</v>
      </c>
      <c r="M69" s="66" t="str">
        <f>VLOOKUP($B69,'Standards Crosswalk'!$A:$H,3,FALSE)</f>
        <v>CSC 10</v>
      </c>
      <c r="N69" s="66">
        <f>VLOOKUP($B69,'Standards Crosswalk'!$A:$H,4,FALSE)</f>
        <v>0</v>
      </c>
      <c r="O69" s="66" t="str">
        <f>VLOOKUP($B69,'Standards Crosswalk'!$A:$H,5,FALSE)</f>
        <v>17.1.3</v>
      </c>
      <c r="P69" s="66" t="str">
        <f>VLOOKUP($B69,'Standards Crosswalk'!$A:$H,6,FALSE)</f>
        <v>PR.IP-9</v>
      </c>
      <c r="Q69" s="66" t="str">
        <f>VLOOKUP($B69,'Standards Crosswalk'!$A:$H,7,FALSE)</f>
        <v>3.12.2</v>
      </c>
      <c r="R69" s="66" t="str">
        <f>VLOOKUP($B69,'Standards Crosswalk'!$A:$H,8,FALSE)</f>
        <v>AU-7, AU-9, IR-4, AC-5, CP-4, CP-10; NIST SP 800-34</v>
      </c>
      <c r="S69" s="66">
        <f>VLOOKUP($B69,'Standards Crosswalk'!$A:$I,9,FALSE)</f>
        <v>0</v>
      </c>
    </row>
    <row r="70" spans="1:19" ht="409.6" thickBot="1" x14ac:dyDescent="0.2">
      <c r="A70" s="65">
        <f t="shared" si="4"/>
        <v>68</v>
      </c>
      <c r="B70" s="71" t="s">
        <v>234</v>
      </c>
      <c r="C70" s="72" t="str">
        <f>VLOOKUP(B70,'HECVAT - Full'!A:E,2,FALSE)</f>
        <v>Does your organization conduct training and awareness activities to validate its employees understanding of their roles and responsibilities during a crisis?</v>
      </c>
      <c r="D70" s="65" t="str">
        <f>VLOOKUP(B70,'HECVAT - Full'!A:E,4,FALSE)</f>
        <v xml:space="preserve">Portfolium and Instructure are very forward-facing regarding training - budgets are allowed for - and utilized - to ensure that our employees are properly trained on the latest and most advanced procedures and processes.
</v>
      </c>
      <c r="E70" s="73" t="b">
        <f>IF(Table1[[#This Row],[Column11]]&gt;20,TRUE,FALSE)</f>
        <v>0</v>
      </c>
      <c r="F70" s="73" t="s">
        <v>2031</v>
      </c>
      <c r="G70" s="74" t="s">
        <v>17</v>
      </c>
      <c r="H70" s="75">
        <v>1</v>
      </c>
      <c r="I70" s="65">
        <f>VLOOKUP(B70,'HECVAT - Full'!A:E,3,FALSE)</f>
        <v>0</v>
      </c>
      <c r="J70" s="65">
        <f>IF(Table1[[#This Row],[Column7]]=Table1[[#This Row],[Column9]],1,0)</f>
        <v>0</v>
      </c>
      <c r="K70" s="65">
        <f>IF(Table1[[#This Row],[Column8]]=1,20,"")</f>
        <v>20</v>
      </c>
      <c r="L70" s="65">
        <f>IF(Table1[[#This Row],[Column8]]=1,J70*K70,"")</f>
        <v>0</v>
      </c>
      <c r="M70" s="66" t="str">
        <f>VLOOKUP($B70,'Standards Crosswalk'!$A:$H,3,FALSE)</f>
        <v>CSC 10</v>
      </c>
      <c r="N70" s="66">
        <f>VLOOKUP($B70,'Standards Crosswalk'!$A:$H,4,FALSE)</f>
        <v>0</v>
      </c>
      <c r="O70" s="66" t="str">
        <f>VLOOKUP($B70,'Standards Crosswalk'!$A:$H,5,FALSE)</f>
        <v>7.2.2, 17.1.3</v>
      </c>
      <c r="P70" s="66" t="str">
        <f>VLOOKUP($B70,'Standards Crosswalk'!$A:$H,6,FALSE)</f>
        <v>PR.IP-9</v>
      </c>
      <c r="Q70" s="66" t="str">
        <f>VLOOKUP($B70,'Standards Crosswalk'!$A:$H,7,FALSE)</f>
        <v>3.2.1, 3.2.2</v>
      </c>
      <c r="R70" s="66" t="str">
        <f>VLOOKUP($B70,'Standards Crosswalk'!$A:$H,8,FALSE)</f>
        <v>AT-3, AC-5, CP-4, CP-10; NIST SP 800-34</v>
      </c>
      <c r="S70" s="66" t="str">
        <f>VLOOKUP($B70,'Standards Crosswalk'!$A:$I,9,FALSE)</f>
        <v>12.x</v>
      </c>
    </row>
    <row r="71" spans="1:19" ht="409.6" thickBot="1" x14ac:dyDescent="0.2">
      <c r="A71" s="65">
        <f t="shared" si="4"/>
        <v>69</v>
      </c>
      <c r="B71" s="71" t="s">
        <v>235</v>
      </c>
      <c r="C71" s="72" t="str">
        <f>VLOOKUP(B71,'HECVAT - Full'!A:E,2,FALSE)</f>
        <v>Are specific crisis management roles and responsibilities defined and documented?</v>
      </c>
      <c r="D71" s="65" t="str">
        <f>VLOOKUP(B71,'HECVAT - Full'!A:E,4,FALSE)</f>
        <v xml:space="preserve">Crisis Management roles are assigned to our DevOps and SRE departments on a least-required-access ACL - all roles are documented within our departments and defined upon hire and request.
</v>
      </c>
      <c r="E71" s="73" t="b">
        <f>IF(Table1[[#This Row],[Column11]]&gt;20,TRUE,FALSE)</f>
        <v>0</v>
      </c>
      <c r="F71" s="73" t="s">
        <v>2031</v>
      </c>
      <c r="G71" s="74" t="s">
        <v>17</v>
      </c>
      <c r="H71" s="75">
        <v>1</v>
      </c>
      <c r="I71" s="65">
        <f>VLOOKUP(B71,'HECVAT - Full'!A:E,3,FALSE)</f>
        <v>0</v>
      </c>
      <c r="J71" s="65">
        <f>IF(Table1[[#This Row],[Column7]]=Table1[[#This Row],[Column9]],1,0)</f>
        <v>0</v>
      </c>
      <c r="K71" s="65">
        <f>IF(Table1[[#This Row],[Column8]]=1,20,"")</f>
        <v>20</v>
      </c>
      <c r="L71" s="65">
        <f>IF(Table1[[#This Row],[Column8]]=1,J71*K71,"")</f>
        <v>0</v>
      </c>
      <c r="M71" s="66" t="str">
        <f>VLOOKUP($B71,'Standards Crosswalk'!$A:$H,3,FALSE)</f>
        <v>CSC 10</v>
      </c>
      <c r="N71" s="66">
        <f>VLOOKUP($B71,'Standards Crosswalk'!$A:$H,4,FALSE)</f>
        <v>0</v>
      </c>
      <c r="O71" s="66" t="str">
        <f>VLOOKUP($B71,'Standards Crosswalk'!$A:$H,5,FALSE)</f>
        <v>7.2.2, 16.1.1, 17.1.3</v>
      </c>
      <c r="P71" s="66" t="str">
        <f>VLOOKUP($B71,'Standards Crosswalk'!$A:$H,6,FALSE)</f>
        <v>PR.IP-9</v>
      </c>
      <c r="Q71" s="66">
        <f>VLOOKUP($B71,'Standards Crosswalk'!$A:$H,7,FALSE)</f>
        <v>0</v>
      </c>
      <c r="R71" s="66" t="str">
        <f>VLOOKUP($B71,'Standards Crosswalk'!$A:$H,8,FALSE)</f>
        <v>AC-5, CP-4, CP-10; NIST SP 800-34</v>
      </c>
      <c r="S71" s="66" t="str">
        <f>VLOOKUP($B71,'Standards Crosswalk'!$A:$I,9,FALSE)</f>
        <v>12.x</v>
      </c>
    </row>
    <row r="72" spans="1:19" ht="409.6" thickBot="1" x14ac:dyDescent="0.2">
      <c r="A72" s="65">
        <f t="shared" si="4"/>
        <v>70</v>
      </c>
      <c r="B72" s="71" t="s">
        <v>236</v>
      </c>
      <c r="C72" s="72" t="str">
        <f>VLOOKUP(B72,'HECVAT - Full'!A:E,2,FALSE)</f>
        <v>Does your organization have an alternative business site or a contracted Business Recovery provider?</v>
      </c>
      <c r="D72" s="65" t="str">
        <f>VLOOKUP(B72,'HECVAT - Full'!A:E,4,FALSE)</f>
        <v xml:space="preserve">Disaster Recovery is self-contained within the AWS infrastructure - all processes are tested and architected for immediacy in the event of a region-wide failure.
</v>
      </c>
      <c r="E72" s="73" t="b">
        <f>IF(Table1[[#This Row],[Column11]]&gt;20,TRUE,FALSE)</f>
        <v>0</v>
      </c>
      <c r="F72" s="73" t="s">
        <v>2031</v>
      </c>
      <c r="G72" s="74" t="s">
        <v>17</v>
      </c>
      <c r="H72" s="75">
        <v>1</v>
      </c>
      <c r="I72" s="65">
        <f>VLOOKUP(B72,'HECVAT - Full'!A:E,3,FALSE)</f>
        <v>0</v>
      </c>
      <c r="J72" s="65">
        <f>IF(Table1[[#This Row],[Column7]]=Table1[[#This Row],[Column9]],1,0)</f>
        <v>0</v>
      </c>
      <c r="K72" s="65">
        <f>IF(Table1[[#This Row],[Column8]]=1,20,"")</f>
        <v>20</v>
      </c>
      <c r="L72" s="65">
        <f>IF(Table1[[#This Row],[Column8]]=1,J72*K72,"")</f>
        <v>0</v>
      </c>
      <c r="M72" s="66" t="str">
        <f>VLOOKUP($B72,'Standards Crosswalk'!$A:$H,3,FALSE)</f>
        <v>CSC 10</v>
      </c>
      <c r="N72" s="66">
        <f>VLOOKUP($B72,'Standards Crosswalk'!$A:$H,4,FALSE)</f>
        <v>0</v>
      </c>
      <c r="O72" s="66" t="str">
        <f>VLOOKUP($B72,'Standards Crosswalk'!$A:$H,5,FALSE)</f>
        <v>17.2.1</v>
      </c>
      <c r="P72" s="66" t="str">
        <f>VLOOKUP($B72,'Standards Crosswalk'!$A:$H,6,FALSE)</f>
        <v>PR.IP-9</v>
      </c>
      <c r="Q72" s="66">
        <f>VLOOKUP($B72,'Standards Crosswalk'!$A:$H,7,FALSE)</f>
        <v>0</v>
      </c>
      <c r="R72" s="66" t="str">
        <f>VLOOKUP($B72,'Standards Crosswalk'!$A:$H,8,FALSE)</f>
        <v>AC-5, CP-4, CP-10; NIST SP 800-34</v>
      </c>
      <c r="S72" s="66">
        <f>VLOOKUP($B72,'Standards Crosswalk'!$A:$I,9,FALSE)</f>
        <v>12.1</v>
      </c>
    </row>
    <row r="73" spans="1:19" ht="286" thickBot="1" x14ac:dyDescent="0.2">
      <c r="A73" s="65">
        <f t="shared" si="4"/>
        <v>71</v>
      </c>
      <c r="B73" s="71" t="s">
        <v>237</v>
      </c>
      <c r="C73" s="72" t="str">
        <f>VLOOKUP(B73,'HECVAT - Full'!A:E,2,FALSE)</f>
        <v>Does your organization conduct an annual test of relocating to an alternate site for business recovery purposes?</v>
      </c>
      <c r="D73" s="65" t="str">
        <f>VLOOKUP(B73,'HECVAT - Full'!A:E,4,FALSE)</f>
        <v xml:space="preserve">Please review the Disaster Recovery section of this document to get details on our DR implementations.
</v>
      </c>
      <c r="E73" s="73" t="b">
        <f>IF(Table1[[#This Row],[Column11]]&gt;20,TRUE,FALSE)</f>
        <v>0</v>
      </c>
      <c r="F73" s="73" t="s">
        <v>2031</v>
      </c>
      <c r="G73" s="74" t="s">
        <v>17</v>
      </c>
      <c r="H73" s="75">
        <f>IF(I72="Yes",1,0)</f>
        <v>0</v>
      </c>
      <c r="I73" s="65" t="str">
        <f>VLOOKUP(B73,'HECVAT - Full'!A:E,3,FALSE)</f>
        <v>Yes</v>
      </c>
      <c r="J73" s="65">
        <f>IF(Table1[[#This Row],[Column7]]=Table1[[#This Row],[Column9]],1,0)</f>
        <v>1</v>
      </c>
      <c r="K73" s="65">
        <v>20</v>
      </c>
      <c r="L73" s="65" t="str">
        <f>IF(Table1[[#This Row],[Column8]]=1,J73*K73,"")</f>
        <v/>
      </c>
      <c r="M73" s="66" t="str">
        <f>VLOOKUP($B73,'Standards Crosswalk'!$A:$H,3,FALSE)</f>
        <v>CSC 10</v>
      </c>
      <c r="N73" s="66">
        <f>VLOOKUP($B73,'Standards Crosswalk'!$A:$H,4,FALSE)</f>
        <v>0</v>
      </c>
      <c r="O73" s="66" t="str">
        <f>VLOOKUP($B73,'Standards Crosswalk'!$A:$H,5,FALSE)</f>
        <v>17.1.3</v>
      </c>
      <c r="P73" s="66" t="str">
        <f>VLOOKUP($B73,'Standards Crosswalk'!$A:$H,6,FALSE)</f>
        <v>PR.IP-9</v>
      </c>
      <c r="Q73" s="66">
        <f>VLOOKUP($B73,'Standards Crosswalk'!$A:$H,7,FALSE)</f>
        <v>0</v>
      </c>
      <c r="R73" s="66" t="str">
        <f>VLOOKUP($B73,'Standards Crosswalk'!$A:$H,8,FALSE)</f>
        <v>AC-5, CP-4, CP-10; NIST SP 800-34</v>
      </c>
      <c r="S73" s="66">
        <f>VLOOKUP($B73,'Standards Crosswalk'!$A:$I,9,FALSE)</f>
        <v>12.1</v>
      </c>
    </row>
    <row r="74" spans="1:19" ht="409.6" thickBot="1" x14ac:dyDescent="0.2">
      <c r="A74" s="65">
        <f t="shared" si="4"/>
        <v>72</v>
      </c>
      <c r="B74" s="71" t="s">
        <v>238</v>
      </c>
      <c r="C74" s="72" t="str">
        <f>VLOOKUP(B74,'HECVAT - Full'!A:E,2,FALSE)</f>
        <v>Is this product a core service of your organization, and as such, the top priority during business continuity planning?</v>
      </c>
      <c r="D74" s="65" t="str">
        <f>VLOOKUP(B74,'HECVAT - Full'!A:E,4,FALSE)</f>
        <v xml:space="preserve">Instructure has a wide-variety of applications within out business stack - however - we have a dedicated team solely assigned to Portfolium development and reliability.
</v>
      </c>
      <c r="E74" s="73" t="b">
        <f>IF(Table1[[#This Row],[Column11]]&gt;20,TRUE,FALSE)</f>
        <v>0</v>
      </c>
      <c r="F74" s="73" t="s">
        <v>2031</v>
      </c>
      <c r="G74" s="74" t="s">
        <v>17</v>
      </c>
      <c r="H74" s="75">
        <v>1</v>
      </c>
      <c r="I74" s="65">
        <f>VLOOKUP(B74,'HECVAT - Full'!A:E,3,FALSE)</f>
        <v>0</v>
      </c>
      <c r="J74" s="65">
        <f>IF(Table1[[#This Row],[Column7]]=Table1[[#This Row],[Column9]],1,0)</f>
        <v>0</v>
      </c>
      <c r="K74" s="65">
        <f>IF(Table1[[#This Row],[Column8]]=1,15,"")</f>
        <v>15</v>
      </c>
      <c r="L74" s="65">
        <f>IF(Table1[[#This Row],[Column8]]=1,J74*K74,"")</f>
        <v>0</v>
      </c>
      <c r="M74" s="66" t="str">
        <f>VLOOKUP($B74,'Standards Crosswalk'!$A:$H,3,FALSE)</f>
        <v>CSC 10</v>
      </c>
      <c r="N74" s="66">
        <f>VLOOKUP($B74,'Standards Crosswalk'!$A:$H,4,FALSE)</f>
        <v>0</v>
      </c>
      <c r="O74" s="66">
        <f>VLOOKUP($B74,'Standards Crosswalk'!$A:$H,5,FALSE)</f>
        <v>0</v>
      </c>
      <c r="P74" s="66" t="str">
        <f>VLOOKUP($B74,'Standards Crosswalk'!$A:$H,6,FALSE)</f>
        <v>PR.IP-9</v>
      </c>
      <c r="Q74" s="66">
        <f>VLOOKUP($B74,'Standards Crosswalk'!$A:$H,7,FALSE)</f>
        <v>0</v>
      </c>
      <c r="R74" s="66" t="str">
        <f>VLOOKUP($B74,'Standards Crosswalk'!$A:$H,8,FALSE)</f>
        <v>AC-5, CP-4, CP-10; NIST SP 800-34</v>
      </c>
      <c r="S74" s="66">
        <f>VLOOKUP($B74,'Standards Crosswalk'!$A:$I,9,FALSE)</f>
        <v>12.1</v>
      </c>
    </row>
    <row r="75" spans="1:19" ht="409.6" thickBot="1" x14ac:dyDescent="0.2">
      <c r="A75" s="65">
        <f t="shared" si="4"/>
        <v>73</v>
      </c>
      <c r="B75" s="71" t="s">
        <v>239</v>
      </c>
      <c r="C75" s="72" t="str">
        <f>VLOOKUP(B75,'HECVAT - Full'!A:E,2,FALSE)</f>
        <v xml:space="preserve">Do you have a documented and currently followed change management process (CMP)? </v>
      </c>
      <c r="D75" s="65" t="str">
        <f>VLOOKUP(B75,'HECVAT - Full'!A:E,4,FALSE)</f>
        <v xml:space="preserve">Instructure has a software development life cycle that incorporates secure coding practice and controls.
Peer reviews of all source code changes are mandatory. Multiple peer reviews are conducted for each change to the Portfolium code base to detect and correct any bugs, security flaws, and any other code defects. Changes to Portfolium code must be validated by peer review before the code is approved and committed to the code base repository. 
The code review includes security auditing are based on the Open Web Application Security Project (OWASP) secure coding and code review documents and other community sources on best security practices.
All Portfolium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an internal wiki to discuss and share best practices for the mitigation and prevention of security pitfalls and vulnerabilities. 
</v>
      </c>
      <c r="E75" s="73" t="b">
        <f>IF(Table1[[#This Row],[Column11]]&gt;20,TRUE,FALSE)</f>
        <v>1</v>
      </c>
      <c r="F75" s="73" t="s">
        <v>2032</v>
      </c>
      <c r="G75" s="74" t="s">
        <v>17</v>
      </c>
      <c r="H75" s="75">
        <v>1</v>
      </c>
      <c r="I75" s="65" t="str">
        <f>VLOOKUP(B75,'HECVAT - Full'!A:E,3,FALSE)</f>
        <v>Yes</v>
      </c>
      <c r="J75" s="65">
        <f>IF(Table1[[#This Row],[Column7]]=Table1[[#This Row],[Column9]],1,0)</f>
        <v>1</v>
      </c>
      <c r="K75" s="65">
        <f>IF(Table1[[#This Row],[Column8]]=1,25,"")</f>
        <v>25</v>
      </c>
      <c r="L75" s="65">
        <f>IF(Table1[[#This Row],[Column8]]=1,J75*K75,"")</f>
        <v>25</v>
      </c>
      <c r="M75" s="66" t="str">
        <f>VLOOKUP($B75,'Standards Crosswalk'!$A:$H,3,FALSE)</f>
        <v>CSC 10</v>
      </c>
      <c r="N75" s="66">
        <f>VLOOKUP($B75,'Standards Crosswalk'!$A:$H,4,FALSE)</f>
        <v>0</v>
      </c>
      <c r="O75" s="66" t="str">
        <f>VLOOKUP($B75,'Standards Crosswalk'!$A:$H,5,FALSE)</f>
        <v>12.1.2</v>
      </c>
      <c r="P75" s="66" t="str">
        <f>VLOOKUP($B75,'Standards Crosswalk'!$A:$H,6,FALSE)</f>
        <v>PR.IP-3</v>
      </c>
      <c r="Q75" s="66" t="str">
        <f>VLOOKUP($B75,'Standards Crosswalk'!$A:$H,7,FALSE)</f>
        <v>3.4.3, 3.4.4</v>
      </c>
      <c r="R75" s="66" t="str">
        <f>VLOOKUP($B75,'Standards Crosswalk'!$A:$H,8,FALSE)</f>
        <v>CM-3, CM-4, CM-5</v>
      </c>
      <c r="S75" s="66" t="str">
        <f>VLOOKUP($B75,'Standards Crosswalk'!$A:$I,9,FALSE)</f>
        <v>6.4, 6.4.5, 6.4.5.1, 6.4.5.2</v>
      </c>
    </row>
    <row r="76" spans="1:19" ht="409.6" thickBot="1" x14ac:dyDescent="0.2">
      <c r="A76" s="65">
        <f t="shared" si="4"/>
        <v>74</v>
      </c>
      <c r="B76" s="71" t="s">
        <v>240</v>
      </c>
      <c r="C76" s="72" t="str">
        <f>VLOOKUP(B76,'HECVAT - Full'!A:E,2,FALSE)</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D76" s="65">
        <f>VLOOKUP(B76,'HECVAT - Full'!A:E,4,FALSE)</f>
        <v>0</v>
      </c>
      <c r="E76" s="73" t="b">
        <f>IF(Table1[[#This Row],[Column11]]&gt;20,TRUE,FALSE)</f>
        <v>0</v>
      </c>
      <c r="F76" s="73" t="s">
        <v>2032</v>
      </c>
      <c r="G76" s="74" t="s">
        <v>17</v>
      </c>
      <c r="H76" s="75">
        <v>1</v>
      </c>
      <c r="I76" s="65" t="str">
        <f>VLOOKUP(B76,'HECVAT - Full'!A:E,3,FALSE)</f>
        <v xml:space="preserve">After the developers finish their work which is based off our development playbook, the code is then peer-reviewed, then following a product management acceptance phase. Once accepted - the code is run through our CI/CD pipeline for testing and analyzation. Then finally, ran through our Quality assurance team, and once verified, released to production.
</v>
      </c>
      <c r="J76" s="65">
        <f>IF(VLOOKUP(Table1[[#This Row],[Column2]],'Analyst Report'!$A$41:$G$88,7,FALSE)="Yes",1,0)</f>
        <v>0</v>
      </c>
      <c r="K76" s="65">
        <f>IF(Table1[[#This Row],[Column8]]=1,20,"")</f>
        <v>20</v>
      </c>
      <c r="L76" s="65">
        <f>IF(Table1[[#This Row],[Column8]]=1,J76*K76,"")</f>
        <v>0</v>
      </c>
      <c r="M76" s="66" t="str">
        <f>VLOOKUP($B76,'Standards Crosswalk'!$A:$H,3,FALSE)</f>
        <v>CSC 10</v>
      </c>
      <c r="N76" s="66">
        <f>VLOOKUP($B76,'Standards Crosswalk'!$A:$H,4,FALSE)</f>
        <v>0</v>
      </c>
      <c r="O76" s="66" t="str">
        <f>VLOOKUP($B76,'Standards Crosswalk'!$A:$H,5,FALSE)</f>
        <v>12.1.2</v>
      </c>
      <c r="P76" s="66" t="str">
        <f>VLOOKUP($B76,'Standards Crosswalk'!$A:$H,6,FALSE)</f>
        <v>PR.IP-3, PR.DS-7</v>
      </c>
      <c r="Q76" s="66" t="str">
        <f>VLOOKUP($B76,'Standards Crosswalk'!$A:$H,7,FALSE)</f>
        <v>3.4.3, 3.4.4, 3.4.5</v>
      </c>
      <c r="R76" s="66" t="str">
        <f>VLOOKUP($B76,'Standards Crosswalk'!$A:$H,8,FALSE)</f>
        <v>CM-3, CM-4, CM-5</v>
      </c>
      <c r="S76" s="66" t="str">
        <f>VLOOKUP($B76,'Standards Crosswalk'!$A:$I,9,FALSE)</f>
        <v>6.4, 6.4.5, 6.4.5.1, 6.4.5.2</v>
      </c>
    </row>
    <row r="77" spans="1:19" ht="409.6" thickBot="1" x14ac:dyDescent="0.2">
      <c r="A77" s="65">
        <f t="shared" si="4"/>
        <v>75</v>
      </c>
      <c r="B77" s="71" t="s">
        <v>241</v>
      </c>
      <c r="C77" s="72" t="str">
        <f>VLOOKUP(B77,'HECVAT - Full'!A:E,2,FALSE)</f>
        <v>Will the Institution be notified of major changes to your environment that could impact the Institution's security posture?</v>
      </c>
      <c r="D77" s="65" t="str">
        <f>VLOOKUP(B77,'HECVAT - Full'!A:E,4,FALSE)</f>
        <v xml:space="preserve">Portfolium is a SaaS based platform; as such, changes and improvements are made almost daily. Every time Portfolium code is updated, a notification will appear on the user’s screen.
</v>
      </c>
      <c r="E77" s="73" t="b">
        <f>IF(Table1[[#This Row],[Column11]]&gt;20,TRUE,FALSE)</f>
        <v>0</v>
      </c>
      <c r="F77" s="73" t="s">
        <v>2032</v>
      </c>
      <c r="G77" s="74" t="s">
        <v>17</v>
      </c>
      <c r="H77" s="75">
        <v>1</v>
      </c>
      <c r="I77" s="65" t="str">
        <f>VLOOKUP(B77,'HECVAT - Full'!A:E,3,FALSE)</f>
        <v>Yes</v>
      </c>
      <c r="J77" s="65">
        <f>IF(Table1[[#This Row],[Column7]]=Table1[[#This Row],[Column9]],1,0)</f>
        <v>1</v>
      </c>
      <c r="K77" s="65">
        <f>IF(Table1[[#This Row],[Column8]]=1,20,"")</f>
        <v>20</v>
      </c>
      <c r="L77" s="65">
        <f>IF(Table1[[#This Row],[Column8]]=1,J77*K77,"")</f>
        <v>20</v>
      </c>
      <c r="M77" s="66" t="str">
        <f>VLOOKUP($B77,'Standards Crosswalk'!$A:$H,3,FALSE)</f>
        <v>CSC 10</v>
      </c>
      <c r="N77" s="66">
        <f>VLOOKUP($B77,'Standards Crosswalk'!$A:$H,4,FALSE)</f>
        <v>0</v>
      </c>
      <c r="O77" s="66" t="str">
        <f>VLOOKUP($B77,'Standards Crosswalk'!$A:$H,5,FALSE)</f>
        <v>12.1.2</v>
      </c>
      <c r="P77" s="66">
        <f>VLOOKUP($B77,'Standards Crosswalk'!$A:$H,6,FALSE)</f>
        <v>0</v>
      </c>
      <c r="Q77" s="66">
        <f>VLOOKUP($B77,'Standards Crosswalk'!$A:$H,7,FALSE)</f>
        <v>0</v>
      </c>
      <c r="R77" s="66" t="str">
        <f>VLOOKUP($B77,'Standards Crosswalk'!$A:$H,8,FALSE)</f>
        <v>CM-3, CM-4, CM-5</v>
      </c>
      <c r="S77" s="66" t="str">
        <f>VLOOKUP($B77,'Standards Crosswalk'!$A:$I,9,FALSE)</f>
        <v>6.4, 12.8, 12.9</v>
      </c>
    </row>
    <row r="78" spans="1:19" ht="371" thickBot="1" x14ac:dyDescent="0.2">
      <c r="A78" s="65">
        <f t="shared" si="4"/>
        <v>76</v>
      </c>
      <c r="B78" s="71" t="s">
        <v>242</v>
      </c>
      <c r="C78" s="72" t="str">
        <f>VLOOKUP(B78,'HECVAT - Full'!A:E,2,FALSE)</f>
        <v>Do clients have the option to not participate in or postpone an upgrade to a new release?</v>
      </c>
      <c r="D78" s="65" t="str">
        <f>VLOOKUP(B78,'HECVAT - Full'!A:E,4,FALSE)</f>
        <v xml:space="preserve">As a native cloud-based solution, all users are on the same version of Portfolium.  Currently there is no method to postpone any updates.
</v>
      </c>
      <c r="E78" s="73" t="b">
        <f>IF(Table1[[#This Row],[Column11]]&gt;20,TRUE,FALSE)</f>
        <v>0</v>
      </c>
      <c r="F78" s="73" t="s">
        <v>2032</v>
      </c>
      <c r="G78" s="74" t="s">
        <v>17</v>
      </c>
      <c r="H78" s="75">
        <v>1</v>
      </c>
      <c r="I78" s="65" t="str">
        <f>VLOOKUP(B78,'HECVAT - Full'!A:E,3,FALSE)</f>
        <v>No</v>
      </c>
      <c r="J78" s="65">
        <f>IF(Table1[[#This Row],[Column7]]=Table1[[#This Row],[Column9]],1,0)</f>
        <v>0</v>
      </c>
      <c r="K78" s="65">
        <f>IF(Table1[[#This Row],[Column8]]=1,20,"")</f>
        <v>20</v>
      </c>
      <c r="L78" s="65">
        <f>IF(Table1[[#This Row],[Column8]]=1,J78*K78,"")</f>
        <v>0</v>
      </c>
      <c r="M78" s="66" t="str">
        <f>VLOOKUP($B78,'Standards Crosswalk'!$A:$H,3,FALSE)</f>
        <v>CSC 10</v>
      </c>
      <c r="N78" s="66">
        <f>VLOOKUP($B78,'Standards Crosswalk'!$A:$H,4,FALSE)</f>
        <v>0</v>
      </c>
      <c r="O78" s="66">
        <f>VLOOKUP($B78,'Standards Crosswalk'!$A:$H,5,FALSE)</f>
        <v>0</v>
      </c>
      <c r="P78" s="66">
        <f>VLOOKUP($B78,'Standards Crosswalk'!$A:$H,6,FALSE)</f>
        <v>0</v>
      </c>
      <c r="Q78" s="66">
        <f>VLOOKUP($B78,'Standards Crosswalk'!$A:$H,7,FALSE)</f>
        <v>0</v>
      </c>
      <c r="R78" s="66" t="str">
        <f>VLOOKUP($B78,'Standards Crosswalk'!$A:$H,8,FALSE)</f>
        <v>CM-3, CM-4, CM-5</v>
      </c>
      <c r="S78" s="66">
        <f>VLOOKUP($B78,'Standards Crosswalk'!$A:$I,9,FALSE)</f>
        <v>12.1</v>
      </c>
    </row>
    <row r="79" spans="1:19" ht="409.6" thickBot="1" x14ac:dyDescent="0.2">
      <c r="A79" s="65">
        <f t="shared" si="4"/>
        <v>77</v>
      </c>
      <c r="B79" s="71" t="s">
        <v>243</v>
      </c>
      <c r="C79" s="72" t="str">
        <f>VLOOKUP(B79,'HECVAT - Full'!A:E,2,FALSE)</f>
        <v>Describe or provide a reference to your solution support strategy in relation to maintaining software currency. (i.e. how many concurrent versions are you willing to run and support?)</v>
      </c>
      <c r="D79" s="65">
        <f>VLOOKUP(B79,'HECVAT - Full'!A:E,4,FALSE)</f>
        <v>0</v>
      </c>
      <c r="E79" s="73" t="b">
        <f>IF(Table1[[#This Row],[Column11]]&gt;20,TRUE,FALSE)</f>
        <v>1</v>
      </c>
      <c r="F79" s="73" t="s">
        <v>2032</v>
      </c>
      <c r="G79" s="74" t="s">
        <v>17</v>
      </c>
      <c r="H79" s="75">
        <v>1</v>
      </c>
      <c r="I79" s="65" t="str">
        <f>VLOOKUP(B79,'HECVAT - Full'!A:E,3,FALSE)</f>
        <v xml:space="preserve">Because of Portfolium's hosted nature, all clients are on the same versionless distribution of the software which is updated regularly.  
</v>
      </c>
      <c r="J79" s="65">
        <f>IF(VLOOKUP(Table1[[#This Row],[Column2]],'Analyst Report'!$A$41:$G$88,7,FALSE)="Yes",1,0)</f>
        <v>0</v>
      </c>
      <c r="K79" s="65">
        <f>IF(Table1[[#This Row],[Column8]]=1,25,"")</f>
        <v>25</v>
      </c>
      <c r="L79" s="65">
        <f>IF(Table1[[#This Row],[Column8]]=1,J79*K79,"")</f>
        <v>0</v>
      </c>
      <c r="M79" s="66" t="str">
        <f>VLOOKUP($B79,'Standards Crosswalk'!$A:$H,3,FALSE)</f>
        <v>CSC 2</v>
      </c>
      <c r="N79" s="66">
        <f>VLOOKUP($B79,'Standards Crosswalk'!$A:$H,4,FALSE)</f>
        <v>0</v>
      </c>
      <c r="O79" s="66">
        <f>VLOOKUP($B79,'Standards Crosswalk'!$A:$H,5,FALSE)</f>
        <v>0</v>
      </c>
      <c r="P79" s="66">
        <f>VLOOKUP($B79,'Standards Crosswalk'!$A:$H,6,FALSE)</f>
        <v>0</v>
      </c>
      <c r="Q79" s="66">
        <f>VLOOKUP($B79,'Standards Crosswalk'!$A:$H,7,FALSE)</f>
        <v>0</v>
      </c>
      <c r="R79" s="66" t="str">
        <f>VLOOKUP($B79,'Standards Crosswalk'!$A:$H,8,FALSE)</f>
        <v>CM-3, CM-4, CM-5</v>
      </c>
      <c r="S79" s="66" t="str">
        <f>VLOOKUP($B79,'Standards Crosswalk'!$A:$I,9,FALSE)</f>
        <v>12.1, 12.8</v>
      </c>
    </row>
    <row r="80" spans="1:19" ht="409.6" thickBot="1" x14ac:dyDescent="0.2">
      <c r="A80" s="65">
        <f t="shared" si="4"/>
        <v>78</v>
      </c>
      <c r="B80" s="71" t="s">
        <v>244</v>
      </c>
      <c r="C80" s="72" t="str">
        <f>VLOOKUP(B80,'HECVAT - Full'!A:E,2,FALSE)</f>
        <v>Identify the most current version of the software. Detail the percentage of live customers that are utilizing the proposed version of the software as well as each version of the software currently in use.</v>
      </c>
      <c r="D80" s="65">
        <f>VLOOKUP(B80,'HECVAT - Full'!A:E,4,FALSE)</f>
        <v>0</v>
      </c>
      <c r="E80" s="73" t="b">
        <f>IF(Table1[[#This Row],[Column11]]&gt;20,TRUE,FALSE)</f>
        <v>0</v>
      </c>
      <c r="F80" s="73" t="s">
        <v>2032</v>
      </c>
      <c r="G80" s="74" t="s">
        <v>17</v>
      </c>
      <c r="H80" s="75">
        <v>1</v>
      </c>
      <c r="I80" s="65" t="str">
        <f>VLOOKUP(B80,'HECVAT - Full'!A:E,3,FALSE)</f>
        <v xml:space="preserve">As mentioned in CHNG-05, Portfolioum is a versionless platform which in use by 100% of Portfolium's clients.
</v>
      </c>
      <c r="J80" s="65">
        <f>IF(VLOOKUP(Table1[[#This Row],[Column2]],'Analyst Report'!$A$41:$G$88,7,FALSE)="Yes",1,0)</f>
        <v>0</v>
      </c>
      <c r="K80" s="65">
        <f>IF(Table1[[#This Row],[Column8]]=1,10,"")</f>
        <v>10</v>
      </c>
      <c r="L80" s="65">
        <f>IF(Table1[[#This Row],[Column8]]=1,J80*K80,"")</f>
        <v>0</v>
      </c>
      <c r="M80" s="66" t="str">
        <f>VLOOKUP($B80,'Standards Crosswalk'!$A:$H,3,FALSE)</f>
        <v>CSC 2</v>
      </c>
      <c r="N80" s="66">
        <f>VLOOKUP($B80,'Standards Crosswalk'!$A:$H,4,FALSE)</f>
        <v>0</v>
      </c>
      <c r="O80" s="66">
        <f>VLOOKUP($B80,'Standards Crosswalk'!$A:$H,5,FALSE)</f>
        <v>0</v>
      </c>
      <c r="P80" s="66">
        <f>VLOOKUP($B80,'Standards Crosswalk'!$A:$H,6,FALSE)</f>
        <v>0</v>
      </c>
      <c r="Q80" s="66">
        <f>VLOOKUP($B80,'Standards Crosswalk'!$A:$H,7,FALSE)</f>
        <v>0</v>
      </c>
      <c r="R80" s="66" t="str">
        <f>VLOOKUP($B80,'Standards Crosswalk'!$A:$H,8,FALSE)</f>
        <v>CM-3, CM-4, CM-5</v>
      </c>
      <c r="S80" s="66">
        <f>VLOOKUP($B80,'Standards Crosswalk'!$A:$I,9,FALSE)</f>
        <v>0</v>
      </c>
    </row>
    <row r="81" spans="1:19" ht="409.6" thickBot="1" x14ac:dyDescent="0.2">
      <c r="A81" s="65">
        <f t="shared" si="4"/>
        <v>79</v>
      </c>
      <c r="B81" s="71" t="s">
        <v>245</v>
      </c>
      <c r="C81" s="72" t="str">
        <f>VLOOKUP(B81,'HECVAT - Full'!A:E,2,FALSE)</f>
        <v>Does the system support client customizations from one release to another?</v>
      </c>
      <c r="D81" s="65" t="str">
        <f>VLOOKUP(B81,'HECVAT - Full'!A:E,4,FALSE)</f>
        <v xml:space="preserve">In addition to LMS integration, Portfolium customers are also able to customize several areas including logo, branding, descriptions and colors displayed on gallery pages.   These integrations and customizations are supported from one release to another. 
</v>
      </c>
      <c r="E81" s="73" t="b">
        <f>IF(Table1[[#This Row],[Column11]]&gt;20,TRUE,FALSE)</f>
        <v>0</v>
      </c>
      <c r="F81" s="73" t="s">
        <v>2032</v>
      </c>
      <c r="G81" s="74" t="s">
        <v>17</v>
      </c>
      <c r="H81" s="75">
        <v>1</v>
      </c>
      <c r="I81" s="65" t="str">
        <f>VLOOKUP(B81,'HECVAT - Full'!A:E,3,FALSE)</f>
        <v>Yes</v>
      </c>
      <c r="J81" s="65">
        <f>IF(Table1[[#This Row],[Column7]]=Table1[[#This Row],[Column9]],1,0)</f>
        <v>1</v>
      </c>
      <c r="K81" s="65">
        <f>IF(Table1[[#This Row],[Column8]]=1,15,"")</f>
        <v>15</v>
      </c>
      <c r="L81" s="65">
        <f>IF(Table1[[#This Row],[Column8]]=1,J81*K81,"")</f>
        <v>15</v>
      </c>
      <c r="M81" s="66" t="str">
        <f>VLOOKUP($B81,'Standards Crosswalk'!$A:$H,3,FALSE)</f>
        <v>CSC 10</v>
      </c>
      <c r="N81" s="66">
        <f>VLOOKUP($B81,'Standards Crosswalk'!$A:$H,4,FALSE)</f>
        <v>0</v>
      </c>
      <c r="O81" s="66">
        <f>VLOOKUP($B81,'Standards Crosswalk'!$A:$H,5,FALSE)</f>
        <v>0</v>
      </c>
      <c r="P81" s="66">
        <f>VLOOKUP($B81,'Standards Crosswalk'!$A:$H,6,FALSE)</f>
        <v>0</v>
      </c>
      <c r="Q81" s="66">
        <f>VLOOKUP($B81,'Standards Crosswalk'!$A:$H,7,FALSE)</f>
        <v>0</v>
      </c>
      <c r="R81" s="66" t="str">
        <f>VLOOKUP($B81,'Standards Crosswalk'!$A:$H,8,FALSE)</f>
        <v>CM-3, CM-4, CM-5</v>
      </c>
      <c r="S81" s="66">
        <f>VLOOKUP($B81,'Standards Crosswalk'!$A:$I,9,FALSE)</f>
        <v>0</v>
      </c>
    </row>
    <row r="82" spans="1:19" ht="409.6" thickBot="1" x14ac:dyDescent="0.2">
      <c r="A82" s="65">
        <f t="shared" si="4"/>
        <v>80</v>
      </c>
      <c r="B82" s="71" t="s">
        <v>246</v>
      </c>
      <c r="C82" s="72" t="str">
        <f>VLOOKUP(B82,'HECVAT - Full'!A:E,2,FALSE)</f>
        <v>Does your organization ensure through policy and procedure (that is currently implemented) that only application software verifiable as authorized, tested, and approved for production, and having met all other requirements and reviews necessary for commissioning, is placed into production?</v>
      </c>
      <c r="D82" s="65" t="str">
        <f>VLOOKUP(B82,'HECVAT - Full'!A:E,4,FALSE)</f>
        <v xml:space="preserve">After the developers finish their work which is based off our approved development playbook, the code is then peer-reviewed after following a product management acceptance phase. Once this phase is complete, the code is ran through our Quality Assurance team.  Once the code is approved and verified, it is released to the production.
</v>
      </c>
      <c r="E82" s="73" t="b">
        <f>IF(Table1[[#This Row],[Column11]]&gt;20,TRUE,FALSE)</f>
        <v>1</v>
      </c>
      <c r="F82" s="73" t="s">
        <v>2032</v>
      </c>
      <c r="G82" s="74" t="s">
        <v>17</v>
      </c>
      <c r="H82" s="75">
        <v>1</v>
      </c>
      <c r="I82" s="65" t="str">
        <f>VLOOKUP(B82,'HECVAT - Full'!A:E,3,FALSE)</f>
        <v>Yes</v>
      </c>
      <c r="J82" s="65">
        <f>IF(Table1[[#This Row],[Column7]]=Table1[[#This Row],[Column9]],1,0)</f>
        <v>1</v>
      </c>
      <c r="K82" s="65">
        <f>IF(Table1[[#This Row],[Column8]]=1,25,"")</f>
        <v>25</v>
      </c>
      <c r="L82" s="65">
        <f>IF(Table1[[#This Row],[Column8]]=1,J82*K82,"")</f>
        <v>25</v>
      </c>
      <c r="M82" s="66" t="str">
        <f>VLOOKUP($B82,'Standards Crosswalk'!$A:$H,3,FALSE)</f>
        <v>CSC 2</v>
      </c>
      <c r="N82" s="66">
        <f>VLOOKUP($B82,'Standards Crosswalk'!$A:$H,4,FALSE)</f>
        <v>0</v>
      </c>
      <c r="O82" s="66" t="str">
        <f>VLOOKUP($B82,'Standards Crosswalk'!$A:$H,5,FALSE)</f>
        <v>12.1.1</v>
      </c>
      <c r="P82" s="66" t="str">
        <f>VLOOKUP($B82,'Standards Crosswalk'!$A:$H,6,FALSE)</f>
        <v>PR.DS-6</v>
      </c>
      <c r="Q82" s="66" t="str">
        <f>VLOOKUP($B82,'Standards Crosswalk'!$A:$H,7,FALSE)</f>
        <v>3.4.4</v>
      </c>
      <c r="R82" s="66" t="str">
        <f>VLOOKUP($B82,'Standards Crosswalk'!$A:$H,8,FALSE)</f>
        <v>CM-3, CM-4, CM-5</v>
      </c>
      <c r="S82" s="66">
        <f>VLOOKUP($B82,'Standards Crosswalk'!$A:$I,9,FALSE)</f>
        <v>12.1</v>
      </c>
    </row>
    <row r="83" spans="1:19" ht="409.6" thickBot="1" x14ac:dyDescent="0.2">
      <c r="A83" s="65">
        <f t="shared" si="4"/>
        <v>81</v>
      </c>
      <c r="B83" s="71" t="s">
        <v>247</v>
      </c>
      <c r="C83" s="72" t="str">
        <f>VLOOKUP(B83,'HECVAT - Full'!A:E,2,FALSE)</f>
        <v>Do you have a release schedule for product updates?</v>
      </c>
      <c r="D83" s="65" t="str">
        <f>VLOOKUP(B83,'HECVAT - Full'!A:E,4,FALSE)</f>
        <v xml:space="preserve">Minor updates are released daily and major updates are released 3-4 times per year. Portfolium's service is never interrupted during these releases and we maintain a 99.9% uptime SLA.  Portfolium's Customer Success team maintains regular communication with its customers to inform them of upcoming product updates. 
</v>
      </c>
      <c r="E83" s="73" t="b">
        <f>IF(Table1[[#This Row],[Column11]]&gt;20,TRUE,FALSE)</f>
        <v>0</v>
      </c>
      <c r="F83" s="73" t="s">
        <v>2032</v>
      </c>
      <c r="G83" s="74" t="s">
        <v>17</v>
      </c>
      <c r="H83" s="75">
        <v>1</v>
      </c>
      <c r="I83" s="65" t="str">
        <f>VLOOKUP(B83,'HECVAT - Full'!A:E,3,FALSE)</f>
        <v>Yes</v>
      </c>
      <c r="J83" s="65">
        <f>IF(Table1[[#This Row],[Column7]]=Table1[[#This Row],[Column9]],1,0)</f>
        <v>1</v>
      </c>
      <c r="K83" s="65">
        <f>IF(Table1[[#This Row],[Column8]]=1,15,"")</f>
        <v>15</v>
      </c>
      <c r="L83" s="65">
        <f>IF(Table1[[#This Row],[Column8]]=1,J83*K83,"")</f>
        <v>15</v>
      </c>
      <c r="M83" s="66" t="str">
        <f>VLOOKUP($B83,'Standards Crosswalk'!$A:$H,3,FALSE)</f>
        <v>CSC 10</v>
      </c>
      <c r="N83" s="66">
        <f>VLOOKUP($B83,'Standards Crosswalk'!$A:$H,4,FALSE)</f>
        <v>0</v>
      </c>
      <c r="O83" s="66">
        <f>VLOOKUP($B83,'Standards Crosswalk'!$A:$H,5,FALSE)</f>
        <v>0</v>
      </c>
      <c r="P83" s="66">
        <f>VLOOKUP($B83,'Standards Crosswalk'!$A:$H,6,FALSE)</f>
        <v>0</v>
      </c>
      <c r="Q83" s="66" t="str">
        <f>VLOOKUP($B83,'Standards Crosswalk'!$A:$H,7,FALSE)</f>
        <v>3.14.4</v>
      </c>
      <c r="R83" s="66" t="str">
        <f>VLOOKUP($B83,'Standards Crosswalk'!$A:$H,8,FALSE)</f>
        <v>CM-3, CM-4, CM-5</v>
      </c>
      <c r="S83" s="66">
        <f>VLOOKUP($B83,'Standards Crosswalk'!$A:$I,9,FALSE)</f>
        <v>0</v>
      </c>
    </row>
    <row r="84" spans="1:19" ht="409.6" thickBot="1" x14ac:dyDescent="0.2">
      <c r="A84" s="65">
        <f t="shared" si="4"/>
        <v>82</v>
      </c>
      <c r="B84" s="71" t="s">
        <v>248</v>
      </c>
      <c r="C84" s="72" t="str">
        <f>VLOOKUP(B84,'HECVAT - Full'!A:E,2,FALSE)</f>
        <v>Do you have a technology roadmap, for the next 2 years, for enhancements and bug fixes for the product/service being assessed?</v>
      </c>
      <c r="D84" s="65" t="str">
        <f>VLOOKUP(B84,'HECVAT - Full'!A:E,4,FALSE)</f>
        <v xml:space="preserve">Portfolium utilizes an Agile development approach and - as a result - builds are completed within 2-week sprints. Long-term projects are handled within the Product team and can span from 1-8 Quarters based on product complexity. Bugs are given high priority within each sprint and are heavily documented until completion. 
</v>
      </c>
      <c r="E84" s="73" t="b">
        <f>IF(Table1[[#This Row],[Column11]]&gt;20,TRUE,FALSE)</f>
        <v>0</v>
      </c>
      <c r="F84" s="73" t="s">
        <v>2032</v>
      </c>
      <c r="G84" s="74" t="s">
        <v>17</v>
      </c>
      <c r="H84" s="75">
        <v>1</v>
      </c>
      <c r="I84" s="65" t="str">
        <f>VLOOKUP(B84,'HECVAT - Full'!A:E,3,FALSE)</f>
        <v>Yes</v>
      </c>
      <c r="J84" s="65">
        <f>IF(Table1[[#This Row],[Column7]]=Table1[[#This Row],[Column9]],1,0)</f>
        <v>1</v>
      </c>
      <c r="K84" s="65">
        <f>IF(Table1[[#This Row],[Column8]]=1,15,"")</f>
        <v>15</v>
      </c>
      <c r="L84" s="65">
        <f>IF(Table1[[#This Row],[Column8]]=1,J84*K84,"")</f>
        <v>15</v>
      </c>
      <c r="M84" s="66" t="str">
        <f>VLOOKUP($B84,'Standards Crosswalk'!$A:$H,3,FALSE)</f>
        <v>CSC 2</v>
      </c>
      <c r="N84" s="66">
        <f>VLOOKUP($B84,'Standards Crosswalk'!$A:$H,4,FALSE)</f>
        <v>0</v>
      </c>
      <c r="O84" s="66">
        <f>VLOOKUP($B84,'Standards Crosswalk'!$A:$H,5,FALSE)</f>
        <v>0</v>
      </c>
      <c r="P84" s="66">
        <f>VLOOKUP($B84,'Standards Crosswalk'!$A:$H,6,FALSE)</f>
        <v>0</v>
      </c>
      <c r="Q84" s="66">
        <f>VLOOKUP($B84,'Standards Crosswalk'!$A:$H,7,FALSE)</f>
        <v>0</v>
      </c>
      <c r="R84" s="66" t="str">
        <f>VLOOKUP($B84,'Standards Crosswalk'!$A:$H,8,FALSE)</f>
        <v>CM-3, CM-4, CM-5</v>
      </c>
      <c r="S84" s="66">
        <f>VLOOKUP($B84,'Standards Crosswalk'!$A:$I,9,FALSE)</f>
        <v>0</v>
      </c>
    </row>
    <row r="85" spans="1:19" ht="409.6" thickBot="1" x14ac:dyDescent="0.2">
      <c r="A85" s="65">
        <f t="shared" si="4"/>
        <v>83</v>
      </c>
      <c r="B85" s="71" t="s">
        <v>249</v>
      </c>
      <c r="C85" s="72" t="str">
        <f>VLOOKUP(B85,'HECVAT - Full'!A:E,2,FALSE)</f>
        <v>Is Institution involvement (i.e. technically or organizationally) required during product updates?</v>
      </c>
      <c r="D85" s="65" t="str">
        <f>VLOOKUP(B85,'HECVAT - Full'!A:E,4,FALSE)</f>
        <v xml:space="preserve">Portfolium updates are "hand-free." Updates are pushed to production environments without any involvement of an institution's IT staff or faculty. As a truly "versionless" software, Portfolium ensures all institutions have access to the same features while maintaining the flexibility to use them in a manner that best fits each organization's individual needs.
</v>
      </c>
      <c r="E85" s="73" t="b">
        <f>IF(Table1[[#This Row],[Column11]]&gt;20,TRUE,FALSE)</f>
        <v>0</v>
      </c>
      <c r="F85" s="73" t="s">
        <v>2032</v>
      </c>
      <c r="G85" s="74" t="s">
        <v>17</v>
      </c>
      <c r="H85" s="75">
        <v>1</v>
      </c>
      <c r="I85" s="65" t="str">
        <f>VLOOKUP(B85,'HECVAT - Full'!A:E,3,FALSE)</f>
        <v>No</v>
      </c>
      <c r="J85" s="65">
        <f>IF(Table1[[#This Row],[Column7]]=Table1[[#This Row],[Column9]],1,0)</f>
        <v>0</v>
      </c>
      <c r="K85" s="65">
        <f>IF(Table1[[#This Row],[Column8]]=1,15,"")</f>
        <v>15</v>
      </c>
      <c r="L85" s="65">
        <f>IF(Table1[[#This Row],[Column8]]=1,J85*K85,"")</f>
        <v>0</v>
      </c>
      <c r="M85" s="66">
        <f>VLOOKUP($B85,'Standards Crosswalk'!$A:$H,3,FALSE)</f>
        <v>0</v>
      </c>
      <c r="N85" s="66">
        <f>VLOOKUP($B85,'Standards Crosswalk'!$A:$H,4,FALSE)</f>
        <v>0</v>
      </c>
      <c r="O85" s="66">
        <f>VLOOKUP($B85,'Standards Crosswalk'!$A:$H,5,FALSE)</f>
        <v>0</v>
      </c>
      <c r="P85" s="66">
        <f>VLOOKUP($B85,'Standards Crosswalk'!$A:$H,6,FALSE)</f>
        <v>0</v>
      </c>
      <c r="Q85" s="66">
        <f>VLOOKUP($B85,'Standards Crosswalk'!$A:$H,7,FALSE)</f>
        <v>0</v>
      </c>
      <c r="R85" s="66" t="str">
        <f>VLOOKUP($B85,'Standards Crosswalk'!$A:$H,8,FALSE)</f>
        <v>CM-3, CM-4, CM-5</v>
      </c>
      <c r="S85" s="66">
        <f>VLOOKUP($B85,'Standards Crosswalk'!$A:$I,9,FALSE)</f>
        <v>0</v>
      </c>
    </row>
    <row r="86" spans="1:19" ht="196" thickBot="1" x14ac:dyDescent="0.2">
      <c r="A86" s="65">
        <f t="shared" si="4"/>
        <v>84</v>
      </c>
      <c r="B86" s="71" t="s">
        <v>250</v>
      </c>
      <c r="C86" s="72" t="str">
        <f>VLOOKUP(B86,'HECVAT - Full'!A:E,2,FALSE)</f>
        <v>Do you have policy and procedure, currently implemented, managing how critical patches are applied to all systems and applications?</v>
      </c>
      <c r="D86" s="65" t="str">
        <f>VLOOKUP(B86,'HECVAT - Full'!A:E,4,FALSE)</f>
        <v xml:space="preserve">Portfolium maintains a goal of implementing critical patches within 24-72 hours.
</v>
      </c>
      <c r="E86" s="73" t="b">
        <f>IF(Table1[[#This Row],[Column11]]&gt;20,TRUE,FALSE)</f>
        <v>0</v>
      </c>
      <c r="F86" s="73" t="s">
        <v>2032</v>
      </c>
      <c r="G86" s="74" t="s">
        <v>17</v>
      </c>
      <c r="H86" s="75">
        <v>1</v>
      </c>
      <c r="I86" s="65" t="str">
        <f>VLOOKUP(B86,'HECVAT - Full'!A:E,3,FALSE)</f>
        <v>Yes</v>
      </c>
      <c r="J86" s="65">
        <f>IF(Table1[[#This Row],[Column7]]=Table1[[#This Row],[Column9]],1,0)</f>
        <v>1</v>
      </c>
      <c r="K86" s="65">
        <f>IF(Table1[[#This Row],[Column8]]=1,20,"")</f>
        <v>20</v>
      </c>
      <c r="L86" s="65">
        <f>IF(Table1[[#This Row],[Column8]]=1,J86*K86,"")</f>
        <v>20</v>
      </c>
      <c r="M86" s="66" t="str">
        <f>VLOOKUP($B86,'Standards Crosswalk'!$A:$H,3,FALSE)</f>
        <v>CSC 2</v>
      </c>
      <c r="N86" s="66">
        <f>VLOOKUP($B86,'Standards Crosswalk'!$A:$H,4,FALSE)</f>
        <v>0</v>
      </c>
      <c r="O86" s="66" t="str">
        <f>VLOOKUP($B86,'Standards Crosswalk'!$A:$H,5,FALSE)</f>
        <v>12.6.1</v>
      </c>
      <c r="P86" s="66">
        <f>VLOOKUP($B86,'Standards Crosswalk'!$A:$H,6,FALSE)</f>
        <v>0</v>
      </c>
      <c r="Q86" s="66">
        <f>VLOOKUP($B86,'Standards Crosswalk'!$A:$H,7,FALSE)</f>
        <v>0</v>
      </c>
      <c r="R86" s="66" t="str">
        <f>VLOOKUP($B86,'Standards Crosswalk'!$A:$H,8,FALSE)</f>
        <v>CM-3, CM-4, CM-5</v>
      </c>
      <c r="S86" s="66" t="str">
        <f>VLOOKUP($B86,'Standards Crosswalk'!$A:$I,9,FALSE)</f>
        <v>12.1, 12.8, 6.2</v>
      </c>
    </row>
    <row r="87" spans="1:19" ht="256" thickBot="1" x14ac:dyDescent="0.2">
      <c r="A87" s="65">
        <f t="shared" si="4"/>
        <v>85</v>
      </c>
      <c r="B87" s="71" t="s">
        <v>251</v>
      </c>
      <c r="C87" s="72" t="str">
        <f>VLOOKUP(B87,'HECVAT - Full'!A:E,2,FALSE)</f>
        <v>Do you have policy and procedure, currently implemented, guiding how security risks are mitigated until patches can be applied?</v>
      </c>
      <c r="D87" s="65" t="str">
        <f>VLOOKUP(B87,'HECVAT - Full'!A:E,4,FALSE)</f>
        <v xml:space="preserve">Portfolium does not maintain a formal policy on mitigating risks prior to patch application.
</v>
      </c>
      <c r="E87" s="73" t="b">
        <f>IF(Table1[[#This Row],[Column11]]&gt;20,TRUE,FALSE)</f>
        <v>0</v>
      </c>
      <c r="F87" s="73" t="s">
        <v>2032</v>
      </c>
      <c r="G87" s="74" t="s">
        <v>17</v>
      </c>
      <c r="H87" s="75">
        <v>1</v>
      </c>
      <c r="I87" s="65" t="str">
        <f>VLOOKUP(B87,'HECVAT - Full'!A:E,3,FALSE)</f>
        <v>No</v>
      </c>
      <c r="J87" s="65">
        <f>IF(Table1[[#This Row],[Column7]]=Table1[[#This Row],[Column9]],1,0)</f>
        <v>0</v>
      </c>
      <c r="K87" s="65">
        <f>IF(Table1[[#This Row],[Column8]]=1,20,"")</f>
        <v>20</v>
      </c>
      <c r="L87" s="65">
        <f>IF(Table1[[#This Row],[Column8]]=1,J87*K87,"")</f>
        <v>0</v>
      </c>
      <c r="M87" s="66" t="str">
        <f>VLOOKUP($B87,'Standards Crosswalk'!$A:$H,3,FALSE)</f>
        <v>CSC 13</v>
      </c>
      <c r="N87" s="66" t="str">
        <f>VLOOKUP($B87,'Standards Crosswalk'!$A:$H,4,FALSE)</f>
        <v>§164.308(a)(1)(ii)(B)</v>
      </c>
      <c r="O87" s="66" t="str">
        <f>VLOOKUP($B87,'Standards Crosswalk'!$A:$H,5,FALSE)</f>
        <v>12.6.1</v>
      </c>
      <c r="P87" s="66">
        <f>VLOOKUP($B87,'Standards Crosswalk'!$A:$H,6,FALSE)</f>
        <v>0</v>
      </c>
      <c r="Q87" s="66">
        <f>VLOOKUP($B87,'Standards Crosswalk'!$A:$H,7,FALSE)</f>
        <v>0</v>
      </c>
      <c r="R87" s="66" t="str">
        <f>VLOOKUP($B87,'Standards Crosswalk'!$A:$H,8,FALSE)</f>
        <v>CM-3, CM-4, CM-5</v>
      </c>
      <c r="S87" s="66" t="str">
        <f>VLOOKUP($B87,'Standards Crosswalk'!$A:$I,9,FALSE)</f>
        <v>12.2, 12.8</v>
      </c>
    </row>
    <row r="88" spans="1:19" ht="409.6" thickBot="1" x14ac:dyDescent="0.2">
      <c r="A88" s="65">
        <f t="shared" si="4"/>
        <v>86</v>
      </c>
      <c r="B88" s="71" t="s">
        <v>252</v>
      </c>
      <c r="C88" s="72" t="str">
        <f>VLOOKUP(B88,'HECVAT - Full'!A:E,2,FALSE)</f>
        <v>Are upgrades or system changes installed during off-peak hours or in a manner that does not impact the customer?</v>
      </c>
      <c r="D88" s="65" t="str">
        <f>VLOOKUP(B88,'HECVAT - Full'!A:E,4,FALSE)</f>
        <v xml:space="preserve">Portfolium's rolling release methodology rarely incurs any system downtime. Portfolium upgrades and updates are released on a regular basis and are designed to be seamless with no impact on the customer.
</v>
      </c>
      <c r="E88" s="73" t="b">
        <f>IF(Table1[[#This Row],[Column11]]&gt;20,TRUE,FALSE)</f>
        <v>0</v>
      </c>
      <c r="F88" s="73" t="s">
        <v>2032</v>
      </c>
      <c r="G88" s="74" t="s">
        <v>17</v>
      </c>
      <c r="H88" s="75">
        <v>1</v>
      </c>
      <c r="I88" s="65" t="str">
        <f>VLOOKUP(B88,'HECVAT - Full'!A:E,3,FALSE)</f>
        <v>Yes</v>
      </c>
      <c r="J88" s="65">
        <f>IF(Table1[[#This Row],[Column7]]=Table1[[#This Row],[Column9]],1,0)</f>
        <v>1</v>
      </c>
      <c r="K88" s="65">
        <f>IF(Table1[[#This Row],[Column8]]=1,15,"")</f>
        <v>15</v>
      </c>
      <c r="L88" s="65">
        <f>IF(Table1[[#This Row],[Column8]]=1,J88*K88,"")</f>
        <v>15</v>
      </c>
      <c r="M88" s="66" t="str">
        <f>VLOOKUP($B88,'Standards Crosswalk'!$A:$H,3,FALSE)</f>
        <v>CSC 10</v>
      </c>
      <c r="N88" s="66">
        <f>VLOOKUP($B88,'Standards Crosswalk'!$A:$H,4,FALSE)</f>
        <v>0</v>
      </c>
      <c r="O88" s="66">
        <f>VLOOKUP($B88,'Standards Crosswalk'!$A:$H,5,FALSE)</f>
        <v>0</v>
      </c>
      <c r="P88" s="66">
        <f>VLOOKUP($B88,'Standards Crosswalk'!$A:$H,6,FALSE)</f>
        <v>0</v>
      </c>
      <c r="Q88" s="66">
        <f>VLOOKUP($B88,'Standards Crosswalk'!$A:$H,7,FALSE)</f>
        <v>0</v>
      </c>
      <c r="R88" s="66" t="str">
        <f>VLOOKUP($B88,'Standards Crosswalk'!$A:$H,8,FALSE)</f>
        <v>CM-3, CM-4, CM-5</v>
      </c>
      <c r="S88" s="66" t="str">
        <f>VLOOKUP($B88,'Standards Crosswalk'!$A:$I,9,FALSE)</f>
        <v>12.1, 12.2, 12.8</v>
      </c>
    </row>
    <row r="89" spans="1:19" ht="409.6" thickBot="1" x14ac:dyDescent="0.2">
      <c r="A89" s="65">
        <f t="shared" si="4"/>
        <v>87</v>
      </c>
      <c r="B89" s="71" t="s">
        <v>253</v>
      </c>
      <c r="C89" s="72" t="str">
        <f>VLOOKUP(B89,'HECVAT - Full'!A:E,2,FALSE)</f>
        <v>Do procedures exist to provide that emergency changes are documented and authorized (including after the fact approval)?</v>
      </c>
      <c r="D89" s="65" t="str">
        <f>VLOOKUP(B89,'HECVAT - Full'!A:E,4,FALSE)</f>
        <v xml:space="preserve">Every line of code is documented in Portfolium's source control. Any pull request into the master branch must be approved by a Manager, tested, then released to production in a continuous development environment.
</v>
      </c>
      <c r="E89" s="73" t="b">
        <f>IF(Table1[[#This Row],[Column11]]&gt;20,TRUE,FALSE)</f>
        <v>0</v>
      </c>
      <c r="F89" s="73" t="s">
        <v>2032</v>
      </c>
      <c r="G89" s="74" t="s">
        <v>17</v>
      </c>
      <c r="H89" s="75">
        <v>1</v>
      </c>
      <c r="I89" s="65" t="str">
        <f>VLOOKUP(B89,'HECVAT - Full'!A:E,3,FALSE)</f>
        <v>Yes</v>
      </c>
      <c r="J89" s="65">
        <f>IF(Table1[[#This Row],[Column7]]=Table1[[#This Row],[Column9]],1,0)</f>
        <v>1</v>
      </c>
      <c r="K89" s="65">
        <f>IF(Table1[[#This Row],[Column8]]=1,15,"")</f>
        <v>15</v>
      </c>
      <c r="L89" s="65">
        <f>IF(Table1[[#This Row],[Column8]]=1,J89*K89,"")</f>
        <v>15</v>
      </c>
      <c r="M89" s="66" t="str">
        <f>VLOOKUP($B89,'Standards Crosswalk'!$A:$H,3,FALSE)</f>
        <v>CSC 10</v>
      </c>
      <c r="N89" s="66">
        <f>VLOOKUP($B89,'Standards Crosswalk'!$A:$H,4,FALSE)</f>
        <v>0</v>
      </c>
      <c r="O89" s="66" t="str">
        <f>VLOOKUP($B89,'Standards Crosswalk'!$A:$H,5,FALSE)</f>
        <v>12.1.2</v>
      </c>
      <c r="P89" s="66" t="str">
        <f>VLOOKUP($B89,'Standards Crosswalk'!$A:$H,6,FALSE)</f>
        <v>PR.IP-3</v>
      </c>
      <c r="Q89" s="66">
        <f>VLOOKUP($B89,'Standards Crosswalk'!$A:$H,7,FALSE)</f>
        <v>0</v>
      </c>
      <c r="R89" s="66" t="str">
        <f>VLOOKUP($B89,'Standards Crosswalk'!$A:$H,8,FALSE)</f>
        <v>CM-3, CM-4, CM-5</v>
      </c>
      <c r="S89" s="66" t="str">
        <f>VLOOKUP($B89,'Standards Crosswalk'!$A:$I,9,FALSE)</f>
        <v>12.10, 12.8, 6.4</v>
      </c>
    </row>
    <row r="90" spans="1:19" ht="409.6" thickBot="1" x14ac:dyDescent="0.2">
      <c r="A90" s="65">
        <f t="shared" si="4"/>
        <v>88</v>
      </c>
      <c r="B90" s="71" t="s">
        <v>254</v>
      </c>
      <c r="C90" s="72" t="str">
        <f>VLOOKUP(B90,'HECVAT - Full'!A:E,2,FALSE)</f>
        <v>Do you physically and logically separate Institution's data from that of other customers?</v>
      </c>
      <c r="D90" s="65" t="str">
        <f>VLOOKUP(B90,'HECVAT - Full'!A:E,4,FALSE)</f>
        <v xml:space="preserve">Data is separated via a Foreign Key in the database to the user’s primary Portfolium user ID. This is audited by unit tests, functional tests, code reviews, and quality assurance reviews.
</v>
      </c>
      <c r="E90" s="73" t="b">
        <f>IF(Table1[[#This Row],[Column11]]&gt;20,TRUE,FALSE)</f>
        <v>1</v>
      </c>
      <c r="F90" s="73" t="s">
        <v>2033</v>
      </c>
      <c r="G90" s="74" t="s">
        <v>17</v>
      </c>
      <c r="H90" s="75">
        <v>1</v>
      </c>
      <c r="I90" s="65" t="str">
        <f>VLOOKUP(B90,'HECVAT - Full'!A:E,3,FALSE)</f>
        <v>Yes</v>
      </c>
      <c r="J90" s="65">
        <f>IF(Table1[[#This Row],[Column7]]=Table1[[#This Row],[Column9]],1,0)</f>
        <v>1</v>
      </c>
      <c r="K90" s="65">
        <f>IF(Table1[[#This Row],[Column8]]=1,25,"")</f>
        <v>25</v>
      </c>
      <c r="L90" s="65">
        <f>IF(Table1[[#This Row],[Column8]]=1,J90*K90,"")</f>
        <v>25</v>
      </c>
      <c r="M90" s="66" t="str">
        <f>VLOOKUP($B90,'Standards Crosswalk'!$A:$H,3,FALSE)</f>
        <v>CSC 12</v>
      </c>
      <c r="N90" s="66">
        <f>VLOOKUP($B90,'Standards Crosswalk'!$A:$H,4,FALSE)</f>
        <v>0</v>
      </c>
      <c r="O90" s="66">
        <f>VLOOKUP($B90,'Standards Crosswalk'!$A:$H,5,FALSE)</f>
        <v>0</v>
      </c>
      <c r="P90" s="66" t="str">
        <f>VLOOKUP($B90,'Standards Crosswalk'!$A:$H,6,FALSE)</f>
        <v>PR.AC-2, PR.IP-5</v>
      </c>
      <c r="Q90" s="66" t="str">
        <f>VLOOKUP($B90,'Standards Crosswalk'!$A:$H,7,FALSE)</f>
        <v>3.1.3, 3.8.1</v>
      </c>
      <c r="R90" s="66" t="str">
        <f>VLOOKUP($B90,'Standards Crosswalk'!$A:$H,8,FALSE)</f>
        <v>AC-4, MP-2, MP-4</v>
      </c>
      <c r="S90" s="66">
        <f>VLOOKUP($B90,'Standards Crosswalk'!$A:$I,9,FALSE)</f>
        <v>12.8</v>
      </c>
    </row>
    <row r="91" spans="1:19" ht="226" thickBot="1" x14ac:dyDescent="0.2">
      <c r="A91" s="65">
        <f t="shared" si="4"/>
        <v>89</v>
      </c>
      <c r="B91" s="71" t="s">
        <v>255</v>
      </c>
      <c r="C91" s="72" t="str">
        <f>VLOOKUP(B91,'HECVAT - Full'!A:E,2,FALSE)</f>
        <v>Will Institution's data be stored on any devices (database servers, file servers, SAN, NAS, …) configured with non-RFC 1918/4193 (i.e. publicly routable) IP addresses?</v>
      </c>
      <c r="D91" s="65" t="str">
        <f>VLOOKUP(B91,'HECVAT - Full'!A:E,4,FALSE)</f>
        <v xml:space="preserve">Client data is not stored on non-RFC 1918/4193 (publicly routable) IP addresses.
</v>
      </c>
      <c r="E91" s="73" t="b">
        <f>IF(Table1[[#This Row],[Column11]]&gt;20,TRUE,FALSE)</f>
        <v>0</v>
      </c>
      <c r="F91" s="73" t="s">
        <v>2033</v>
      </c>
      <c r="G91" s="74" t="s">
        <v>17</v>
      </c>
      <c r="H91" s="75">
        <v>1</v>
      </c>
      <c r="I91" s="65" t="str">
        <f>VLOOKUP(B91,'HECVAT - Full'!A:E,3,FALSE)</f>
        <v>No</v>
      </c>
      <c r="J91" s="65">
        <f>IF(Table1[[#This Row],[Column7]]=Table1[[#This Row],[Column9]],1,0)</f>
        <v>0</v>
      </c>
      <c r="K91" s="65">
        <f>IF(Table1[[#This Row],[Column8]]=1,15,"")</f>
        <v>15</v>
      </c>
      <c r="L91" s="65">
        <f>IF(Table1[[#This Row],[Column8]]=1,J91*K91,"")</f>
        <v>0</v>
      </c>
      <c r="M91" s="66" t="str">
        <f>VLOOKUP($B91,'Standards Crosswalk'!$A:$H,3,FALSE)</f>
        <v>CSC 12</v>
      </c>
      <c r="N91" s="66">
        <f>VLOOKUP($B91,'Standards Crosswalk'!$A:$H,4,FALSE)</f>
        <v>0</v>
      </c>
      <c r="O91" s="66">
        <f>VLOOKUP($B91,'Standards Crosswalk'!$A:$H,5,FALSE)</f>
        <v>0</v>
      </c>
      <c r="P91" s="66" t="str">
        <f>VLOOKUP($B91,'Standards Crosswalk'!$A:$H,6,FALSE)</f>
        <v>PR.AC-2, PR.IP-5</v>
      </c>
      <c r="Q91" s="66" t="str">
        <f>VLOOKUP($B91,'Standards Crosswalk'!$A:$H,7,FALSE)</f>
        <v>3.1.22</v>
      </c>
      <c r="R91" s="66" t="str">
        <f>VLOOKUP($B91,'Standards Crosswalk'!$A:$H,8,FALSE)</f>
        <v>AC-22</v>
      </c>
      <c r="S91" s="66" t="str">
        <f>VLOOKUP($B91,'Standards Crosswalk'!$A:$I,9,FALSE)</f>
        <v>12.8, 9.x</v>
      </c>
    </row>
    <row r="92" spans="1:19" ht="166" thickBot="1" x14ac:dyDescent="0.2">
      <c r="A92" s="65">
        <f t="shared" si="4"/>
        <v>90</v>
      </c>
      <c r="B92" s="71" t="s">
        <v>256</v>
      </c>
      <c r="C92" s="72" t="str">
        <f>VLOOKUP(B92,'HECVAT - Full'!A:E,2,FALSE)</f>
        <v>Is sensitive data encrypted in transport? (e.g. system-to-client)</v>
      </c>
      <c r="D92" s="65" t="str">
        <f>VLOOKUP(B92,'HECVAT - Full'!A:E,4,FALSE)</f>
        <v xml:space="preserve">All customer data elements are encrypted in transit and at rest. 
</v>
      </c>
      <c r="E92" s="73" t="b">
        <f>IF(Table1[[#This Row],[Column11]]&gt;20,TRUE,FALSE)</f>
        <v>1</v>
      </c>
      <c r="F92" s="73" t="s">
        <v>2033</v>
      </c>
      <c r="G92" s="74" t="s">
        <v>17</v>
      </c>
      <c r="H92" s="75">
        <v>1</v>
      </c>
      <c r="I92" s="65" t="str">
        <f>VLOOKUP(B92,'HECVAT - Full'!A:E,3,FALSE)</f>
        <v>Yes</v>
      </c>
      <c r="J92" s="65">
        <f>IF(Table1[[#This Row],[Column7]]=Table1[[#This Row],[Column9]],1,0)</f>
        <v>1</v>
      </c>
      <c r="K92" s="65">
        <f>IF(Table1[[#This Row],[Column8]]=1,25,"")</f>
        <v>25</v>
      </c>
      <c r="L92" s="65">
        <f>IF(Table1[[#This Row],[Column8]]=1,J92*K92,"")</f>
        <v>25</v>
      </c>
      <c r="M92" s="66" t="str">
        <f>VLOOKUP($B92,'Standards Crosswalk'!$A:$H,3,FALSE)</f>
        <v>CSC 13</v>
      </c>
      <c r="N92" s="66">
        <f>VLOOKUP($B92,'Standards Crosswalk'!$A:$H,4,FALSE)</f>
        <v>0</v>
      </c>
      <c r="O92" s="66" t="str">
        <f>VLOOKUP($B92,'Standards Crosswalk'!$A:$H,5,FALSE)</f>
        <v>10.1.1</v>
      </c>
      <c r="P92" s="66" t="str">
        <f>VLOOKUP($B92,'Standards Crosswalk'!$A:$H,6,FALSE)</f>
        <v>PR.DS-2</v>
      </c>
      <c r="Q92" s="66">
        <f>VLOOKUP($B92,'Standards Crosswalk'!$A:$H,7,FALSE)</f>
        <v>0</v>
      </c>
      <c r="R92" s="66">
        <f>VLOOKUP($B92,'Standards Crosswalk'!$A:$H,8,FALSE)</f>
        <v>0</v>
      </c>
      <c r="S92" s="66" t="str">
        <f>VLOOKUP($B92,'Standards Crosswalk'!$A:$I,9,FALSE)</f>
        <v>12.8, 4.1</v>
      </c>
    </row>
    <row r="93" spans="1:19" ht="166" thickBot="1" x14ac:dyDescent="0.2">
      <c r="A93" s="65">
        <f t="shared" si="4"/>
        <v>91</v>
      </c>
      <c r="B93" s="71" t="s">
        <v>257</v>
      </c>
      <c r="C93" s="72" t="str">
        <f>VLOOKUP(B93,'HECVAT - Full'!A:E,2,FALSE)</f>
        <v>Is sensitive data encrypted in storage (e.g. disk encryption, at-rest)?</v>
      </c>
      <c r="D93" s="65" t="str">
        <f>VLOOKUP(B93,'HECVAT - Full'!A:E,4,FALSE)</f>
        <v xml:space="preserve">All customer data elements are encrypted in transit and at rest.
</v>
      </c>
      <c r="E93" s="73" t="b">
        <f>IF(Table1[[#This Row],[Column11]]&gt;20,TRUE,FALSE)</f>
        <v>1</v>
      </c>
      <c r="F93" s="73" t="s">
        <v>2033</v>
      </c>
      <c r="G93" s="74" t="s">
        <v>17</v>
      </c>
      <c r="H93" s="75">
        <v>1</v>
      </c>
      <c r="I93" s="65" t="str">
        <f>VLOOKUP(B93,'HECVAT - Full'!A:E,3,FALSE)</f>
        <v>Yes</v>
      </c>
      <c r="J93" s="65">
        <f>IF(Table1[[#This Row],[Column7]]=Table1[[#This Row],[Column9]],1,0)</f>
        <v>1</v>
      </c>
      <c r="K93" s="65">
        <f>IF(Table1[[#This Row],[Column8]]=1,40,"")</f>
        <v>40</v>
      </c>
      <c r="L93" s="65">
        <f>IF(Table1[[#This Row],[Column8]]=1,J93*K93,"")</f>
        <v>40</v>
      </c>
      <c r="M93" s="66" t="str">
        <f>VLOOKUP($B93,'Standards Crosswalk'!$A:$H,3,FALSE)</f>
        <v>CSC 13</v>
      </c>
      <c r="N93" s="66">
        <f>VLOOKUP($B93,'Standards Crosswalk'!$A:$H,4,FALSE)</f>
        <v>0</v>
      </c>
      <c r="O93" s="66" t="str">
        <f>VLOOKUP($B93,'Standards Crosswalk'!$A:$H,5,FALSE)</f>
        <v>8.2.3, 10.1.1</v>
      </c>
      <c r="P93" s="66" t="str">
        <f>VLOOKUP($B93,'Standards Crosswalk'!$A:$H,6,FALSE)</f>
        <v>PR.DS-1</v>
      </c>
      <c r="Q93" s="66" t="str">
        <f>VLOOKUP($B93,'Standards Crosswalk'!$A:$H,7,FALSE)</f>
        <v>3.1.19, 3.8.1</v>
      </c>
      <c r="R93" s="66" t="str">
        <f>VLOOKUP($B93,'Standards Crosswalk'!$A:$H,8,FALSE)</f>
        <v>MP-2, AC-19(5)</v>
      </c>
      <c r="S93" s="66">
        <f>VLOOKUP($B93,'Standards Crosswalk'!$A:$I,9,FALSE)</f>
        <v>12.8</v>
      </c>
    </row>
    <row r="94" spans="1:19" ht="196" thickBot="1" x14ac:dyDescent="0.2">
      <c r="A94" s="65">
        <f t="shared" si="4"/>
        <v>92</v>
      </c>
      <c r="B94" s="71" t="s">
        <v>258</v>
      </c>
      <c r="C94" s="72" t="str">
        <f>VLOOKUP(B94,'HECVAT - Full'!A:E,2,FALSE)</f>
        <v>Do you employ or allow any cryptographic modules that do not conform to the Federal Information Processing Standards (FIPS PUB 140-2)?</v>
      </c>
      <c r="D94" s="65" t="str">
        <f>VLOOKUP(B94,'HECVAT - Full'!A:E,4,FALSE)</f>
        <v xml:space="preserve">Cryptographic modules used with Portfolium conform with FIPS PUB 140-2
</v>
      </c>
      <c r="E94" s="73" t="b">
        <f>IF(Table1[[#This Row],[Column11]]&gt;20,TRUE,FALSE)</f>
        <v>1</v>
      </c>
      <c r="F94" s="73" t="s">
        <v>2033</v>
      </c>
      <c r="G94" s="74" t="s">
        <v>20</v>
      </c>
      <c r="H94" s="75">
        <v>1</v>
      </c>
      <c r="I94" s="65" t="str">
        <f>VLOOKUP(B94,'HECVAT - Full'!A:E,3,FALSE)</f>
        <v>No</v>
      </c>
      <c r="J94" s="65">
        <f>IF(Table1[[#This Row],[Column7]]=Table1[[#This Row],[Column9]],1,0)</f>
        <v>1</v>
      </c>
      <c r="K94" s="65">
        <f>IF(Table1[[#This Row],[Column8]]=1,25,"")</f>
        <v>25</v>
      </c>
      <c r="L94" s="65">
        <f>IF(Table1[[#This Row],[Column8]]=1,J94*K94,"")</f>
        <v>25</v>
      </c>
      <c r="M94" s="66" t="str">
        <f>VLOOKUP($B94,'Standards Crosswalk'!$A:$H,3,FALSE)</f>
        <v>CSC 13</v>
      </c>
      <c r="N94" s="66">
        <f>VLOOKUP($B94,'Standards Crosswalk'!$A:$H,4,FALSE)</f>
        <v>0</v>
      </c>
      <c r="O94" s="66" t="str">
        <f>VLOOKUP($B94,'Standards Crosswalk'!$A:$H,5,FALSE)</f>
        <v>8.2.3, 10.1.1</v>
      </c>
      <c r="P94" s="66">
        <f>VLOOKUP($B94,'Standards Crosswalk'!$A:$H,6,FALSE)</f>
        <v>0</v>
      </c>
      <c r="Q94" s="66" t="str">
        <f>VLOOKUP($B94,'Standards Crosswalk'!$A:$H,7,FALSE)</f>
        <v>3.8.6, 3.13.11</v>
      </c>
      <c r="R94" s="66">
        <f>VLOOKUP($B94,'Standards Crosswalk'!$A:$H,8,FALSE)</f>
        <v>0</v>
      </c>
      <c r="S94" s="66">
        <f>VLOOKUP($B94,'Standards Crosswalk'!$A:$I,9,FALSE)</f>
        <v>12.1</v>
      </c>
    </row>
    <row r="95" spans="1:19" ht="121" thickBot="1" x14ac:dyDescent="0.2">
      <c r="A95" s="65">
        <f t="shared" si="4"/>
        <v>93</v>
      </c>
      <c r="B95" s="71" t="s">
        <v>259</v>
      </c>
      <c r="C95" s="72" t="str">
        <f>VLOOKUP(B95,'HECVAT - Full'!A:E,2,FALSE)</f>
        <v>Does your system employ encryption technologies when transmitting sensitive information over TCP/IP networks (e.g., SSH, SSL/TLS, VPN)? (e.g. system-to-system and system-to-client)</v>
      </c>
      <c r="D95" s="65" t="str">
        <f>VLOOKUP(B95,'HECVAT - Full'!A:E,4,FALSE)</f>
        <v xml:space="preserve">All data is transported via SSL with TLS 1.2
</v>
      </c>
      <c r="E95" s="73" t="b">
        <f>IF(Table1[[#This Row],[Column11]]&gt;20,TRUE,FALSE)</f>
        <v>1</v>
      </c>
      <c r="F95" s="73" t="s">
        <v>2033</v>
      </c>
      <c r="G95" s="74" t="s">
        <v>17</v>
      </c>
      <c r="H95" s="75">
        <v>1</v>
      </c>
      <c r="I95" s="65" t="str">
        <f>VLOOKUP(B95,'HECVAT - Full'!A:E,3,FALSE)</f>
        <v>Yes</v>
      </c>
      <c r="J95" s="65">
        <f>IF(Table1[[#This Row],[Column7]]=Table1[[#This Row],[Column9]],1,0)</f>
        <v>1</v>
      </c>
      <c r="K95" s="65">
        <f>IF(Table1[[#This Row],[Column8]]=1,25,"")</f>
        <v>25</v>
      </c>
      <c r="L95" s="65">
        <f>IF(Table1[[#This Row],[Column8]]=1,J95*K95,"")</f>
        <v>25</v>
      </c>
      <c r="M95" s="66" t="str">
        <f>VLOOKUP($B95,'Standards Crosswalk'!$A:$H,3,FALSE)</f>
        <v>CSC 13</v>
      </c>
      <c r="N95" s="66">
        <f>VLOOKUP($B95,'Standards Crosswalk'!$A:$H,4,FALSE)</f>
        <v>0</v>
      </c>
      <c r="O95" s="66" t="str">
        <f>VLOOKUP($B95,'Standards Crosswalk'!$A:$H,5,FALSE)</f>
        <v>13.2</v>
      </c>
      <c r="P95" s="66" t="str">
        <f>VLOOKUP($B95,'Standards Crosswalk'!$A:$H,6,FALSE)</f>
        <v>PR.DS-2</v>
      </c>
      <c r="Q95" s="66">
        <f>VLOOKUP($B95,'Standards Crosswalk'!$A:$H,7,FALSE)</f>
        <v>0</v>
      </c>
      <c r="R95" s="66" t="str">
        <f>VLOOKUP($B95,'Standards Crosswalk'!$A:$H,8,FALSE)</f>
        <v>PE-2, PE-3, PE-5, MP-5</v>
      </c>
      <c r="S95" s="66" t="str">
        <f>VLOOKUP($B95,'Standards Crosswalk'!$A:$I,9,FALSE)</f>
        <v>12.8, 4.1</v>
      </c>
    </row>
    <row r="96" spans="1:19" ht="409.6" thickBot="1" x14ac:dyDescent="0.2">
      <c r="A96" s="65">
        <f t="shared" si="4"/>
        <v>94</v>
      </c>
      <c r="B96" s="71" t="s">
        <v>260</v>
      </c>
      <c r="C96" s="72" t="str">
        <f>VLOOKUP(B96,'HECVAT - Full'!A:E,2,FALSE)</f>
        <v>List all locations (i.e. city + datacenter name) where the institution's data will be stored?</v>
      </c>
      <c r="D96" s="65">
        <f>VLOOKUP(B96,'HECVAT - Full'!A:E,4,FALSE)</f>
        <v>0</v>
      </c>
      <c r="E96" s="73" t="b">
        <f>IF(Table1[[#This Row],[Column11]]&gt;20,TRUE,FALSE)</f>
        <v>0</v>
      </c>
      <c r="F96" s="73" t="s">
        <v>2033</v>
      </c>
      <c r="G96" s="74"/>
      <c r="H96" s="75">
        <v>1</v>
      </c>
      <c r="I96" s="65" t="str">
        <f>VLOOKUP(B96,'HECVAT - Full'!A:E,3,FALSE)</f>
        <v xml:space="preserve">Portfolium is hosted within the AWS East region located in an undisclosed part of Northern Virginia.
</v>
      </c>
      <c r="J96" s="65">
        <f>IF(VLOOKUP(Table1[[#This Row],[Column2]],'Analyst Report'!$A$41:$G$88,7,FALSE)="Yes",1,0)</f>
        <v>0</v>
      </c>
      <c r="K96" s="65">
        <f>IF(Table1[[#This Row],[Column8]]=1,20,"")</f>
        <v>20</v>
      </c>
      <c r="L96" s="65">
        <f>IF(Table1[[#This Row],[Column8]]=1,J96*K96,"")</f>
        <v>0</v>
      </c>
      <c r="M96" s="66" t="str">
        <f>VLOOKUP($B96,'Standards Crosswalk'!$A:$H,3,FALSE)</f>
        <v>CSC 1</v>
      </c>
      <c r="N96" s="66">
        <f>VLOOKUP($B96,'Standards Crosswalk'!$A:$H,4,FALSE)</f>
        <v>0</v>
      </c>
      <c r="O96" s="66">
        <f>VLOOKUP($B96,'Standards Crosswalk'!$A:$H,5,FALSE)</f>
        <v>0</v>
      </c>
      <c r="P96" s="66">
        <f>VLOOKUP($B96,'Standards Crosswalk'!$A:$H,6,FALSE)</f>
        <v>0</v>
      </c>
      <c r="Q96" s="66" t="str">
        <f>VLOOKUP($B96,'Standards Crosswalk'!$A:$H,7,FALSE)</f>
        <v>3.8.1</v>
      </c>
      <c r="R96" s="66" t="str">
        <f>VLOOKUP($B96,'Standards Crosswalk'!$A:$H,8,FALSE)</f>
        <v>MP-2</v>
      </c>
      <c r="S96" s="66" t="str">
        <f>VLOOKUP($B96,'Standards Crosswalk'!$A:$I,9,FALSE)</f>
        <v>12.8, 9.x</v>
      </c>
    </row>
    <row r="97" spans="1:19" ht="286" thickBot="1" x14ac:dyDescent="0.2">
      <c r="A97" s="65">
        <f t="shared" si="4"/>
        <v>95</v>
      </c>
      <c r="B97" s="71" t="s">
        <v>261</v>
      </c>
      <c r="C97" s="72" t="str">
        <f>VLOOKUP(B97,'HECVAT - Full'!A:E,2,FALSE)</f>
        <v>At the completion of this contract, will data be returned to the institution?</v>
      </c>
      <c r="D97" s="65" t="str">
        <f>VLOOKUP(B97,'HECVAT - Full'!A:E,4,FALSE)</f>
        <v xml:space="preserve">Portoflium users have access their data at all times including 90 days after termination of the contract.
</v>
      </c>
      <c r="E97" s="73" t="b">
        <f>IF(Table1[[#This Row],[Column11]]&gt;20,TRUE,FALSE)</f>
        <v>1</v>
      </c>
      <c r="F97" s="73" t="s">
        <v>2033</v>
      </c>
      <c r="G97" s="74" t="s">
        <v>17</v>
      </c>
      <c r="H97" s="75">
        <v>1</v>
      </c>
      <c r="I97" s="65" t="str">
        <f>VLOOKUP(B97,'HECVAT - Full'!A:E,3,FALSE)</f>
        <v>Yes</v>
      </c>
      <c r="J97" s="65">
        <f>IF(Table1[[#This Row],[Column7]]=Table1[[#This Row],[Column9]],1,0)</f>
        <v>1</v>
      </c>
      <c r="K97" s="65">
        <f>IF(Table1[[#This Row],[Column8]]=1,25,"")</f>
        <v>25</v>
      </c>
      <c r="L97" s="65">
        <f>IF(Table1[[#This Row],[Column8]]=1,J97*K97,"")</f>
        <v>25</v>
      </c>
      <c r="M97" s="66" t="str">
        <f>VLOOKUP($B97,'Standards Crosswalk'!$A:$H,3,FALSE)</f>
        <v>CSC 13</v>
      </c>
      <c r="N97" s="66">
        <f>VLOOKUP($B97,'Standards Crosswalk'!$A:$H,4,FALSE)</f>
        <v>0</v>
      </c>
      <c r="O97" s="66" t="str">
        <f>VLOOKUP($B97,'Standards Crosswalk'!$A:$H,5,FALSE)</f>
        <v>8.1.4</v>
      </c>
      <c r="P97" s="66">
        <f>VLOOKUP($B97,'Standards Crosswalk'!$A:$H,6,FALSE)</f>
        <v>0</v>
      </c>
      <c r="Q97" s="66" t="str">
        <f>VLOOKUP($B97,'Standards Crosswalk'!$A:$H,7,FALSE)</f>
        <v>3.8.1</v>
      </c>
      <c r="R97" s="66" t="str">
        <f>VLOOKUP($B97,'Standards Crosswalk'!$A:$H,8,FALSE)</f>
        <v>MP-2</v>
      </c>
      <c r="S97" s="66">
        <f>VLOOKUP($B97,'Standards Crosswalk'!$A:$I,9,FALSE)</f>
        <v>12.8</v>
      </c>
    </row>
    <row r="98" spans="1:19" ht="409.6" thickBot="1" x14ac:dyDescent="0.2">
      <c r="A98" s="65">
        <f t="shared" si="4"/>
        <v>96</v>
      </c>
      <c r="B98" s="71" t="s">
        <v>262</v>
      </c>
      <c r="C98" s="72" t="str">
        <f>VLOOKUP(B98,'HECVAT - Full'!A:E,2,FALSE)</f>
        <v>Will the institution's data be available within the system for a period of time at the completion of this contract?</v>
      </c>
      <c r="D98" s="65" t="str">
        <f>VLOOKUP(B98,'HECVAT - Full'!A:E,4,FALSE)</f>
        <v xml:space="preserve">Per Instructure's Terms and Conditions; following expiration or termination of the contract, customers will have 3 months following expiration or termination to export customer content by using the export feature within the service.
</v>
      </c>
      <c r="E98" s="73" t="b">
        <f>IF(Table1[[#This Row],[Column11]]&gt;20,TRUE,FALSE)</f>
        <v>0</v>
      </c>
      <c r="F98" s="73" t="s">
        <v>2033</v>
      </c>
      <c r="G98" s="74" t="s">
        <v>17</v>
      </c>
      <c r="H98" s="75">
        <v>1</v>
      </c>
      <c r="I98" s="65" t="str">
        <f>VLOOKUP(B98,'HECVAT - Full'!A:E,3,FALSE)</f>
        <v>Yes</v>
      </c>
      <c r="J98" s="65">
        <f>IF(Table1[[#This Row],[Column7]]=Table1[[#This Row],[Column9]],1,0)</f>
        <v>1</v>
      </c>
      <c r="K98" s="65">
        <f>IF(Table1[[#This Row],[Column8]]=1,20,"")</f>
        <v>20</v>
      </c>
      <c r="L98" s="65">
        <f>IF(Table1[[#This Row],[Column8]]=1,J98*K98,"")</f>
        <v>20</v>
      </c>
      <c r="M98" s="66" t="str">
        <f>VLOOKUP($B98,'Standards Crosswalk'!$A:$H,3,FALSE)</f>
        <v>CSC 13</v>
      </c>
      <c r="N98" s="66">
        <f>VLOOKUP($B98,'Standards Crosswalk'!$A:$H,4,FALSE)</f>
        <v>0</v>
      </c>
      <c r="O98" s="66" t="str">
        <f>VLOOKUP($B98,'Standards Crosswalk'!$A:$H,5,FALSE)</f>
        <v>8.1.4</v>
      </c>
      <c r="P98" s="66">
        <f>VLOOKUP($B98,'Standards Crosswalk'!$A:$H,6,FALSE)</f>
        <v>0</v>
      </c>
      <c r="Q98" s="66">
        <f>VLOOKUP($B98,'Standards Crosswalk'!$A:$H,7,FALSE)</f>
        <v>0</v>
      </c>
      <c r="R98" s="66">
        <f>VLOOKUP($B98,'Standards Crosswalk'!$A:$H,8,FALSE)</f>
        <v>0</v>
      </c>
      <c r="S98" s="66">
        <f>VLOOKUP($B98,'Standards Crosswalk'!$A:$I,9,FALSE)</f>
        <v>12.8</v>
      </c>
    </row>
    <row r="99" spans="1:19" ht="385" thickBot="1" x14ac:dyDescent="0.2">
      <c r="A99" s="65">
        <f t="shared" si="4"/>
        <v>97</v>
      </c>
      <c r="B99" s="71" t="s">
        <v>263</v>
      </c>
      <c r="C99" s="72" t="str">
        <f>VLOOKUP(B99,'HECVAT - Full'!A:E,2,FALSE)</f>
        <v>Can the institution extract a full backup of data?</v>
      </c>
      <c r="D99" s="65" t="str">
        <f>VLOOKUP(B99,'HECVAT - Full'!A:E,4,FALSE)</f>
        <v xml:space="preserve">Portfolium offers its users multiple methods of extracting data from its catalog of products, including but not limited to CSV, PDF, Text, of SQL.
</v>
      </c>
      <c r="E99" s="73" t="b">
        <f>IF(Table1[[#This Row],[Column11]]&gt;20,TRUE,FALSE)</f>
        <v>0</v>
      </c>
      <c r="F99" s="73" t="s">
        <v>2033</v>
      </c>
      <c r="G99" s="74" t="s">
        <v>17</v>
      </c>
      <c r="H99" s="75">
        <v>1</v>
      </c>
      <c r="I99" s="65" t="str">
        <f>VLOOKUP(B99,'HECVAT - Full'!A:E,3,FALSE)</f>
        <v>Yes</v>
      </c>
      <c r="J99" s="65">
        <f>IF(Table1[[#This Row],[Column7]]=Table1[[#This Row],[Column9]],1,0)</f>
        <v>1</v>
      </c>
      <c r="K99" s="65">
        <f>IF(Table1[[#This Row],[Column8]]=1,15,"")</f>
        <v>15</v>
      </c>
      <c r="L99" s="65">
        <f>IF(Table1[[#This Row],[Column8]]=1,J99*K99,"")</f>
        <v>15</v>
      </c>
      <c r="M99" s="66">
        <f>VLOOKUP($B99,'Standards Crosswalk'!$A:$H,3,FALSE)</f>
        <v>0</v>
      </c>
      <c r="N99" s="66">
        <f>VLOOKUP($B99,'Standards Crosswalk'!$A:$H,4,FALSE)</f>
        <v>0</v>
      </c>
      <c r="O99" s="66" t="str">
        <f>VLOOKUP($B99,'Standards Crosswalk'!$A:$H,5,FALSE)</f>
        <v>12.3.1</v>
      </c>
      <c r="P99" s="66">
        <f>VLOOKUP($B99,'Standards Crosswalk'!$A:$H,6,FALSE)</f>
        <v>0</v>
      </c>
      <c r="Q99" s="66">
        <f>VLOOKUP($B99,'Standards Crosswalk'!$A:$H,7,FALSE)</f>
        <v>0</v>
      </c>
      <c r="R99" s="66">
        <f>VLOOKUP($B99,'Standards Crosswalk'!$A:$H,8,FALSE)</f>
        <v>0</v>
      </c>
      <c r="S99" s="66">
        <f>VLOOKUP($B99,'Standards Crosswalk'!$A:$I,9,FALSE)</f>
        <v>12.8</v>
      </c>
    </row>
    <row r="100" spans="1:19" ht="409.6" thickBot="1" x14ac:dyDescent="0.2">
      <c r="A100" s="65">
        <f t="shared" si="4"/>
        <v>98</v>
      </c>
      <c r="B100" s="71" t="s">
        <v>264</v>
      </c>
      <c r="C100" s="72" t="str">
        <f>VLOOKUP(B100,'HECVAT - Full'!A:E,2,FALSE)</f>
        <v>Are ownership rights to all data, inputs, outputs, and metadata retained by the institution?</v>
      </c>
      <c r="D100" s="65" t="str">
        <f>VLOOKUP(B100,'HECVAT - Full'!A:E,4,FALSE)</f>
        <v xml:space="preserve">Per Instructure's Terms and Conditions: As between Instructure and Customer, any and all information, data, results, plans, sketches, text, files, links, images, photos, videos, audio files, notes, or other materials uploaded by a User through the Service (“Customer Content”) remain the sole property of Customer.
</v>
      </c>
      <c r="E100" s="73" t="b">
        <f>IF(Table1[[#This Row],[Column11]]&gt;20,TRUE,FALSE)</f>
        <v>1</v>
      </c>
      <c r="F100" s="73" t="s">
        <v>2033</v>
      </c>
      <c r="G100" s="74" t="s">
        <v>17</v>
      </c>
      <c r="H100" s="75">
        <v>1</v>
      </c>
      <c r="I100" s="65" t="str">
        <f>VLOOKUP(B100,'HECVAT - Full'!A:E,3,FALSE)</f>
        <v>Yes</v>
      </c>
      <c r="J100" s="65">
        <f>IF(Table1[[#This Row],[Column7]]=Table1[[#This Row],[Column9]],1,0)</f>
        <v>1</v>
      </c>
      <c r="K100" s="65">
        <f>IF(Table1[[#This Row],[Column8]]=1,25,"")</f>
        <v>25</v>
      </c>
      <c r="L100" s="65">
        <f>IF(Table1[[#This Row],[Column8]]=1,J100*K100,"")</f>
        <v>25</v>
      </c>
      <c r="M100" s="66" t="str">
        <f>VLOOKUP($B100,'Standards Crosswalk'!$A:$H,3,FALSE)</f>
        <v>CSC 13</v>
      </c>
      <c r="N100" s="66">
        <f>VLOOKUP($B100,'Standards Crosswalk'!$A:$H,4,FALSE)</f>
        <v>0</v>
      </c>
      <c r="O100" s="66" t="str">
        <f>VLOOKUP($B100,'Standards Crosswalk'!$A:$H,5,FALSE)</f>
        <v>8.1.2</v>
      </c>
      <c r="P100" s="66">
        <f>VLOOKUP($B100,'Standards Crosswalk'!$A:$H,6,FALSE)</f>
        <v>0</v>
      </c>
      <c r="Q100" s="66" t="str">
        <f>VLOOKUP($B100,'Standards Crosswalk'!$A:$H,7,FALSE)</f>
        <v>3.8.1</v>
      </c>
      <c r="R100" s="66">
        <f>VLOOKUP($B100,'Standards Crosswalk'!$A:$H,8,FALSE)</f>
        <v>0</v>
      </c>
      <c r="S100" s="66">
        <f>VLOOKUP($B100,'Standards Crosswalk'!$A:$I,9,FALSE)</f>
        <v>12.8</v>
      </c>
    </row>
    <row r="101" spans="1:19" ht="211" thickBot="1" x14ac:dyDescent="0.2">
      <c r="A101" s="65">
        <f t="shared" si="4"/>
        <v>99</v>
      </c>
      <c r="B101" s="71" t="s">
        <v>265</v>
      </c>
      <c r="C101" s="72" t="str">
        <f>VLOOKUP(B101,'HECVAT - Full'!A:E,2,FALSE)</f>
        <v>Are these rights retained even through a provider acquisition or bankruptcy event?</v>
      </c>
      <c r="D101" s="65" t="str">
        <f>VLOOKUP(B101,'HECVAT - Full'!A:E,4,FALSE)</f>
        <v xml:space="preserve">These rights are enforced and detailed in Instructure's Terms and Conditions.
</v>
      </c>
      <c r="E101" s="73" t="b">
        <f>IF(Table1[[#This Row],[Column11]]&gt;20,TRUE,FALSE)</f>
        <v>0</v>
      </c>
      <c r="F101" s="73" t="s">
        <v>2033</v>
      </c>
      <c r="G101" s="74" t="s">
        <v>17</v>
      </c>
      <c r="H101" s="75">
        <f>IF(I100="Yes",1,0)</f>
        <v>1</v>
      </c>
      <c r="I101" s="65" t="str">
        <f>VLOOKUP(B101,'HECVAT - Full'!A:E,3,FALSE)</f>
        <v>Yes</v>
      </c>
      <c r="J101" s="65">
        <f>IF(Table1[[#This Row],[Column7]]=Table1[[#This Row],[Column9]],1,0)</f>
        <v>1</v>
      </c>
      <c r="K101" s="65">
        <f>15*Table1[[#This Row],[Column8]]</f>
        <v>15</v>
      </c>
      <c r="L101" s="65">
        <f>IF(Table1[[#This Row],[Column8]]=1,J101*K101,"")</f>
        <v>15</v>
      </c>
      <c r="M101" s="66" t="str">
        <f>VLOOKUP($B101,'Standards Crosswalk'!$A:$H,3,FALSE)</f>
        <v>CSC 13</v>
      </c>
      <c r="N101" s="66">
        <f>VLOOKUP($B101,'Standards Crosswalk'!$A:$H,4,FALSE)</f>
        <v>0</v>
      </c>
      <c r="O101" s="66" t="str">
        <f>VLOOKUP($B101,'Standards Crosswalk'!$A:$H,5,FALSE)</f>
        <v>8.1.2</v>
      </c>
      <c r="P101" s="66">
        <f>VLOOKUP($B101,'Standards Crosswalk'!$A:$H,6,FALSE)</f>
        <v>0</v>
      </c>
      <c r="Q101" s="66" t="str">
        <f>VLOOKUP($B101,'Standards Crosswalk'!$A:$H,7,FALSE)</f>
        <v>3.8.2</v>
      </c>
      <c r="R101" s="66">
        <f>VLOOKUP($B101,'Standards Crosswalk'!$A:$H,8,FALSE)</f>
        <v>0</v>
      </c>
      <c r="S101" s="66">
        <f>VLOOKUP($B101,'Standards Crosswalk'!$A:$I,9,FALSE)</f>
        <v>12.8</v>
      </c>
    </row>
    <row r="102" spans="1:19" ht="399" thickBot="1" x14ac:dyDescent="0.2">
      <c r="A102" s="65">
        <f t="shared" si="4"/>
        <v>100</v>
      </c>
      <c r="B102" s="71" t="s">
        <v>266</v>
      </c>
      <c r="C102" s="72" t="str">
        <f>VLOOKUP(B102,'HECVAT - Full'!A:E,2,FALSE)</f>
        <v>In the event of imminent bankruptcy, closing of business, or retirement of service, will you provide 90 days for customers to get their data out of the system and migrate applications?</v>
      </c>
      <c r="D102" s="65" t="str">
        <f>VLOOKUP(B102,'HECVAT - Full'!A:E,4,FALSE)</f>
        <v xml:space="preserve">Per Instructure's Terms and Conditions, customers will have 3 months to export content by using the export feature within the particular service being used. 
</v>
      </c>
      <c r="E102" s="73" t="b">
        <f>IF(Table1[[#This Row],[Column11]]&gt;20,TRUE,FALSE)</f>
        <v>0</v>
      </c>
      <c r="F102" s="73" t="s">
        <v>2033</v>
      </c>
      <c r="G102" s="74" t="s">
        <v>17</v>
      </c>
      <c r="H102" s="75">
        <v>1</v>
      </c>
      <c r="I102" s="65" t="str">
        <f>VLOOKUP(B102,'HECVAT - Full'!A:E,3,FALSE)</f>
        <v>Yes</v>
      </c>
      <c r="J102" s="65">
        <f>IF(Table1[[#This Row],[Column7]]=Table1[[#This Row],[Column9]],1,0)</f>
        <v>1</v>
      </c>
      <c r="K102" s="65">
        <f>IF(Table1[[#This Row],[Column8]]=1,15,"")</f>
        <v>15</v>
      </c>
      <c r="L102" s="65">
        <f>IF(Table1[[#This Row],[Column8]]=1,J102*K102,"")</f>
        <v>15</v>
      </c>
      <c r="M102" s="66" t="str">
        <f>VLOOKUP($B102,'Standards Crosswalk'!$A:$H,3,FALSE)</f>
        <v>CAC 13</v>
      </c>
      <c r="N102" s="66">
        <f>VLOOKUP($B102,'Standards Crosswalk'!$A:$H,4,FALSE)</f>
        <v>0</v>
      </c>
      <c r="O102" s="66" t="str">
        <f>VLOOKUP($B102,'Standards Crosswalk'!$A:$H,5,FALSE)</f>
        <v>8.1.2</v>
      </c>
      <c r="P102" s="66">
        <f>VLOOKUP($B102,'Standards Crosswalk'!$A:$H,6,FALSE)</f>
        <v>0</v>
      </c>
      <c r="Q102" s="66" t="str">
        <f>VLOOKUP($B102,'Standards Crosswalk'!$A:$H,7,FALSE)</f>
        <v>3.8.1</v>
      </c>
      <c r="R102" s="66">
        <f>VLOOKUP($B102,'Standards Crosswalk'!$A:$H,8,FALSE)</f>
        <v>0</v>
      </c>
      <c r="S102" s="66">
        <f>VLOOKUP($B102,'Standards Crosswalk'!$A:$I,9,FALSE)</f>
        <v>12.8</v>
      </c>
    </row>
    <row r="103" spans="1:19" ht="409.6" thickBot="1" x14ac:dyDescent="0.2">
      <c r="A103" s="65">
        <f t="shared" si="4"/>
        <v>101</v>
      </c>
      <c r="B103" s="71" t="s">
        <v>267</v>
      </c>
      <c r="C103" s="72" t="str">
        <f>VLOOKUP(B103,'HECVAT - Full'!A:E,2,FALSE)</f>
        <v xml:space="preserve">Describe or provide a reference to the backup processes for the servers on which the service and/or data resides. </v>
      </c>
      <c r="D103" s="65">
        <f>VLOOKUP(B103,'HECVAT - Full'!A:E,4,FALSE)</f>
        <v>0</v>
      </c>
      <c r="E103" s="73" t="b">
        <f>IF(Table1[[#This Row],[Column11]]&gt;20,TRUE,FALSE)</f>
        <v>0</v>
      </c>
      <c r="F103" s="73" t="s">
        <v>2033</v>
      </c>
      <c r="G103" s="74"/>
      <c r="H103" s="75">
        <v>1</v>
      </c>
      <c r="I103" s="65" t="str">
        <f>VLOOKUP(B103,'HECVAT - Full'!A:E,3,FALSE)</f>
        <v xml:space="preserve">Portfolium utilizes Amazon Web Services' RDS (Relational Database Service) which performs daily database backups with hourly restore points. 
</v>
      </c>
      <c r="J103" s="65">
        <f>IF(VLOOKUP(Table1[[#This Row],[Column2]],'Analyst Report'!$A$41:$G$88,7,FALSE)="Yes",1,0)</f>
        <v>0</v>
      </c>
      <c r="K103" s="65">
        <f>IF(Table1[[#This Row],[Column8]]=1,20,"")</f>
        <v>20</v>
      </c>
      <c r="L103" s="65">
        <f>IF(Table1[[#This Row],[Column8]]=1,J103*K103,"")</f>
        <v>0</v>
      </c>
      <c r="M103" s="66" t="str">
        <f>VLOOKUP($B103,'Standards Crosswalk'!$A:$H,3,FALSE)</f>
        <v>CSC 10</v>
      </c>
      <c r="N103" s="66">
        <f>VLOOKUP($B103,'Standards Crosswalk'!$A:$H,4,FALSE)</f>
        <v>0</v>
      </c>
      <c r="O103" s="66" t="str">
        <f>VLOOKUP($B103,'Standards Crosswalk'!$A:$H,5,FALSE)</f>
        <v>12.3.1</v>
      </c>
      <c r="P103" s="66" t="str">
        <f>VLOOKUP($B103,'Standards Crosswalk'!$A:$H,6,FALSE)</f>
        <v>PR.IP-4</v>
      </c>
      <c r="Q103" s="66" t="str">
        <f>VLOOKUP($B103,'Standards Crosswalk'!$A:$H,7,FALSE)</f>
        <v>3.8.9</v>
      </c>
      <c r="R103" s="66" t="str">
        <f>VLOOKUP($B103,'Standards Crosswalk'!$A:$H,8,FALSE)</f>
        <v>CP-9</v>
      </c>
      <c r="S103" s="66" t="str">
        <f>VLOOKUP($B103,'Standards Crosswalk'!$A:$I,9,FALSE)</f>
        <v>9.x</v>
      </c>
    </row>
    <row r="104" spans="1:19" ht="106" thickBot="1" x14ac:dyDescent="0.2">
      <c r="A104" s="65">
        <f t="shared" si="4"/>
        <v>102</v>
      </c>
      <c r="B104" s="71" t="s">
        <v>268</v>
      </c>
      <c r="C104" s="72" t="str">
        <f>VLOOKUP(B104,'HECVAT - Full'!A:E,2,FALSE)</f>
        <v>Are backup copies made according to pre-defined schedules and securely stored and protected?</v>
      </c>
      <c r="D104" s="65" t="str">
        <f>VLOOKUP(B104,'HECVAT - Full'!A:E,4,FALSE)</f>
        <v xml:space="preserve">Full backups are performed daily.
</v>
      </c>
      <c r="E104" s="73" t="b">
        <f>IF(Table1[[#This Row],[Column11]]&gt;20,TRUE,FALSE)</f>
        <v>0</v>
      </c>
      <c r="F104" s="73" t="s">
        <v>2033</v>
      </c>
      <c r="G104" s="74" t="s">
        <v>17</v>
      </c>
      <c r="H104" s="75">
        <v>1</v>
      </c>
      <c r="I104" s="65" t="str">
        <f>VLOOKUP(B104,'HECVAT - Full'!A:E,3,FALSE)</f>
        <v>Yes</v>
      </c>
      <c r="J104" s="65">
        <f>IF(Table1[[#This Row],[Column7]]=Table1[[#This Row],[Column9]],1,0)</f>
        <v>1</v>
      </c>
      <c r="K104" s="65">
        <f>IF(Table1[[#This Row],[Column8]]=1,20,"")</f>
        <v>20</v>
      </c>
      <c r="L104" s="65">
        <f>IF(Table1[[#This Row],[Column8]]=1,J104*K104,"")</f>
        <v>20</v>
      </c>
      <c r="M104" s="66" t="str">
        <f>VLOOKUP($B104,'Standards Crosswalk'!$A:$H,3,FALSE)</f>
        <v>CSC 10</v>
      </c>
      <c r="N104" s="66">
        <f>VLOOKUP($B104,'Standards Crosswalk'!$A:$H,4,FALSE)</f>
        <v>0</v>
      </c>
      <c r="O104" s="66" t="str">
        <f>VLOOKUP($B104,'Standards Crosswalk'!$A:$H,5,FALSE)</f>
        <v>12.3.1</v>
      </c>
      <c r="P104" s="66" t="str">
        <f>VLOOKUP($B104,'Standards Crosswalk'!$A:$H,6,FALSE)</f>
        <v>PR.IP-4</v>
      </c>
      <c r="Q104" s="66" t="str">
        <f>VLOOKUP($B104,'Standards Crosswalk'!$A:$H,7,FALSE)</f>
        <v>3.8.9</v>
      </c>
      <c r="R104" s="66" t="str">
        <f>VLOOKUP($B104,'Standards Crosswalk'!$A:$H,8,FALSE)</f>
        <v>CP-9</v>
      </c>
      <c r="S104" s="66">
        <f>VLOOKUP($B104,'Standards Crosswalk'!$A:$I,9,FALSE)</f>
        <v>12.8</v>
      </c>
    </row>
    <row r="105" spans="1:19" ht="409.6" thickBot="1" x14ac:dyDescent="0.2">
      <c r="A105" s="65">
        <f t="shared" si="4"/>
        <v>103</v>
      </c>
      <c r="B105" s="71" t="s">
        <v>269</v>
      </c>
      <c r="C105" s="72" t="str">
        <f>VLOOKUP(B105,'HECVAT - Full'!A:E,2,FALSE)</f>
        <v>How long are data backups stored?</v>
      </c>
      <c r="D105" s="65">
        <f>VLOOKUP(B105,'HECVAT - Full'!A:E,4,FALSE)</f>
        <v>0</v>
      </c>
      <c r="E105" s="73" t="b">
        <f>IF(Table1[[#This Row],[Column11]]&gt;20,TRUE,FALSE)</f>
        <v>0</v>
      </c>
      <c r="F105" s="73" t="s">
        <v>2033</v>
      </c>
      <c r="G105" s="74"/>
      <c r="H105" s="75">
        <v>1</v>
      </c>
      <c r="I105" s="65" t="str">
        <f>VLOOKUP(B105,'HECVAT - Full'!A:E,3,FALSE)</f>
        <v xml:space="preserve">Data are backed up daily for 60 days and monthly backups are retained for 12 months.
</v>
      </c>
      <c r="J105" s="65">
        <f>IF(VLOOKUP(Table1[[#This Row],[Column2]],'Analyst Report'!$A$41:$G$88,7,FALSE)="Yes",1,0)</f>
        <v>0</v>
      </c>
      <c r="K105" s="65">
        <f>IF(Table1[[#This Row],[Column8]]=1,20,"")</f>
        <v>20</v>
      </c>
      <c r="L105" s="65">
        <f>IF(Table1[[#This Row],[Column8]]=1,J105*K105,"")</f>
        <v>0</v>
      </c>
      <c r="M105" s="66" t="str">
        <f>VLOOKUP($B105,'Standards Crosswalk'!$A:$H,3,FALSE)</f>
        <v>CSC 10</v>
      </c>
      <c r="N105" s="66">
        <f>VLOOKUP($B105,'Standards Crosswalk'!$A:$H,4,FALSE)</f>
        <v>0</v>
      </c>
      <c r="O105" s="66" t="str">
        <f>VLOOKUP($B105,'Standards Crosswalk'!$A:$H,5,FALSE)</f>
        <v>12.3.1</v>
      </c>
      <c r="P105" s="66" t="str">
        <f>VLOOKUP($B105,'Standards Crosswalk'!$A:$H,6,FALSE)</f>
        <v>PR.IP-4</v>
      </c>
      <c r="Q105" s="66" t="str">
        <f>VLOOKUP($B105,'Standards Crosswalk'!$A:$H,7,FALSE)</f>
        <v>3.8.9</v>
      </c>
      <c r="R105" s="66" t="str">
        <f>VLOOKUP($B105,'Standards Crosswalk'!$A:$H,8,FALSE)</f>
        <v>CP-9</v>
      </c>
      <c r="S105" s="66">
        <f>VLOOKUP($B105,'Standards Crosswalk'!$A:$I,9,FALSE)</f>
        <v>0</v>
      </c>
    </row>
    <row r="106" spans="1:19" ht="166" thickBot="1" x14ac:dyDescent="0.2">
      <c r="A106" s="65">
        <f t="shared" si="4"/>
        <v>104</v>
      </c>
      <c r="B106" s="71" t="s">
        <v>270</v>
      </c>
      <c r="C106" s="72" t="str">
        <f>VLOOKUP(B106,'HECVAT - Full'!A:E,2,FALSE)</f>
        <v>Are data backups encrypted?</v>
      </c>
      <c r="D106" s="65" t="str">
        <f>VLOOKUP(B106,'HECVAT - Full'!A:E,4,FALSE)</f>
        <v xml:space="preserve">Data backups are fully-encrypted - as are our running instances.
</v>
      </c>
      <c r="E106" s="73" t="b">
        <f>IF(Table1[[#This Row],[Column11]]&gt;20,TRUE,FALSE)</f>
        <v>1</v>
      </c>
      <c r="F106" s="73" t="s">
        <v>2033</v>
      </c>
      <c r="G106" s="74" t="s">
        <v>17</v>
      </c>
      <c r="H106" s="75">
        <v>1</v>
      </c>
      <c r="I106" s="65" t="str">
        <f>VLOOKUP(B106,'HECVAT - Full'!A:E,3,FALSE)</f>
        <v>Yes</v>
      </c>
      <c r="J106" s="65">
        <f>IF(Table1[[#This Row],[Column7]]=Table1[[#This Row],[Column9]],1,0)</f>
        <v>1</v>
      </c>
      <c r="K106" s="65">
        <f>IF(Table1[[#This Row],[Column8]]=1,25,"")</f>
        <v>25</v>
      </c>
      <c r="L106" s="65">
        <f>IF(Table1[[#This Row],[Column8]]=1,J106*K106,"")</f>
        <v>25</v>
      </c>
      <c r="M106" s="66" t="str">
        <f>VLOOKUP($B106,'Standards Crosswalk'!$A:$H,3,FALSE)</f>
        <v>CSC 10</v>
      </c>
      <c r="N106" s="66">
        <f>VLOOKUP($B106,'Standards Crosswalk'!$A:$H,4,FALSE)</f>
        <v>0</v>
      </c>
      <c r="O106" s="66" t="str">
        <f>VLOOKUP($B106,'Standards Crosswalk'!$A:$H,5,FALSE)</f>
        <v>12.3.1</v>
      </c>
      <c r="P106" s="66" t="str">
        <f>VLOOKUP($B106,'Standards Crosswalk'!$A:$H,6,FALSE)</f>
        <v>PR.DS-1, PR.IP-4</v>
      </c>
      <c r="Q106" s="66" t="str">
        <f>VLOOKUP($B106,'Standards Crosswalk'!$A:$H,7,FALSE)</f>
        <v>3.8.9</v>
      </c>
      <c r="R106" s="66" t="str">
        <f>VLOOKUP($B106,'Standards Crosswalk'!$A:$H,8,FALSE)</f>
        <v>CP-9</v>
      </c>
      <c r="S106" s="66">
        <f>VLOOKUP($B106,'Standards Crosswalk'!$A:$I,9,FALSE)</f>
        <v>0</v>
      </c>
    </row>
    <row r="107" spans="1:19" ht="315" thickBot="1" x14ac:dyDescent="0.2">
      <c r="A107" s="65">
        <f t="shared" si="4"/>
        <v>105</v>
      </c>
      <c r="B107" s="71" t="s">
        <v>271</v>
      </c>
      <c r="C107" s="72" t="str">
        <f>VLOOKUP(B107,'HECVAT - Full'!A:E,2,FALSE)</f>
        <v>Do you have a cryptographic key management process (generation, exchange, storage, safeguards, use, vetting, and replacement), that is documented and currently implemented, for all system components? (e.g. database, system, web, etc.)</v>
      </c>
      <c r="D107" s="65" t="str">
        <f>VLOOKUP(B107,'HECVAT - Full'!A:E,4,FALSE)</f>
        <v xml:space="preserve">Portfolium uses Amazon Web Services' Key Management Services to control access to Amazon's RDS for SQL servers.  
</v>
      </c>
      <c r="E107" s="73" t="b">
        <f>IF(Table1[[#This Row],[Column11]]&gt;20,TRUE,FALSE)</f>
        <v>0</v>
      </c>
      <c r="F107" s="73" t="s">
        <v>2033</v>
      </c>
      <c r="G107" s="74" t="s">
        <v>17</v>
      </c>
      <c r="H107" s="75">
        <v>1</v>
      </c>
      <c r="I107" s="65" t="str">
        <f>VLOOKUP(B107,'HECVAT - Full'!A:E,3,FALSE)</f>
        <v>Yes</v>
      </c>
      <c r="J107" s="65">
        <f>IF(Table1[[#This Row],[Column7]]=Table1[[#This Row],[Column9]],1,0)</f>
        <v>1</v>
      </c>
      <c r="K107" s="65">
        <f>IF(Table1[[#This Row],[Column8]]=1,15,"")</f>
        <v>15</v>
      </c>
      <c r="L107" s="65">
        <f>IF(Table1[[#This Row],[Column8]]=1,J107*K107,"")</f>
        <v>15</v>
      </c>
      <c r="M107" s="66" t="str">
        <f>VLOOKUP($B107,'Standards Crosswalk'!$A:$H,3,FALSE)</f>
        <v>CSC 10</v>
      </c>
      <c r="N107" s="66">
        <f>VLOOKUP($B107,'Standards Crosswalk'!$A:$H,4,FALSE)</f>
        <v>0</v>
      </c>
      <c r="O107" s="66" t="str">
        <f>VLOOKUP($B107,'Standards Crosswalk'!$A:$H,5,FALSE)</f>
        <v>10.1.2</v>
      </c>
      <c r="P107" s="66">
        <f>VLOOKUP($B107,'Standards Crosswalk'!$A:$H,6,FALSE)</f>
        <v>0</v>
      </c>
      <c r="Q107" s="66" t="str">
        <f>VLOOKUP($B107,'Standards Crosswalk'!$A:$H,7,FALSE)</f>
        <v>3.13.10</v>
      </c>
      <c r="R107" s="66" t="str">
        <f>VLOOKUP($B107,'Standards Crosswalk'!$A:$H,8,FALSE)</f>
        <v>SC-28, SC-13, FIPS PUB 140-2</v>
      </c>
      <c r="S107" s="66">
        <f>VLOOKUP($B107,'Standards Crosswalk'!$A:$I,9,FALSE)</f>
        <v>0</v>
      </c>
    </row>
    <row r="108" spans="1:19" ht="409.6" thickBot="1" x14ac:dyDescent="0.2">
      <c r="A108" s="65">
        <f t="shared" si="4"/>
        <v>106</v>
      </c>
      <c r="B108" s="71" t="s">
        <v>273</v>
      </c>
      <c r="C108" s="72" t="str">
        <f>VLOOKUP(B108,'HECVAT - Full'!A:E,2,FALSE)</f>
        <v>Are you performing off site backups? (i.e. digitally moved off site)</v>
      </c>
      <c r="D108" s="65" t="str">
        <f>VLOOKUP(B108,'HECVAT - Full'!A:E,4,FALSE)</f>
        <v xml:space="preserve">Portfolium client data is backed-up automatically both in near-real-time and on a 24 hour schedule to multiple geographic locations, ensuring the security and reliability of data in the event of a disaster or outage of any scale. Database backups are done from one live database to another with no additional load on the system and require no recovery/import time. Static files are stored on secure, geographically redundant storage systems.
</v>
      </c>
      <c r="E108" s="73" t="b">
        <f>IF(Table1[[#This Row],[Column11]]&gt;20,TRUE,FALSE)</f>
        <v>0</v>
      </c>
      <c r="F108" s="73" t="s">
        <v>2033</v>
      </c>
      <c r="G108" s="74" t="s">
        <v>17</v>
      </c>
      <c r="H108" s="75">
        <v>1</v>
      </c>
      <c r="I108" s="65" t="str">
        <f>VLOOKUP(B108,'HECVAT - Full'!A:E,3,FALSE)</f>
        <v>Yes</v>
      </c>
      <c r="J108" s="65">
        <f>IF(Table1[[#This Row],[Column7]]=Table1[[#This Row],[Column9]],1,0)</f>
        <v>1</v>
      </c>
      <c r="K108" s="65">
        <f>IF(Table1[[#This Row],[Column8]]=1,10,"")</f>
        <v>10</v>
      </c>
      <c r="L108" s="65">
        <f>IF(Table1[[#This Row],[Column8]]=1,J108*K108,"")</f>
        <v>10</v>
      </c>
      <c r="M108" s="66" t="str">
        <f>VLOOKUP($B108,'Standards Crosswalk'!$A:$H,3,FALSE)</f>
        <v>CSC 10</v>
      </c>
      <c r="N108" s="66">
        <f>VLOOKUP($B108,'Standards Crosswalk'!$A:$H,4,FALSE)</f>
        <v>0</v>
      </c>
      <c r="O108" s="66" t="str">
        <f>VLOOKUP($B108,'Standards Crosswalk'!$A:$H,5,FALSE)</f>
        <v>12.3.1</v>
      </c>
      <c r="P108" s="66" t="str">
        <f>VLOOKUP($B108,'Standards Crosswalk'!$A:$H,6,FALSE)</f>
        <v>PR.IP-4</v>
      </c>
      <c r="Q108" s="66" t="str">
        <f>VLOOKUP($B108,'Standards Crosswalk'!$A:$H,7,FALSE)</f>
        <v>3.8.1, 3.8.9</v>
      </c>
      <c r="R108" s="66" t="str">
        <f>VLOOKUP($B108,'Standards Crosswalk'!$A:$H,8,FALSE)</f>
        <v>CP-9</v>
      </c>
      <c r="S108" s="66" t="str">
        <f>VLOOKUP($B108,'Standards Crosswalk'!$A:$I,9,FALSE)</f>
        <v>9.x</v>
      </c>
    </row>
    <row r="109" spans="1:19" ht="226" thickBot="1" x14ac:dyDescent="0.2">
      <c r="A109" s="65">
        <f t="shared" si="4"/>
        <v>107</v>
      </c>
      <c r="B109" s="71" t="s">
        <v>274</v>
      </c>
      <c r="C109" s="72" t="str">
        <f>VLOOKUP(B109,'HECVAT - Full'!A:E,2,FALSE)</f>
        <v>Are physical backups taken off site? (i.e. physically moved off site)</v>
      </c>
      <c r="D109" s="65" t="str">
        <f>VLOOKUP(B109,'HECVAT - Full'!A:E,4,FALSE)</f>
        <v xml:space="preserve">As a cloud-based system, Portfolium does not require physical backups.  
</v>
      </c>
      <c r="E109" s="73" t="b">
        <f>IF(Table1[[#This Row],[Column11]]&gt;20,TRUE,FALSE)</f>
        <v>0</v>
      </c>
      <c r="F109" s="73" t="s">
        <v>2033</v>
      </c>
      <c r="G109" s="74" t="s">
        <v>17</v>
      </c>
      <c r="H109" s="75">
        <v>1</v>
      </c>
      <c r="I109" s="65" t="str">
        <f>VLOOKUP(B109,'HECVAT - Full'!A:E,3,FALSE)</f>
        <v>No</v>
      </c>
      <c r="J109" s="65">
        <f>IF(Table1[[#This Row],[Column7]]=Table1[[#This Row],[Column9]],1,0)</f>
        <v>0</v>
      </c>
      <c r="K109" s="65">
        <f>IF(Table1[[#This Row],[Column8]]=1,20,"")</f>
        <v>20</v>
      </c>
      <c r="L109" s="65">
        <f>IF(Table1[[#This Row],[Column8]]=1,J109*K109,"")</f>
        <v>0</v>
      </c>
      <c r="M109" s="66" t="str">
        <f>VLOOKUP($B109,'Standards Crosswalk'!$A:$H,3,FALSE)</f>
        <v>CSC 10</v>
      </c>
      <c r="N109" s="66">
        <f>VLOOKUP($B109,'Standards Crosswalk'!$A:$H,4,FALSE)</f>
        <v>0</v>
      </c>
      <c r="O109" s="66" t="str">
        <f>VLOOKUP($B109,'Standards Crosswalk'!$A:$H,5,FALSE)</f>
        <v>12.3.1</v>
      </c>
      <c r="P109" s="66" t="str">
        <f>VLOOKUP($B109,'Standards Crosswalk'!$A:$H,6,FALSE)</f>
        <v>PR.IP-4</v>
      </c>
      <c r="Q109" s="66" t="str">
        <f>VLOOKUP($B109,'Standards Crosswalk'!$A:$H,7,FALSE)</f>
        <v>3.8.1, 3.8.5, 3.8.9</v>
      </c>
      <c r="R109" s="66" t="str">
        <f>VLOOKUP($B109,'Standards Crosswalk'!$A:$H,8,FALSE)</f>
        <v>CP-9, MP-5</v>
      </c>
      <c r="S109" s="66" t="str">
        <f>VLOOKUP($B109,'Standards Crosswalk'!$A:$I,9,FALSE)</f>
        <v>9.x</v>
      </c>
    </row>
    <row r="110" spans="1:19" ht="343" thickBot="1" x14ac:dyDescent="0.2">
      <c r="A110" s="65">
        <f t="shared" si="4"/>
        <v>108</v>
      </c>
      <c r="B110" s="71" t="s">
        <v>275</v>
      </c>
      <c r="C110" s="72" t="str">
        <f>VLOOKUP(B110,'HECVAT - Full'!A:E,2,FALSE)</f>
        <v>Do backups containing the institution's data ever leave the Institution's Data Zone either physically or via network routing?</v>
      </c>
      <c r="D110" s="65" t="str">
        <f>VLOOKUP(B110,'HECVAT - Full'!A:E,4,FALSE)</f>
        <v xml:space="preserve">For U.S.-based customers, backups never leave the institution's Data Zone.  Currently, Portfolium is only hosted within the U.S.
</v>
      </c>
      <c r="E110" s="73" t="b">
        <f>IF(Table1[[#This Row],[Column11]]&gt;20,TRUE,FALSE)</f>
        <v>0</v>
      </c>
      <c r="F110" s="73" t="s">
        <v>2033</v>
      </c>
      <c r="G110" s="74" t="s">
        <v>20</v>
      </c>
      <c r="H110" s="75">
        <v>1</v>
      </c>
      <c r="I110" s="65" t="str">
        <f>VLOOKUP(B110,'HECVAT - Full'!A:E,3,FALSE)</f>
        <v>No</v>
      </c>
      <c r="J110" s="65">
        <f>IF(Table1[[#This Row],[Column7]]=Table1[[#This Row],[Column9]],1,0)</f>
        <v>1</v>
      </c>
      <c r="K110" s="65">
        <f>IF(Table1[[#This Row],[Column8]]=1,20,"")</f>
        <v>20</v>
      </c>
      <c r="L110" s="65">
        <f>IF(Table1[[#This Row],[Column8]]=1,J110*K110,"")</f>
        <v>20</v>
      </c>
      <c r="M110" s="66" t="str">
        <f>VLOOKUP($B110,'Standards Crosswalk'!$A:$H,3,FALSE)</f>
        <v>CSC 13</v>
      </c>
      <c r="N110" s="66">
        <f>VLOOKUP($B110,'Standards Crosswalk'!$A:$H,4,FALSE)</f>
        <v>0</v>
      </c>
      <c r="O110" s="66" t="str">
        <f>VLOOKUP($B110,'Standards Crosswalk'!$A:$H,5,FALSE)</f>
        <v>12.3.1</v>
      </c>
      <c r="P110" s="66">
        <f>VLOOKUP($B110,'Standards Crosswalk'!$A:$H,6,FALSE)</f>
        <v>0</v>
      </c>
      <c r="Q110" s="66" t="str">
        <f>VLOOKUP($B110,'Standards Crosswalk'!$A:$H,7,FALSE)</f>
        <v>3.8.9</v>
      </c>
      <c r="R110" s="66" t="str">
        <f>VLOOKUP($B110,'Standards Crosswalk'!$A:$H,8,FALSE)</f>
        <v>CP-9, MP-5</v>
      </c>
      <c r="S110" s="66">
        <f>VLOOKUP($B110,'Standards Crosswalk'!$A:$I,9,FALSE)</f>
        <v>12.8</v>
      </c>
    </row>
    <row r="111" spans="1:19" ht="409.6" thickBot="1" x14ac:dyDescent="0.2">
      <c r="A111" s="65">
        <f t="shared" si="4"/>
        <v>109</v>
      </c>
      <c r="B111" s="71" t="s">
        <v>276</v>
      </c>
      <c r="C111" s="72" t="str">
        <f>VLOOKUP(B111,'HECVAT - Full'!A:E,2,FALSE)</f>
        <v>Do you have a media handling process, that is documented and currently implemented, including end-of-life, repurposing, and data sanitization procedures?</v>
      </c>
      <c r="D111" s="65" t="str">
        <f>VLOOKUP(B111,'HECVAT - Full'!A:E,4,FALSE)</f>
        <v xml:space="preserve">In alignment with ISO 27001 standards, when a storage device has reached the end of its useful life, AWS procedures include a decommissioning process that is designed to prevent customer data from being exposed to unauthorized individuals. AWS uses the techniques detailed in DoD 5220.22-M (“National Industrial Security Program Operating Manual “) or NIST 800-88 (“Guidelines for Media Sanitization”) to destroy data as part of the decommissioning process. If a hardware device is unable to be decommissioned using these procedures, the device will be degaussed or physically destroyed in accordance with industry-standard practices.
</v>
      </c>
      <c r="E111" s="73" t="b">
        <f>IF(Table1[[#This Row],[Column11]]&gt;20,TRUE,FALSE)</f>
        <v>1</v>
      </c>
      <c r="F111" s="73" t="s">
        <v>2033</v>
      </c>
      <c r="G111" s="74" t="s">
        <v>17</v>
      </c>
      <c r="H111" s="75">
        <v>1</v>
      </c>
      <c r="I111" s="65" t="str">
        <f>VLOOKUP(B111,'HECVAT - Full'!A:E,3,FALSE)</f>
        <v>Yes</v>
      </c>
      <c r="J111" s="65">
        <f>IF(Table1[[#This Row],[Column7]]=Table1[[#This Row],[Column9]],1,0)</f>
        <v>1</v>
      </c>
      <c r="K111" s="65">
        <f>IF(Table1[[#This Row],[Column8]]=1,25,"")</f>
        <v>25</v>
      </c>
      <c r="L111" s="65">
        <f>IF(Table1[[#This Row],[Column8]]=1,J111*K111,"")</f>
        <v>25</v>
      </c>
      <c r="M111" s="66" t="str">
        <f>VLOOKUP($B111,'Standards Crosswalk'!$A:$H,3,FALSE)</f>
        <v>CSC 13</v>
      </c>
      <c r="N111" s="66">
        <f>VLOOKUP($B111,'Standards Crosswalk'!$A:$H,4,FALSE)</f>
        <v>0</v>
      </c>
      <c r="O111" s="66" t="str">
        <f>VLOOKUP($B111,'Standards Crosswalk'!$A:$H,5,FALSE)</f>
        <v>8.3.1</v>
      </c>
      <c r="P111" s="66" t="str">
        <f>VLOOKUP($B111,'Standards Crosswalk'!$A:$H,6,FALSE)</f>
        <v>PR.DS-3</v>
      </c>
      <c r="Q111" s="66" t="str">
        <f>VLOOKUP($B111,'Standards Crosswalk'!$A:$H,7,FALSE)</f>
        <v>3.7.1, 3.7.2, 3.8.3</v>
      </c>
      <c r="R111" s="66" t="str">
        <f>VLOOKUP($B111,'Standards Crosswalk'!$A:$H,8,FALSE)</f>
        <v>CP-9 MP-6, NIST SP 800-60, NIST SP 800-88, AC-2, AC-6, IA-4, PM-2, PM-10, SI-5, MA-2, MA-3, MP-6</v>
      </c>
      <c r="S111" s="66" t="str">
        <f>VLOOKUP($B111,'Standards Crosswalk'!$A:$I,9,FALSE)</f>
        <v>9.x</v>
      </c>
    </row>
    <row r="112" spans="1:19" ht="409.6" thickBot="1" x14ac:dyDescent="0.2">
      <c r="A112" s="65">
        <f t="shared" si="4"/>
        <v>110</v>
      </c>
      <c r="B112" s="71" t="s">
        <v>277</v>
      </c>
      <c r="C112" s="72" t="str">
        <f>VLOOKUP(B112,'HECVAT - Full'!A:E,2,FALSE)</f>
        <v>Does the process described in DATA-23 adhere to DoD 5220.22-M and/or NIST SP 800-88 standards?</v>
      </c>
      <c r="D112" s="65" t="str">
        <f>VLOOKUP(B112,'HECVAT - Full'!A:E,4,FALSE)</f>
        <v xml:space="preserve">AWS uses the techniques detailed in DoD 5220.22-M (“National Industrial Security Program Operating Manual “) or NIST 800-88 (“Guidelines for Media Sanitization”) to destroy data as part of the decommissioning process.
</v>
      </c>
      <c r="E112" s="73" t="b">
        <f>IF(Table1[[#This Row],[Column11]]&gt;20,TRUE,FALSE)</f>
        <v>0</v>
      </c>
      <c r="F112" s="73" t="s">
        <v>2033</v>
      </c>
      <c r="G112" s="74" t="s">
        <v>17</v>
      </c>
      <c r="H112" s="75">
        <v>1</v>
      </c>
      <c r="I112" s="65" t="str">
        <f>VLOOKUP(B112,'HECVAT - Full'!A:E,3,FALSE)</f>
        <v>Yes</v>
      </c>
      <c r="J112" s="65">
        <f>IF(Table1[[#This Row],[Column7]]=Table1[[#This Row],[Column9]],1,0)</f>
        <v>1</v>
      </c>
      <c r="K112" s="65">
        <f>IF(Table1[[#This Row],[Column8]]=1,15,"")</f>
        <v>15</v>
      </c>
      <c r="L112" s="65">
        <f>IF(Table1[[#This Row],[Column8]]=1,J112*K112,"")</f>
        <v>15</v>
      </c>
      <c r="M112" s="66" t="str">
        <f>VLOOKUP($B112,'Standards Crosswalk'!$A:$H,3,FALSE)</f>
        <v>CSC 13</v>
      </c>
      <c r="N112" s="66">
        <f>VLOOKUP($B112,'Standards Crosswalk'!$A:$H,4,FALSE)</f>
        <v>0</v>
      </c>
      <c r="O112" s="66" t="str">
        <f>VLOOKUP($B112,'Standards Crosswalk'!$A:$H,5,FALSE)</f>
        <v>8.3.1, 18.1.1</v>
      </c>
      <c r="P112" s="66" t="str">
        <f>VLOOKUP($B112,'Standards Crosswalk'!$A:$H,6,FALSE)</f>
        <v>PR.DS-3</v>
      </c>
      <c r="Q112" s="66" t="str">
        <f>VLOOKUP($B112,'Standards Crosswalk'!$A:$H,7,FALSE)</f>
        <v>3.7.3, 3.8.3,</v>
      </c>
      <c r="R112" s="66" t="str">
        <f>VLOOKUP($B112,'Standards Crosswalk'!$A:$H,8,FALSE)</f>
        <v>AC-2, AC-6, IA-4, PM-2, PM-10, SI-5, MA-2</v>
      </c>
      <c r="S112" s="66">
        <f>VLOOKUP($B112,'Standards Crosswalk'!$A:$I,9,FALSE)</f>
        <v>0</v>
      </c>
    </row>
    <row r="113" spans="1:19" ht="409.6" thickBot="1" x14ac:dyDescent="0.2">
      <c r="A113" s="65">
        <f t="shared" si="4"/>
        <v>111</v>
      </c>
      <c r="B113" s="71" t="s">
        <v>278</v>
      </c>
      <c r="C113" s="72" t="str">
        <f>VLOOKUP(B113,'HECVAT - Full'!A:E,2,FALSE)</f>
        <v>Do procedures exist to ensure that retention and destruction of data meets established business and regulatory requirements?</v>
      </c>
      <c r="D113" s="65" t="str">
        <f>VLOOKUP(B113,'HECVAT - Full'!A:E,4,FALSE)</f>
        <v xml:space="preserve">Instructure has documented data retention and destruction policies in line with business and regulatory requirements. Instructure does not delete client data during the term of the agreement unless requested by an authorized contact at the institution, e.g. to meet data privacy requirements. For example, if a portfolio is created, it will remain in Portfolium as long as the account is active unless deleted or removed by an authorized user of the institution.
In regards to backups, for services without a point-in-time restore option enabled, Instructure will retain backups (also known as ""snapshots"") for various periods of time--ultimately up to 12 months. We retain 4-hour snapshots (data backed up every four hours) for a 42 hour window, daily snapshots for a 60 day window, and monthly snapshots for a 12 month window.
If point-in-time restore capabilities are enabled for a service, Instructure will determine the appropriate storage time for snapshot (backup) storage.
Object data, like files, documents, uploaded media, etc., are recoverable (in the event of a deletion or modification) for a period of one year.
AWS uses the techniques detailed in DoD 5220.22-M (“National Industrial Security Program Operating Manual “) or NIST 800-88 (“Guidelines for Media Sanitization”) to destroy data as part of the decommissioning process."
</v>
      </c>
      <c r="E113" s="73" t="b">
        <f>IF(Table1[[#This Row],[Column11]]&gt;20,TRUE,FALSE)</f>
        <v>0</v>
      </c>
      <c r="F113" s="73" t="s">
        <v>2033</v>
      </c>
      <c r="G113" s="74" t="s">
        <v>17</v>
      </c>
      <c r="H113" s="75">
        <v>1</v>
      </c>
      <c r="I113" s="65" t="str">
        <f>VLOOKUP(B113,'HECVAT - Full'!A:E,3,FALSE)</f>
        <v>Yes</v>
      </c>
      <c r="J113" s="65">
        <f>IF(Table1[[#This Row],[Column7]]=Table1[[#This Row],[Column9]],1,0)</f>
        <v>1</v>
      </c>
      <c r="K113" s="65">
        <f>IF(Table1[[#This Row],[Column8]]=1,20,"")</f>
        <v>20</v>
      </c>
      <c r="L113" s="65">
        <f>IF(Table1[[#This Row],[Column8]]=1,J113*K113,"")</f>
        <v>20</v>
      </c>
      <c r="M113" s="66" t="str">
        <f>VLOOKUP($B113,'Standards Crosswalk'!$A:$H,3,FALSE)</f>
        <v>CSC 13</v>
      </c>
      <c r="N113" s="66">
        <f>VLOOKUP($B113,'Standards Crosswalk'!$A:$H,4,FALSE)</f>
        <v>0</v>
      </c>
      <c r="O113" s="66" t="str">
        <f>VLOOKUP($B113,'Standards Crosswalk'!$A:$H,5,FALSE)</f>
        <v>8.3.1, 18.1.1</v>
      </c>
      <c r="P113" s="66" t="str">
        <f>VLOOKUP($B113,'Standards Crosswalk'!$A:$H,6,FALSE)</f>
        <v>PR.DS-3, ID.GV-3</v>
      </c>
      <c r="Q113" s="66" t="str">
        <f>VLOOKUP($B113,'Standards Crosswalk'!$A:$H,7,FALSE)</f>
        <v>3.7.3, 3.8.3,</v>
      </c>
      <c r="R113" s="66" t="str">
        <f>VLOOKUP($B113,'Standards Crosswalk'!$A:$H,8,FALSE)</f>
        <v>SI-12, AC-2, AC-6, IA-4, PM-2, PM-10, SI-5, MA-2</v>
      </c>
      <c r="S113" s="66">
        <f>VLOOKUP($B113,'Standards Crosswalk'!$A:$I,9,FALSE)</f>
        <v>0</v>
      </c>
    </row>
    <row r="114" spans="1:19" ht="409.6" thickBot="1" x14ac:dyDescent="0.2">
      <c r="A114" s="65">
        <f t="shared" si="4"/>
        <v>112</v>
      </c>
      <c r="B114" s="71" t="s">
        <v>279</v>
      </c>
      <c r="C114" s="72" t="str">
        <f>VLOOKUP(B114,'HECVAT - Full'!A:E,2,FALSE)</f>
        <v>Is media used for long-term retention of business data and archival purposes stored in a secure, environmentally protected area?</v>
      </c>
      <c r="D114" s="65" t="str">
        <f>VLOOKUP(B114,'HECVAT - Full'!A:E,4,FALSE)</f>
        <v xml:space="preserve">Media used for long-term retention of business data and archival purposes is stored within Amazon Web Services whose security and environmental protection is in line with ISO 27001 standards.
</v>
      </c>
      <c r="E114" s="73" t="b">
        <f>IF(Table1[[#This Row],[Column11]]&gt;20,TRUE,FALSE)</f>
        <v>0</v>
      </c>
      <c r="F114" s="73" t="s">
        <v>2033</v>
      </c>
      <c r="G114" s="74" t="s">
        <v>17</v>
      </c>
      <c r="H114" s="75">
        <v>1</v>
      </c>
      <c r="I114" s="65" t="str">
        <f>VLOOKUP(B114,'HECVAT - Full'!A:E,3,FALSE)</f>
        <v>Yes</v>
      </c>
      <c r="J114" s="65">
        <f>IF(Table1[[#This Row],[Column7]]=Table1[[#This Row],[Column9]],1,0)</f>
        <v>1</v>
      </c>
      <c r="K114" s="65">
        <f>IF(Table1[[#This Row],[Column8]]=1,20,"")</f>
        <v>20</v>
      </c>
      <c r="L114" s="65">
        <f>IF(Table1[[#This Row],[Column8]]=1,J114*K114,"")</f>
        <v>20</v>
      </c>
      <c r="M114" s="66" t="str">
        <f>VLOOKUP($B114,'Standards Crosswalk'!$A:$H,3,FALSE)</f>
        <v>CSC 13</v>
      </c>
      <c r="N114" s="66">
        <f>VLOOKUP($B114,'Standards Crosswalk'!$A:$H,4,FALSE)</f>
        <v>0</v>
      </c>
      <c r="O114" s="66" t="str">
        <f>VLOOKUP($B114,'Standards Crosswalk'!$A:$H,5,FALSE)</f>
        <v>8.3.1, 18.1.1</v>
      </c>
      <c r="P114" s="66" t="str">
        <f>VLOOKUP($B114,'Standards Crosswalk'!$A:$H,6,FALSE)</f>
        <v>PR.DS-3</v>
      </c>
      <c r="Q114" s="66" t="str">
        <f>VLOOKUP($B114,'Standards Crosswalk'!$A:$H,7,FALSE)</f>
        <v>3.8.1, 3.8.2</v>
      </c>
      <c r="R114" s="66" t="str">
        <f>VLOOKUP($B114,'Standards Crosswalk'!$A:$H,8,FALSE)</f>
        <v>AC-2, AC-6, IA-4, PM-2, PM-10, SI-5</v>
      </c>
      <c r="S114" s="66" t="str">
        <f>VLOOKUP($B114,'Standards Crosswalk'!$A:$I,9,FALSE)</f>
        <v>12.8, 9.x</v>
      </c>
    </row>
    <row r="115" spans="1:19" ht="226" thickBot="1" x14ac:dyDescent="0.2">
      <c r="A115" s="65">
        <f t="shared" si="4"/>
        <v>113</v>
      </c>
      <c r="B115" s="71" t="s">
        <v>280</v>
      </c>
      <c r="C115" s="72" t="str">
        <f>VLOOKUP(B115,'HECVAT - Full'!A:E,2,FALSE)</f>
        <v>Will you handle data in a FERPA compliant manner?</v>
      </c>
      <c r="D115" s="65" t="str">
        <f>VLOOKUP(B115,'HECVAT - Full'!A:E,4,FALSE)</f>
        <v xml:space="preserve">Portfolium is FERPA compliant.  Details can be found here: https://portfolium.com/ferpa 
</v>
      </c>
      <c r="E115" s="73" t="b">
        <f>IF(Table1[[#This Row],[Column11]]&gt;20,TRUE,FALSE)</f>
        <v>0</v>
      </c>
      <c r="F115" s="73" t="s">
        <v>2033</v>
      </c>
      <c r="G115" s="74" t="s">
        <v>17</v>
      </c>
      <c r="H115" s="75">
        <v>1</v>
      </c>
      <c r="I115" s="65" t="str">
        <f>VLOOKUP(B115,'HECVAT - Full'!A:E,3,FALSE)</f>
        <v>Yes</v>
      </c>
      <c r="J115" s="65">
        <f>IF(Table1[[#This Row],[Column7]]=Table1[[#This Row],[Column9]],1,0)</f>
        <v>1</v>
      </c>
      <c r="K115" s="65">
        <f>IF(Table1[[#This Row],[Column8]]=1,20,"")</f>
        <v>20</v>
      </c>
      <c r="L115" s="65">
        <f>IF(Table1[[#This Row],[Column8]]=1,J115*K115,"")</f>
        <v>20</v>
      </c>
      <c r="M115" s="66" t="str">
        <f>VLOOKUP($B115,'Standards Crosswalk'!$A:$H,3,FALSE)</f>
        <v>CSC 13</v>
      </c>
      <c r="N115" s="66">
        <f>VLOOKUP($B115,'Standards Crosswalk'!$A:$H,4,FALSE)</f>
        <v>0</v>
      </c>
      <c r="O115" s="66" t="str">
        <f>VLOOKUP($B115,'Standards Crosswalk'!$A:$H,5,FALSE)</f>
        <v>18.1.1</v>
      </c>
      <c r="P115" s="66" t="str">
        <f>VLOOKUP($B115,'Standards Crosswalk'!$A:$H,6,FALSE)</f>
        <v>ID.GV-3</v>
      </c>
      <c r="Q115" s="66">
        <f>VLOOKUP($B115,'Standards Crosswalk'!$A:$H,7,FALSE)</f>
        <v>0</v>
      </c>
      <c r="R115" s="66">
        <f>VLOOKUP($B115,'Standards Crosswalk'!$A:$H,8,FALSE)</f>
        <v>0</v>
      </c>
      <c r="S115" s="66">
        <f>VLOOKUP($B115,'Standards Crosswalk'!$A:$I,9,FALSE)</f>
        <v>0</v>
      </c>
    </row>
    <row r="116" spans="1:19" ht="409.6" thickBot="1" x14ac:dyDescent="0.2">
      <c r="A116" s="65">
        <f t="shared" si="4"/>
        <v>114</v>
      </c>
      <c r="B116" s="71" t="s">
        <v>281</v>
      </c>
      <c r="C116" s="72" t="str">
        <f>VLOOKUP(B116,'HECVAT - Full'!A:E,2,FALSE)</f>
        <v>Is any institution data visible in system administration modules/tools?</v>
      </c>
      <c r="D116" s="65" t="str">
        <f>VLOOKUP(B116,'HECVAT - Full'!A:E,4,FALSE)</f>
        <v xml:space="preserve">As a cloud-native solution, Instructure hosts each client's Portfolium environment. Instructure's support and operations staff have access to client data for the purposes of delivering the service and providing troubleshooting/support per an agreement. This data is restricted to authorized personnel with appropriate legal and business justification. Safe guards are in place to ensure data can only be accessed by appropriate staff and permissions are audited regularly.
</v>
      </c>
      <c r="E116" s="73" t="b">
        <f>IF(Table1[[#This Row],[Column11]]&gt;20,TRUE,FALSE)</f>
        <v>1</v>
      </c>
      <c r="F116" s="73" t="s">
        <v>2033</v>
      </c>
      <c r="G116" s="74" t="s">
        <v>20</v>
      </c>
      <c r="H116" s="75">
        <v>1</v>
      </c>
      <c r="I116" s="65" t="str">
        <f>VLOOKUP(B116,'HECVAT - Full'!A:E,3,FALSE)</f>
        <v>Yes</v>
      </c>
      <c r="J116" s="65">
        <f>IF(Table1[[#This Row],[Column7]]=Table1[[#This Row],[Column9]],1,0)</f>
        <v>0</v>
      </c>
      <c r="K116" s="65">
        <f>IF(Table1[[#This Row],[Column8]]=1,25,"")</f>
        <v>25</v>
      </c>
      <c r="L116" s="65">
        <f>IF(Table1[[#This Row],[Column8]]=1,J116*K116,"")</f>
        <v>0</v>
      </c>
      <c r="M116" s="66" t="str">
        <f>VLOOKUP($B116,'Standards Crosswalk'!$A:$H,3,FALSE)</f>
        <v>CSC 13, CSC 14</v>
      </c>
      <c r="N116" s="66">
        <f>VLOOKUP($B116,'Standards Crosswalk'!$A:$H,4,FALSE)</f>
        <v>0</v>
      </c>
      <c r="O116" s="66" t="str">
        <f>VLOOKUP($B116,'Standards Crosswalk'!$A:$H,5,FALSE)</f>
        <v>14.2.5</v>
      </c>
      <c r="P116" s="66" t="str">
        <f>VLOOKUP($B116,'Standards Crosswalk'!$A:$H,6,FALSE)</f>
        <v>PR.AC-4</v>
      </c>
      <c r="Q116" s="66">
        <f>VLOOKUP($B116,'Standards Crosswalk'!$A:$H,7,FALSE)</f>
        <v>0</v>
      </c>
      <c r="R116" s="66">
        <f>VLOOKUP($B116,'Standards Crosswalk'!$A:$H,8,FALSE)</f>
        <v>0</v>
      </c>
      <c r="S116" s="66">
        <f>VLOOKUP($B116,'Standards Crosswalk'!$A:$I,9,FALSE)</f>
        <v>0</v>
      </c>
    </row>
    <row r="117" spans="1:19" ht="301" thickBot="1" x14ac:dyDescent="0.2">
      <c r="A117" s="65">
        <f t="shared" si="4"/>
        <v>115</v>
      </c>
      <c r="B117" s="71" t="s">
        <v>282</v>
      </c>
      <c r="C117" s="72" t="str">
        <f>VLOOKUP(B117,'HECVAT - Full'!A:E,2,FALSE)</f>
        <v>Does the database support encryption of specified data elements in storage?</v>
      </c>
      <c r="D117" s="65" t="str">
        <f>VLOOKUP(B117,'HECVAT - Full'!A:E,4,FALSE)</f>
        <v>The disk is encrypted, also the passwords are salted and one way hashed. Everything is encrypted in transport.</v>
      </c>
      <c r="E117" s="73" t="b">
        <f>IF(Table1[[#This Row],[Column11]]&gt;20,TRUE,FALSE)</f>
        <v>1</v>
      </c>
      <c r="F117" s="73" t="s">
        <v>2034</v>
      </c>
      <c r="G117" s="74" t="s">
        <v>17</v>
      </c>
      <c r="H117" s="75">
        <v>1</v>
      </c>
      <c r="I117" s="65" t="str">
        <f>VLOOKUP(B117,'HECVAT - Full'!A:E,3,FALSE)</f>
        <v>Yes</v>
      </c>
      <c r="J117" s="65">
        <f>IF(Table1[[#This Row],[Column7]]=Table1[[#This Row],[Column9]],1,0)</f>
        <v>1</v>
      </c>
      <c r="K117" s="65">
        <f>IF(Table1[[#This Row],[Column8]]=1,25,"")</f>
        <v>25</v>
      </c>
      <c r="L117" s="65">
        <f>IF(Table1[[#This Row],[Column8]]=1,J117*K117,"")</f>
        <v>25</v>
      </c>
      <c r="M117" s="66" t="str">
        <f>VLOOKUP($B117,'Standards Crosswalk'!$A:$H,3,FALSE)</f>
        <v>CSC 13</v>
      </c>
      <c r="N117" s="66">
        <f>VLOOKUP($B117,'Standards Crosswalk'!$A:$H,4,FALSE)</f>
        <v>0</v>
      </c>
      <c r="O117" s="66" t="str">
        <f>VLOOKUP($B117,'Standards Crosswalk'!$A:$H,5,FALSE)</f>
        <v>10.1.1</v>
      </c>
      <c r="P117" s="66" t="str">
        <f>VLOOKUP($B117,'Standards Crosswalk'!$A:$H,6,FALSE)</f>
        <v>PR.DS-1</v>
      </c>
      <c r="Q117" s="66">
        <f>VLOOKUP($B117,'Standards Crosswalk'!$A:$H,7,FALSE)</f>
        <v>0</v>
      </c>
      <c r="R117" s="66">
        <f>VLOOKUP($B117,'Standards Crosswalk'!$A:$H,8,FALSE)</f>
        <v>0</v>
      </c>
      <c r="S117" s="66">
        <f>VLOOKUP($B117,'Standards Crosswalk'!$A:$I,9,FALSE)</f>
        <v>0</v>
      </c>
    </row>
    <row r="118" spans="1:19" ht="329" thickBot="1" x14ac:dyDescent="0.2">
      <c r="A118" s="65">
        <f t="shared" si="4"/>
        <v>116</v>
      </c>
      <c r="B118" s="71" t="s">
        <v>283</v>
      </c>
      <c r="C118" s="72" t="str">
        <f>VLOOKUP(B118,'HECVAT - Full'!A:E,2,FALSE)</f>
        <v>Do you currently use encryption in your database(s)?</v>
      </c>
      <c r="D118" s="65" t="str">
        <f>VLOOKUP(B118,'HECVAT - Full'!A:E,4,FALSE)</f>
        <v xml:space="preserve">Portfolium uses Amazon Web Services' Relational Database Services which utilize the AES 256 encryption standard.
</v>
      </c>
      <c r="E118" s="73" t="b">
        <f>IF(Table1[[#This Row],[Column11]]&gt;20,TRUE,FALSE)</f>
        <v>1</v>
      </c>
      <c r="F118" s="73" t="s">
        <v>2034</v>
      </c>
      <c r="G118" s="74" t="s">
        <v>17</v>
      </c>
      <c r="H118" s="75">
        <v>1</v>
      </c>
      <c r="I118" s="65" t="str">
        <f>VLOOKUP(B118,'HECVAT - Full'!A:E,3,FALSE)</f>
        <v>Yes</v>
      </c>
      <c r="J118" s="65">
        <f>IF(Table1[[#This Row],[Column7]]=Table1[[#This Row],[Column9]],1,0)</f>
        <v>1</v>
      </c>
      <c r="K118" s="65">
        <f>IF(Table1[[#This Row],[Column8]]=1,25,"")</f>
        <v>25</v>
      </c>
      <c r="L118" s="65">
        <f>IF(Table1[[#This Row],[Column8]]=1,J118*K118,"")</f>
        <v>25</v>
      </c>
      <c r="M118" s="66" t="str">
        <f>VLOOKUP($B118,'Standards Crosswalk'!$A:$H,3,FALSE)</f>
        <v>CSC 13</v>
      </c>
      <c r="N118" s="66">
        <f>VLOOKUP($B118,'Standards Crosswalk'!$A:$H,4,FALSE)</f>
        <v>0</v>
      </c>
      <c r="O118" s="66" t="str">
        <f>VLOOKUP($B118,'Standards Crosswalk'!$A:$H,5,FALSE)</f>
        <v>10.1.1</v>
      </c>
      <c r="P118" s="66" t="str">
        <f>VLOOKUP($B118,'Standards Crosswalk'!$A:$H,6,FALSE)</f>
        <v>PR.DS-1, PR.DS-2</v>
      </c>
      <c r="Q118" s="66">
        <f>VLOOKUP($B118,'Standards Crosswalk'!$A:$H,7,FALSE)</f>
        <v>0</v>
      </c>
      <c r="R118" s="66">
        <f>VLOOKUP($B118,'Standards Crosswalk'!$A:$H,8,FALSE)</f>
        <v>0</v>
      </c>
      <c r="S118" s="66">
        <f>VLOOKUP($B118,'Standards Crosswalk'!$A:$I,9,FALSE)</f>
        <v>0</v>
      </c>
    </row>
    <row r="119" spans="1:19" ht="409.6" thickBot="1" x14ac:dyDescent="0.2">
      <c r="A119" s="65">
        <f t="shared" si="4"/>
        <v>117</v>
      </c>
      <c r="B119" s="71" t="s">
        <v>284</v>
      </c>
      <c r="C119" s="72" t="str">
        <f>VLOOKUP(B119,'HECVAT - Full'!A:E,2,FALSE)</f>
        <v>Does your company own the physical data center where the Institution's data will reside?</v>
      </c>
      <c r="D119" s="65" t="str">
        <f>VLOOKUP(B119,'HECVAT - Full'!A:E,4,FALSE)</f>
        <v xml:space="preserve">Data centers are owned and operated by Amazon Web Services (AWS) which is ISO/IEC 27001:2013 compliant. Detailed descriptions of hosting locations are not published by AWS; however, data for U.S. customers will be hosted in an AWS region within the United States.
</v>
      </c>
      <c r="E119" s="73" t="b">
        <f>IF(Table1[[#This Row],[Column11]]&gt;20,TRUE,FALSE)</f>
        <v>0</v>
      </c>
      <c r="F119" s="73" t="s">
        <v>2035</v>
      </c>
      <c r="G119" s="74" t="s">
        <v>17</v>
      </c>
      <c r="H119" s="75">
        <v>1</v>
      </c>
      <c r="I119" s="65" t="str">
        <f>VLOOKUP(B119,'HECVAT - Full'!A:E,3,FALSE)</f>
        <v>No</v>
      </c>
      <c r="J119" s="65">
        <f>IF(Table1[[#This Row],[Column7]]=Table1[[#This Row],[Column9]],1,0)</f>
        <v>0</v>
      </c>
      <c r="K119" s="65">
        <f>IF(Table1[[#This Row],[Column8]]=1,15,"")</f>
        <v>15</v>
      </c>
      <c r="L119" s="65">
        <f>IF(Table1[[#This Row],[Column8]]=1,J119*K119,"")</f>
        <v>0</v>
      </c>
      <c r="M119" s="66" t="str">
        <f>VLOOKUP($B119,'Standards Crosswalk'!$A:$H,3,FALSE)</f>
        <v>CSC 14</v>
      </c>
      <c r="N119" s="66">
        <f>VLOOKUP($B119,'Standards Crosswalk'!$A:$H,4,FALSE)</f>
        <v>0</v>
      </c>
      <c r="O119" s="66" t="str">
        <f>VLOOKUP($B119,'Standards Crosswalk'!$A:$H,5,FALSE)</f>
        <v>11.1.1</v>
      </c>
      <c r="P119" s="66" t="str">
        <f>VLOOKUP($B119,'Standards Crosswalk'!$A:$H,6,FALSE)</f>
        <v>PR.AC-2, PR.IP-5</v>
      </c>
      <c r="Q119" s="66">
        <f>VLOOKUP($B119,'Standards Crosswalk'!$A:$H,7,FALSE)</f>
        <v>0</v>
      </c>
      <c r="R119" s="66">
        <f>VLOOKUP($B119,'Standards Crosswalk'!$A:$H,8,FALSE)</f>
        <v>0</v>
      </c>
      <c r="S119" s="66" t="str">
        <f>VLOOKUP($B119,'Standards Crosswalk'!$A:$I,9,FALSE)</f>
        <v>12.8, 9.x</v>
      </c>
    </row>
    <row r="120" spans="1:19" ht="371" thickBot="1" x14ac:dyDescent="0.2">
      <c r="A120" s="65">
        <f t="shared" si="4"/>
        <v>118</v>
      </c>
      <c r="B120" s="71" t="s">
        <v>285</v>
      </c>
      <c r="C120" s="72" t="str">
        <f>VLOOKUP(B120,'HECVAT - Full'!A:E,2,FALSE)</f>
        <v>Does the hosting provider have a SOC 2 Type 2 report available?</v>
      </c>
      <c r="D120" s="65" t="str">
        <f>VLOOKUP(B120,'HECVAT - Full'!A:E,4,FALSE)</f>
        <v xml:space="preserve">Amazon Web Services (hosting provider) holds several SOC reports which can be accessed here: https://aws.amazon.com/compliance/soc-faqs/ 
</v>
      </c>
      <c r="E120" s="73" t="b">
        <f>IF(Table1[[#This Row],[Column11]]&gt;20,TRUE,FALSE)</f>
        <v>0</v>
      </c>
      <c r="F120" s="73" t="s">
        <v>2035</v>
      </c>
      <c r="G120" s="74" t="s">
        <v>17</v>
      </c>
      <c r="H120" s="75">
        <v>1</v>
      </c>
      <c r="I120" s="65" t="str">
        <f>VLOOKUP(B120,'HECVAT - Full'!A:E,3,FALSE)</f>
        <v>Yes</v>
      </c>
      <c r="J120" s="65">
        <f>IF(Table1[[#This Row],[Column7]]=Table1[[#This Row],[Column9]],1,0)</f>
        <v>1</v>
      </c>
      <c r="K120" s="65">
        <f>IF(Table1[[#This Row],[Column8]]=1,15,"")</f>
        <v>15</v>
      </c>
      <c r="L120" s="65">
        <f>IF(Table1[[#This Row],[Column8]]=1,J120*K120,"")</f>
        <v>15</v>
      </c>
      <c r="M120" s="66" t="str">
        <f>VLOOKUP($B120,'Standards Crosswalk'!$A:$H,3,FALSE)</f>
        <v>CSC 13</v>
      </c>
      <c r="N120" s="66">
        <f>VLOOKUP($B120,'Standards Crosswalk'!$A:$H,4,FALSE)</f>
        <v>0</v>
      </c>
      <c r="O120" s="66" t="str">
        <f>VLOOKUP($B120,'Standards Crosswalk'!$A:$H,5,FALSE)</f>
        <v>11.1.1</v>
      </c>
      <c r="P120" s="66">
        <f>VLOOKUP($B120,'Standards Crosswalk'!$A:$H,6,FALSE)</f>
        <v>0</v>
      </c>
      <c r="Q120" s="66">
        <f>VLOOKUP($B120,'Standards Crosswalk'!$A:$H,7,FALSE)</f>
        <v>0</v>
      </c>
      <c r="R120" s="66">
        <f>VLOOKUP($B120,'Standards Crosswalk'!$A:$H,8,FALSE)</f>
        <v>0</v>
      </c>
      <c r="S120" s="66">
        <f>VLOOKUP($B120,'Standards Crosswalk'!$A:$I,9,FALSE)</f>
        <v>0</v>
      </c>
    </row>
    <row r="121" spans="1:19" ht="409.6" thickBot="1" x14ac:dyDescent="0.2">
      <c r="A121" s="65">
        <f t="shared" si="4"/>
        <v>119</v>
      </c>
      <c r="B121" s="71" t="s">
        <v>286</v>
      </c>
      <c r="C121" s="72" t="str">
        <f>VLOOKUP(B121,'HECVAT - Full'!A:E,2,FALSE)</f>
        <v>Are the data centers staffed 24 hours a day, seven days a week (i.e., 24x7x365)?</v>
      </c>
      <c r="D121" s="65" t="str">
        <f>VLOOKUP(B121,'HECVAT - Full'!A:E,4,FALSE)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ISO27001 standards.  More details on AWS security procedures (including staffing details) can be found in the AWS Security White Paper located here: ﻿ (http://d0.awsstatic.com/whitepapers/Security/AWS%20Security%20Whitepaper.pdf)﻿https://d1.awsstatic.com/whitepapers/aws-security-whitepaper.pdf 
</v>
      </c>
      <c r="E121" s="73" t="b">
        <f>IF(Table1[[#This Row],[Column11]]&gt;20,TRUE,FALSE)</f>
        <v>0</v>
      </c>
      <c r="F121" s="73" t="s">
        <v>2035</v>
      </c>
      <c r="G121" s="74" t="s">
        <v>17</v>
      </c>
      <c r="H121" s="75">
        <v>1</v>
      </c>
      <c r="I121" s="65" t="str">
        <f>VLOOKUP(B121,'HECVAT - Full'!A:E,3,FALSE)</f>
        <v>Yes</v>
      </c>
      <c r="J121" s="65">
        <f>IF(Table1[[#This Row],[Column7]]=Table1[[#This Row],[Column9]],1,0)</f>
        <v>1</v>
      </c>
      <c r="K121" s="65">
        <f>IF(Table1[[#This Row],[Column8]]=1,15,"")</f>
        <v>15</v>
      </c>
      <c r="L121" s="65">
        <f>IF(Table1[[#This Row],[Column8]]=1,J121*K121,"")</f>
        <v>15</v>
      </c>
      <c r="M121" s="66" t="str">
        <f>VLOOKUP($B121,'Standards Crosswalk'!$A:$H,3,FALSE)</f>
        <v>CSC 3</v>
      </c>
      <c r="N121" s="66">
        <f>VLOOKUP($B121,'Standards Crosswalk'!$A:$H,4,FALSE)</f>
        <v>0</v>
      </c>
      <c r="O121" s="66" t="str">
        <f>VLOOKUP($B121,'Standards Crosswalk'!$A:$H,5,FALSE)</f>
        <v>17.2.1</v>
      </c>
      <c r="P121" s="66">
        <f>VLOOKUP($B121,'Standards Crosswalk'!$A:$H,6,FALSE)</f>
        <v>0</v>
      </c>
      <c r="Q121" s="66">
        <f>VLOOKUP($B121,'Standards Crosswalk'!$A:$H,7,FALSE)</f>
        <v>0</v>
      </c>
      <c r="R121" s="66">
        <f>VLOOKUP($B121,'Standards Crosswalk'!$A:$H,8,FALSE)</f>
        <v>0</v>
      </c>
      <c r="S121" s="66">
        <f>VLOOKUP($B121,'Standards Crosswalk'!$A:$I,9,FALSE)</f>
        <v>0</v>
      </c>
    </row>
    <row r="122" spans="1:19" ht="409.6" thickBot="1" x14ac:dyDescent="0.2">
      <c r="A122" s="65">
        <f t="shared" si="4"/>
        <v>120</v>
      </c>
      <c r="B122" s="71" t="s">
        <v>287</v>
      </c>
      <c r="C122" s="72" t="str">
        <f>VLOOKUP(B122,'HECVAT - Full'!A:E,2,FALSE)</f>
        <v>Do any of your servers reside in a co-located data center?</v>
      </c>
      <c r="D122" s="65" t="str">
        <f>VLOOKUP(B122,'HECVAT - Full'!A:E,4,FALSE)</f>
        <v xml:space="preserve">Instructure products are native cloud-based products which do not rely on co-located data centers. The system utilizes the AWS networking schema and maintains co-location strategies via separate AWS physical regions.
</v>
      </c>
      <c r="E122" s="73" t="b">
        <f>IF(Table1[[#This Row],[Column11]]&gt;20,TRUE,FALSE)</f>
        <v>1</v>
      </c>
      <c r="F122" s="73" t="s">
        <v>2035</v>
      </c>
      <c r="G122" s="74" t="s">
        <v>20</v>
      </c>
      <c r="H122" s="75">
        <v>1</v>
      </c>
      <c r="I122" s="65" t="str">
        <f>VLOOKUP(B122,'HECVAT - Full'!A:E,3,FALSE)</f>
        <v>No</v>
      </c>
      <c r="J122" s="65">
        <f>IF(Table1[[#This Row],[Column7]]=Table1[[#This Row],[Column9]],1,0)</f>
        <v>1</v>
      </c>
      <c r="K122" s="65">
        <v>25</v>
      </c>
      <c r="L122" s="65">
        <f>IF(Table1[[#This Row],[Column8]]=1,J122*K122,"")</f>
        <v>25</v>
      </c>
      <c r="M122" s="66" t="str">
        <f>VLOOKUP($B122,'Standards Crosswalk'!$A:$H,3,FALSE)</f>
        <v>CSC 3, CSC 14</v>
      </c>
      <c r="N122" s="66">
        <f>VLOOKUP($B122,'Standards Crosswalk'!$A:$H,4,FALSE)</f>
        <v>0</v>
      </c>
      <c r="O122" s="66">
        <f>VLOOKUP($B122,'Standards Crosswalk'!$A:$H,5,FALSE)</f>
        <v>0</v>
      </c>
      <c r="P122" s="66">
        <f>VLOOKUP($B122,'Standards Crosswalk'!$A:$H,6,FALSE)</f>
        <v>0</v>
      </c>
      <c r="Q122" s="66">
        <f>VLOOKUP($B122,'Standards Crosswalk'!$A:$H,7,FALSE)</f>
        <v>0</v>
      </c>
      <c r="R122" s="66" t="str">
        <f>VLOOKUP($B122,'Standards Crosswalk'!$A:$H,8,FALSE)</f>
        <v>AC-4</v>
      </c>
      <c r="S122" s="66">
        <f>VLOOKUP($B122,'Standards Crosswalk'!$A:$I,9,FALSE)</f>
        <v>12.8</v>
      </c>
    </row>
    <row r="123" spans="1:19" ht="61" thickBot="1" x14ac:dyDescent="0.2">
      <c r="A123" s="65">
        <f t="shared" si="4"/>
        <v>121</v>
      </c>
      <c r="B123" s="71" t="s">
        <v>288</v>
      </c>
      <c r="C123" s="72" t="str">
        <f>VLOOKUP(B123,'HECVAT - Full'!A:E,2,FALSE)</f>
        <v>Are your servers separated from other companies via a physical barrier, such as a cage or hardened walls?</v>
      </c>
      <c r="D123" s="65">
        <f>VLOOKUP(B123,'HECVAT - Full'!A:E,4,FALSE)</f>
        <v>0</v>
      </c>
      <c r="E123" s="73" t="b">
        <f>IF(Table1[[#This Row],[Column11]]&gt;20,TRUE,FALSE)</f>
        <v>1</v>
      </c>
      <c r="F123" s="73" t="s">
        <v>2035</v>
      </c>
      <c r="G123" s="74" t="s">
        <v>17</v>
      </c>
      <c r="H123" s="75">
        <f>IF(I122="Yes",1,0)</f>
        <v>0</v>
      </c>
      <c r="I123" s="65">
        <f>VLOOKUP(B123,'HECVAT - Full'!A:E,3,FALSE)</f>
        <v>0</v>
      </c>
      <c r="J123" s="65">
        <f>IF(Table1[[#This Row],[Column7]]=Table1[[#This Row],[Column9]],1,0)</f>
        <v>0</v>
      </c>
      <c r="K123" s="65" t="str">
        <f>IF(Table1[[#This Row],[Column8]]=1,20,"")</f>
        <v/>
      </c>
      <c r="L123" s="65" t="str">
        <f>IF(Table1[[#This Row],[Column8]]=1,J123*K123,"")</f>
        <v/>
      </c>
      <c r="M123" s="66" t="str">
        <f>VLOOKUP($B123,'Standards Crosswalk'!$A:$H,3,FALSE)</f>
        <v>CSC 3, CSC 14</v>
      </c>
      <c r="N123" s="66">
        <f>VLOOKUP($B123,'Standards Crosswalk'!$A:$H,4,FALSE)</f>
        <v>0</v>
      </c>
      <c r="O123" s="66" t="str">
        <f>VLOOKUP($B123,'Standards Crosswalk'!$A:$H,5,FALSE)</f>
        <v>13.1.2</v>
      </c>
      <c r="P123" s="66" t="str">
        <f>VLOOKUP($B123,'Standards Crosswalk'!$A:$H,6,FALSE)</f>
        <v>PR.AC-2</v>
      </c>
      <c r="Q123" s="66">
        <f>VLOOKUP($B123,'Standards Crosswalk'!$A:$H,7,FALSE)</f>
        <v>0</v>
      </c>
      <c r="R123" s="66">
        <f>VLOOKUP($B123,'Standards Crosswalk'!$A:$H,8,FALSE)</f>
        <v>0</v>
      </c>
      <c r="S123" s="66" t="str">
        <f>VLOOKUP($B123,'Standards Crosswalk'!$A:$I,9,FALSE)</f>
        <v>9.x</v>
      </c>
    </row>
    <row r="124" spans="1:19" ht="61" thickBot="1" x14ac:dyDescent="0.2">
      <c r="A124" s="65">
        <f t="shared" si="4"/>
        <v>122</v>
      </c>
      <c r="B124" s="71" t="s">
        <v>289</v>
      </c>
      <c r="C124" s="72" t="str">
        <f>VLOOKUP(B124,'HECVAT - Full'!A:E,2,FALSE)</f>
        <v>Does a physical barrier fully enclose the physical space preventing unauthorized physical contact with any of your devices?</v>
      </c>
      <c r="D124" s="65">
        <f>VLOOKUP(B124,'HECVAT - Full'!A:E,4,FALSE)</f>
        <v>0</v>
      </c>
      <c r="E124" s="73" t="b">
        <f>IF(Table1[[#This Row],[Column11]]&gt;20,TRUE,FALSE)</f>
        <v>1</v>
      </c>
      <c r="F124" s="73" t="s">
        <v>2035</v>
      </c>
      <c r="G124" s="74" t="s">
        <v>17</v>
      </c>
      <c r="H124" s="75">
        <f>IF(I122="Yes",1,0)</f>
        <v>0</v>
      </c>
      <c r="I124" s="65">
        <f>VLOOKUP(B124,'HECVAT - Full'!A:E,3,FALSE)</f>
        <v>0</v>
      </c>
      <c r="J124" s="65">
        <f>IF(Table1[[#This Row],[Column7]]=Table1[[#This Row],[Column9]],1,0)</f>
        <v>0</v>
      </c>
      <c r="K124" s="65" t="str">
        <f>IF(Table1[[#This Row],[Column8]]=1,20,"")</f>
        <v/>
      </c>
      <c r="L124" s="65" t="str">
        <f>IF(Table1[[#This Row],[Column8]]=1,J124*K124,"")</f>
        <v/>
      </c>
      <c r="M124" s="66" t="str">
        <f>VLOOKUP($B124,'Standards Crosswalk'!$A:$H,3,FALSE)</f>
        <v>CSC 14</v>
      </c>
      <c r="N124" s="66">
        <f>VLOOKUP($B124,'Standards Crosswalk'!$A:$H,4,FALSE)</f>
        <v>0</v>
      </c>
      <c r="O124" s="66" t="str">
        <f>VLOOKUP($B124,'Standards Crosswalk'!$A:$H,5,FALSE)</f>
        <v>11.1.1, 11.1.2</v>
      </c>
      <c r="P124" s="66" t="str">
        <f>VLOOKUP($B124,'Standards Crosswalk'!$A:$H,6,FALSE)</f>
        <v>PR.AC-2</v>
      </c>
      <c r="Q124" s="66" t="str">
        <f>VLOOKUP($B124,'Standards Crosswalk'!$A:$H,7,FALSE)</f>
        <v>3.8.1, 3.8.2</v>
      </c>
      <c r="R124" s="66">
        <f>VLOOKUP($B124,'Standards Crosswalk'!$A:$H,8,FALSE)</f>
        <v>0</v>
      </c>
      <c r="S124" s="66" t="str">
        <f>VLOOKUP($B124,'Standards Crosswalk'!$A:$I,9,FALSE)</f>
        <v>9.x</v>
      </c>
    </row>
    <row r="125" spans="1:19" ht="409.6" thickBot="1" x14ac:dyDescent="0.2">
      <c r="A125" s="65">
        <f t="shared" si="4"/>
        <v>123</v>
      </c>
      <c r="B125" s="71" t="s">
        <v>290</v>
      </c>
      <c r="C125" s="72" t="str">
        <f>VLOOKUP(B125,'HECVAT - Full'!A:E,2,FALSE)</f>
        <v>Select the option that best describes the network segment that servers are connected to.</v>
      </c>
      <c r="D125" s="65" t="str">
        <f>VLOOKUP(B125,'HECVAT - Full'!A:E,4,FALSE)</f>
        <v xml:space="preserve">Portfolium uses VPC networks provided by Amazon Web Services. Each AWS availability zone has multiple internet connections from tier one backbone providers.
</v>
      </c>
      <c r="E125" s="73" t="b">
        <f>IF(Table1[[#This Row],[Column11]]&gt;20,TRUE,FALSE)</f>
        <v>0</v>
      </c>
      <c r="F125" s="73" t="s">
        <v>2035</v>
      </c>
      <c r="G125" s="74" t="s">
        <v>17</v>
      </c>
      <c r="H125" s="75">
        <v>1</v>
      </c>
      <c r="I125" s="65" t="str">
        <f>VLOOKUP(B125,'HECVAT - Full'!A:E,3,FALSE)</f>
        <v>Physically Separate</v>
      </c>
      <c r="J125" s="65">
        <f>IF(VLOOKUP(Table1[[#This Row],[Column2]],'Analyst Report'!$A$41:$G$88,7,FALSE)="Yes",1,0)</f>
        <v>0</v>
      </c>
      <c r="K125" s="65">
        <f>IF(Table1[[#This Row],[Column8]]=1,20,"")</f>
        <v>20</v>
      </c>
      <c r="L125" s="65">
        <f>IF(Table1[[#This Row],[Column8]]=1,J125*K125,"")</f>
        <v>0</v>
      </c>
      <c r="M125" s="66" t="str">
        <f>VLOOKUP($B125,'Standards Crosswalk'!$A:$H,3,FALSE)</f>
        <v>CSC 9</v>
      </c>
      <c r="N125" s="66">
        <f>VLOOKUP($B125,'Standards Crosswalk'!$A:$H,4,FALSE)</f>
        <v>0</v>
      </c>
      <c r="O125" s="66">
        <f>VLOOKUP($B125,'Standards Crosswalk'!$A:$H,5,FALSE)</f>
        <v>0</v>
      </c>
      <c r="P125" s="66" t="str">
        <f>VLOOKUP($B125,'Standards Crosswalk'!$A:$H,6,FALSE)</f>
        <v>PR.AC-5</v>
      </c>
      <c r="Q125" s="66" t="str">
        <f>VLOOKUP($B125,'Standards Crosswalk'!$A:$H,7,FALSE)</f>
        <v>3.1.3</v>
      </c>
      <c r="R125" s="66">
        <f>VLOOKUP($B125,'Standards Crosswalk'!$A:$H,8,FALSE)</f>
        <v>0</v>
      </c>
      <c r="S125" s="66">
        <f>VLOOKUP($B125,'Standards Crosswalk'!$A:$I,9,FALSE)</f>
        <v>0</v>
      </c>
    </row>
    <row r="126" spans="1:19" ht="181" thickBot="1" x14ac:dyDescent="0.2">
      <c r="A126" s="65">
        <f t="shared" si="4"/>
        <v>124</v>
      </c>
      <c r="B126" s="71" t="s">
        <v>291</v>
      </c>
      <c r="C126" s="72" t="str">
        <f>VLOOKUP(B126,'HECVAT - Full'!A:E,2,FALSE)</f>
        <v>Does this data center operate outside of the Institution's Data Zone?</v>
      </c>
      <c r="D126" s="65" t="str">
        <f>VLOOKUP(B126,'HECVAT - Full'!A:E,4,FALSE)</f>
        <v xml:space="preserve">All U.S. customers are hosted within data centers located within the U.S.
</v>
      </c>
      <c r="E126" s="73" t="b">
        <f>IF(Table1[[#This Row],[Column11]]&gt;20,TRUE,FALSE)</f>
        <v>0</v>
      </c>
      <c r="F126" s="73" t="s">
        <v>2035</v>
      </c>
      <c r="G126" s="74" t="s">
        <v>20</v>
      </c>
      <c r="H126" s="75">
        <v>1</v>
      </c>
      <c r="I126" s="65" t="str">
        <f>VLOOKUP(B126,'HECVAT - Full'!A:E,3,FALSE)</f>
        <v>No</v>
      </c>
      <c r="J126" s="65">
        <f>IF(Table1[[#This Row],[Column7]]=Table1[[#This Row],[Column9]],1,0)</f>
        <v>1</v>
      </c>
      <c r="K126" s="65">
        <f>IF(Table1[[#This Row],[Column8]]=1,20,"")</f>
        <v>20</v>
      </c>
      <c r="L126" s="65">
        <f>IF(Table1[[#This Row],[Column8]]=1,J126*K126,"")</f>
        <v>20</v>
      </c>
      <c r="M126" s="66" t="str">
        <f>VLOOKUP($B126,'Standards Crosswalk'!$A:$H,3,FALSE)</f>
        <v>CSC 12</v>
      </c>
      <c r="N126" s="66">
        <f>VLOOKUP($B126,'Standards Crosswalk'!$A:$H,4,FALSE)</f>
        <v>0</v>
      </c>
      <c r="O126" s="66" t="str">
        <f>VLOOKUP($B126,'Standards Crosswalk'!$A:$H,5,FALSE)</f>
        <v>18.1.1</v>
      </c>
      <c r="P126" s="66">
        <f>VLOOKUP($B126,'Standards Crosswalk'!$A:$H,6,FALSE)</f>
        <v>0</v>
      </c>
      <c r="Q126" s="66">
        <f>VLOOKUP($B126,'Standards Crosswalk'!$A:$H,7,FALSE)</f>
        <v>0</v>
      </c>
      <c r="R126" s="66">
        <f>VLOOKUP($B126,'Standards Crosswalk'!$A:$H,8,FALSE)</f>
        <v>0</v>
      </c>
      <c r="S126" s="66">
        <f>VLOOKUP($B126,'Standards Crosswalk'!$A:$I,9,FALSE)</f>
        <v>12.8</v>
      </c>
    </row>
    <row r="127" spans="1:19" ht="256" thickBot="1" x14ac:dyDescent="0.2">
      <c r="A127" s="65">
        <f t="shared" si="4"/>
        <v>125</v>
      </c>
      <c r="B127" s="71" t="s">
        <v>292</v>
      </c>
      <c r="C127" s="72" t="str">
        <f>VLOOKUP(B127,'HECVAT - Full'!A:E,2,FALSE)</f>
        <v>Will any institution data leave the Institution's Data Zone?</v>
      </c>
      <c r="D127" s="65" t="str">
        <f>VLOOKUP(B127,'HECVAT - Full'!A:E,4,FALSE)</f>
        <v xml:space="preserve">Institution data for U.S.-based customers will never leave the institutional data zone (U.S.A.)
</v>
      </c>
      <c r="E127" s="73" t="b">
        <f>IF(Table1[[#This Row],[Column11]]&gt;20,TRUE,FALSE)</f>
        <v>1</v>
      </c>
      <c r="F127" s="73" t="s">
        <v>2035</v>
      </c>
      <c r="G127" s="74" t="s">
        <v>20</v>
      </c>
      <c r="H127" s="75">
        <v>1</v>
      </c>
      <c r="I127" s="65" t="str">
        <f>VLOOKUP(B127,'HECVAT - Full'!A:E,3,FALSE)</f>
        <v>No</v>
      </c>
      <c r="J127" s="65">
        <f>IF(Table1[[#This Row],[Column7]]=Table1[[#This Row],[Column9]],1,0)</f>
        <v>1</v>
      </c>
      <c r="K127" s="65">
        <v>25</v>
      </c>
      <c r="L127" s="65">
        <f>IF(Table1[[#This Row],[Column8]]=1,J127*K127,"")</f>
        <v>25</v>
      </c>
      <c r="M127" s="66" t="str">
        <f>VLOOKUP($B127,'Standards Crosswalk'!$A:$H,3,FALSE)</f>
        <v>CSC 12</v>
      </c>
      <c r="N127" s="66">
        <f>VLOOKUP($B127,'Standards Crosswalk'!$A:$H,4,FALSE)</f>
        <v>0</v>
      </c>
      <c r="O127" s="66" t="str">
        <f>VLOOKUP($B127,'Standards Crosswalk'!$A:$H,5,FALSE)</f>
        <v>18.1.1</v>
      </c>
      <c r="P127" s="66">
        <f>VLOOKUP($B127,'Standards Crosswalk'!$A:$H,6,FALSE)</f>
        <v>0</v>
      </c>
      <c r="Q127" s="66">
        <f>VLOOKUP($B127,'Standards Crosswalk'!$A:$H,7,FALSE)</f>
        <v>0</v>
      </c>
      <c r="R127" s="66">
        <f>VLOOKUP($B127,'Standards Crosswalk'!$A:$H,8,FALSE)</f>
        <v>0</v>
      </c>
      <c r="S127" s="66">
        <f>VLOOKUP($B127,'Standards Crosswalk'!$A:$I,9,FALSE)</f>
        <v>12.9</v>
      </c>
    </row>
    <row r="128" spans="1:19" ht="16" thickBot="1" x14ac:dyDescent="0.2">
      <c r="A128" s="65">
        <f t="shared" si="4"/>
        <v>126</v>
      </c>
      <c r="B128" s="71" t="str">
        <f>IF(I127="Yes","DCTR-10","")</f>
        <v/>
      </c>
      <c r="C128" s="72" t="e">
        <f>VLOOKUP(B128,'HECVAT - Full'!A:E,2,FALSE)</f>
        <v>#N/A</v>
      </c>
      <c r="D128" s="65" t="e">
        <f>VLOOKUP(B128,'HECVAT - Full'!A:E,4,FALSE)</f>
        <v>#N/A</v>
      </c>
      <c r="E128" s="73" t="b">
        <f>IF(Table1[[#This Row],[Column11]]&gt;20,TRUE,FALSE)</f>
        <v>1</v>
      </c>
      <c r="F128" s="73" t="s">
        <v>2035</v>
      </c>
      <c r="G128" s="74" t="s">
        <v>20</v>
      </c>
      <c r="H128" s="75">
        <f>IF(I127="Yes",1,0)</f>
        <v>0</v>
      </c>
      <c r="I128" s="65" t="e">
        <f>VLOOKUP(B128,'HECVAT - Full'!A:E,3,FALSE)</f>
        <v>#N/A</v>
      </c>
      <c r="J128" s="65" t="e">
        <f>IF(VLOOKUP(Table1[[#This Row],[Column2]],'Analyst Report'!$A$41:$G$88,7,FALSE)="Yes",1,0)</f>
        <v>#N/A</v>
      </c>
      <c r="K128" s="65" t="str">
        <f>IF(Table1[[#This Row],[Column8]]=1,20,"")</f>
        <v/>
      </c>
      <c r="L128" s="65" t="str">
        <f>IF(Table1[[#This Row],[Column8]]=1,J128*K128,"")</f>
        <v/>
      </c>
      <c r="M128" s="66" t="e">
        <f>VLOOKUP($B128,'Standards Crosswalk'!$A:$H,3,FALSE)</f>
        <v>#N/A</v>
      </c>
      <c r="N128" s="66" t="e">
        <f>VLOOKUP($B128,'Standards Crosswalk'!$A:$H,4,FALSE)</f>
        <v>#N/A</v>
      </c>
      <c r="O128" s="66" t="e">
        <f>VLOOKUP($B128,'Standards Crosswalk'!$A:$H,5,FALSE)</f>
        <v>#N/A</v>
      </c>
      <c r="P128" s="66" t="e">
        <f>VLOOKUP($B128,'Standards Crosswalk'!$A:$H,6,FALSE)</f>
        <v>#N/A</v>
      </c>
      <c r="Q128" s="66" t="e">
        <f>VLOOKUP($B128,'Standards Crosswalk'!$A:$H,7,FALSE)</f>
        <v>#N/A</v>
      </c>
      <c r="R128" s="66" t="e">
        <f>VLOOKUP($B128,'Standards Crosswalk'!$A:$H,8,FALSE)</f>
        <v>#N/A</v>
      </c>
      <c r="S128" s="66" t="e">
        <f>VLOOKUP($B128,'Standards Crosswalk'!$A:$I,9,FALSE)</f>
        <v>#N/A</v>
      </c>
    </row>
    <row r="129" spans="1:19" ht="409.6" thickBot="1" x14ac:dyDescent="0.2">
      <c r="A129" s="65">
        <f t="shared" si="4"/>
        <v>127</v>
      </c>
      <c r="B129" s="71" t="s">
        <v>294</v>
      </c>
      <c r="C129" s="72" t="str">
        <f>VLOOKUP(B129,'HECVAT - Full'!A:E,2,FALSE)</f>
        <v>Are your primary and secondary data centers geographically diverse?</v>
      </c>
      <c r="D129" s="65" t="str">
        <f>VLOOKUP(B129,'HECVAT - Full'!A:E,4,FALSE)</f>
        <v xml:space="preserve">Portfolium customer data will be primarily stored in either the AWS US East region within a multi-AZ (Availability Zone) deployment.  Each availability zone contains a datacenter which is geographically separate from other zones.
</v>
      </c>
      <c r="E129" s="73" t="b">
        <f>IF(Table1[[#This Row],[Column11]]&gt;20,TRUE,FALSE)</f>
        <v>0</v>
      </c>
      <c r="F129" s="73" t="s">
        <v>2035</v>
      </c>
      <c r="G129" s="74" t="s">
        <v>17</v>
      </c>
      <c r="H129" s="75">
        <v>1</v>
      </c>
      <c r="I129" s="65" t="str">
        <f>VLOOKUP(B129,'HECVAT - Full'!A:E,3,FALSE)</f>
        <v>Yes</v>
      </c>
      <c r="J129" s="65">
        <f>IF(Table1[[#This Row],[Column7]]=Table1[[#This Row],[Column9]],1,0)</f>
        <v>1</v>
      </c>
      <c r="K129" s="65">
        <f>IF(Table1[[#This Row],[Column8]]=1,20,"")</f>
        <v>20</v>
      </c>
      <c r="L129" s="65">
        <f>IF(Table1[[#This Row],[Column8]]=1,J129*K129,"")</f>
        <v>20</v>
      </c>
      <c r="M129" s="66" t="str">
        <f>VLOOKUP($B129,'Standards Crosswalk'!$A:$H,3,FALSE)</f>
        <v>CSC 10</v>
      </c>
      <c r="N129" s="66">
        <f>VLOOKUP($B129,'Standards Crosswalk'!$A:$H,4,FALSE)</f>
        <v>0</v>
      </c>
      <c r="O129" s="66" t="str">
        <f>VLOOKUP($B129,'Standards Crosswalk'!$A:$H,5,FALSE)</f>
        <v>11.1.4</v>
      </c>
      <c r="P129" s="66">
        <f>VLOOKUP($B129,'Standards Crosswalk'!$A:$H,6,FALSE)</f>
        <v>0</v>
      </c>
      <c r="Q129" s="66">
        <f>VLOOKUP($B129,'Standards Crosswalk'!$A:$H,7,FALSE)</f>
        <v>0</v>
      </c>
      <c r="R129" s="66">
        <f>VLOOKUP($B129,'Standards Crosswalk'!$A:$H,8,FALSE)</f>
        <v>0</v>
      </c>
      <c r="S129" s="66">
        <f>VLOOKUP($B129,'Standards Crosswalk'!$A:$I,9,FALSE)</f>
        <v>12.8</v>
      </c>
    </row>
    <row r="130" spans="1:19" ht="256" thickBot="1" x14ac:dyDescent="0.2">
      <c r="A130" s="65">
        <f t="shared" si="4"/>
        <v>128</v>
      </c>
      <c r="B130" s="71" t="s">
        <v>295</v>
      </c>
      <c r="C130" s="72" t="str">
        <f>VLOOKUP(B130,'HECVAT - Full'!A:E,2,FALSE)</f>
        <v>If outsourced or co-located, is there a contract in place to prevent data from leaving the Institution's Data Zone?</v>
      </c>
      <c r="D130" s="65" t="str">
        <f>VLOOKUP(B130,'HECVAT - Full'!A:E,4,FALSE)</f>
        <v xml:space="preserve">Instructure has complete control over the data hosting model. All data resides within the U.S.
</v>
      </c>
      <c r="E130" s="73" t="b">
        <f>IF(Table1[[#This Row],[Column11]]&gt;20,TRUE,FALSE)</f>
        <v>0</v>
      </c>
      <c r="F130" s="73" t="s">
        <v>2035</v>
      </c>
      <c r="G130" s="74" t="s">
        <v>17</v>
      </c>
      <c r="H130" s="75">
        <v>1</v>
      </c>
      <c r="I130" s="65" t="str">
        <f>VLOOKUP(B130,'HECVAT - Full'!A:E,3,FALSE)</f>
        <v>Yes</v>
      </c>
      <c r="J130" s="65">
        <f>IF(Table1[[#This Row],[Column7]]=Table1[[#This Row],[Column9]],1,0)</f>
        <v>1</v>
      </c>
      <c r="K130" s="65">
        <f>IF(Table1[[#This Row],[Column8]]=1,20,"")</f>
        <v>20</v>
      </c>
      <c r="L130" s="65">
        <f>IF(Table1[[#This Row],[Column8]]=1,J130*K130,"")</f>
        <v>20</v>
      </c>
      <c r="M130" s="66" t="str">
        <f>VLOOKUP($B130,'Standards Crosswalk'!$A:$H,3,FALSE)</f>
        <v>CSC 12</v>
      </c>
      <c r="N130" s="66">
        <f>VLOOKUP($B130,'Standards Crosswalk'!$A:$H,4,FALSE)</f>
        <v>0</v>
      </c>
      <c r="O130" s="66" t="str">
        <f>VLOOKUP($B130,'Standards Crosswalk'!$A:$H,5,FALSE)</f>
        <v>18.1.1</v>
      </c>
      <c r="P130" s="66">
        <f>VLOOKUP($B130,'Standards Crosswalk'!$A:$H,6,FALSE)</f>
        <v>0</v>
      </c>
      <c r="Q130" s="66">
        <f>VLOOKUP($B130,'Standards Crosswalk'!$A:$H,7,FALSE)</f>
        <v>0</v>
      </c>
      <c r="R130" s="66">
        <f>VLOOKUP($B130,'Standards Crosswalk'!$A:$H,8,FALSE)</f>
        <v>0</v>
      </c>
      <c r="S130" s="66">
        <f>VLOOKUP($B130,'Standards Crosswalk'!$A:$I,9,FALSE)</f>
        <v>12.8</v>
      </c>
    </row>
    <row r="131" spans="1:19" ht="409.6" thickBot="1" x14ac:dyDescent="0.2">
      <c r="A131" s="65">
        <f t="shared" si="4"/>
        <v>129</v>
      </c>
      <c r="B131" s="71" t="s">
        <v>296</v>
      </c>
      <c r="C131" s="72" t="str">
        <f>VLOOKUP(B131,'HECVAT - Full'!A:E,2,FALSE)</f>
        <v>What Tier Level is your data center (per levels defined by the Uptime Institute)?</v>
      </c>
      <c r="D131" s="65" t="str">
        <f>VLOOKUP(B131,'HECVAT - Full'!A:E,4,FALSE)</f>
        <v xml:space="preserve">Quote from AWS: "AWS operates our data centers in alignment with the Tier III+ guidelines, but we have chosen not to have a certified Uptime Institute based tiering level so that we have more flexibility to expand and improve performance. AWS' approach to infrastructure performance acknowledges the Uptime Institute's Tiering guidelines and applies them to our global data center infrastructure design to ensure the highest level of performance and availability for our customers. AWS then improves on the guidelines provided by the Uptime Institute to scale for global operations and produce an operating outcome for availability and performance that far exceeds that which would be achieved through the Uptime Institute tiering guidelines alone. Although we do not claim alignment with Tier 4, we can ensure that our systems have a fault tolerant sequence of operations with self-correcting mitigations in place."
</v>
      </c>
      <c r="E131" s="73" t="b">
        <f>IF(Table1[[#This Row],[Column11]]&gt;20,TRUE,FALSE)</f>
        <v>0</v>
      </c>
      <c r="F131" s="73" t="s">
        <v>2035</v>
      </c>
      <c r="G131" s="74" t="s">
        <v>17</v>
      </c>
      <c r="H131" s="75">
        <v>1</v>
      </c>
      <c r="I131" s="65" t="str">
        <f>VLOOKUP(B131,'HECVAT - Full'!A:E,3,FALSE)</f>
        <v>Tier III</v>
      </c>
      <c r="J131" s="65">
        <f>IF(VLOOKUP(Table1[[#This Row],[Column2]],'Analyst Report'!$A$41:$G$88,7,FALSE)="Yes",1,0)</f>
        <v>0</v>
      </c>
      <c r="K131" s="65">
        <f>IF(Table1[[#This Row],[Column8]]=1,15,"")</f>
        <v>15</v>
      </c>
      <c r="L131" s="65">
        <f>IF(Table1[[#This Row],[Column8]]=1,J131*K131,"")</f>
        <v>0</v>
      </c>
      <c r="M131" s="66">
        <f>VLOOKUP($B131,'Standards Crosswalk'!$A:$H,3,FALSE)</f>
        <v>0</v>
      </c>
      <c r="N131" s="66">
        <f>VLOOKUP($B131,'Standards Crosswalk'!$A:$H,4,FALSE)</f>
        <v>0</v>
      </c>
      <c r="O131" s="66" t="str">
        <f>VLOOKUP($B131,'Standards Crosswalk'!$A:$H,5,FALSE)</f>
        <v>17.1.1</v>
      </c>
      <c r="P131" s="66">
        <f>VLOOKUP($B131,'Standards Crosswalk'!$A:$H,6,FALSE)</f>
        <v>0</v>
      </c>
      <c r="Q131" s="66">
        <f>VLOOKUP($B131,'Standards Crosswalk'!$A:$H,7,FALSE)</f>
        <v>0</v>
      </c>
      <c r="R131" s="66">
        <f>VLOOKUP($B131,'Standards Crosswalk'!$A:$H,8,FALSE)</f>
        <v>0</v>
      </c>
      <c r="S131" s="66">
        <f>VLOOKUP($B131,'Standards Crosswalk'!$A:$I,9,FALSE)</f>
        <v>0</v>
      </c>
    </row>
    <row r="132" spans="1:19" ht="409.6" thickBot="1" x14ac:dyDescent="0.2">
      <c r="A132" s="65">
        <f t="shared" ref="A132:A195" si="5">A131+1</f>
        <v>130</v>
      </c>
      <c r="B132" s="71" t="s">
        <v>297</v>
      </c>
      <c r="C132" s="72" t="str">
        <f>VLOOKUP(B132,'HECVAT - Full'!A:E,2,FALSE)</f>
        <v>Is the service hosted in a high availability environment?</v>
      </c>
      <c r="D132" s="65" t="str">
        <f>VLOOKUP(B132,'HECVAT - Full'!A:E,4,FALSE)</f>
        <v xml:space="preserve">The Portfolium platform is hosted in a high availability environment provided by Amazon Web Services. Services used by Portfolium include Elastic Compute Cloud (EC2), Elastic Load Balancing (ELB), Auto Scaling Groups (ASG), Simple Storage Service (S3), Virtual Private Cloud (VPC), Simple Email Service (SES), and several others. The Portfolium application is designed to make full use of the real-time redundancy and capacity capabilities offered by AWS, running across multiple availability zones. Primary storage is provided by Amazon S3, which is designed for durability exceeding 99.99999999%.
</v>
      </c>
      <c r="E132" s="73" t="b">
        <f>IF(Table1[[#This Row],[Column11]]&gt;20,TRUE,FALSE)</f>
        <v>0</v>
      </c>
      <c r="F132" s="73" t="s">
        <v>2035</v>
      </c>
      <c r="G132" s="74" t="s">
        <v>17</v>
      </c>
      <c r="H132" s="75">
        <v>1</v>
      </c>
      <c r="I132" s="65" t="str">
        <f>VLOOKUP(B132,'HECVAT - Full'!A:E,3,FALSE)</f>
        <v>Yes</v>
      </c>
      <c r="J132" s="65">
        <f>IF(Table1[[#This Row],[Column7]]=Table1[[#This Row],[Column9]],1,0)</f>
        <v>1</v>
      </c>
      <c r="K132" s="65">
        <f>IF(Table1[[#This Row],[Column8]]=1,20,"")</f>
        <v>20</v>
      </c>
      <c r="L132" s="65">
        <f>IF(Table1[[#This Row],[Column8]]=1,J132*K132,"")</f>
        <v>20</v>
      </c>
      <c r="M132" s="66" t="str">
        <f>VLOOKUP($B132,'Standards Crosswalk'!$A:$H,3,FALSE)</f>
        <v>CSC 10</v>
      </c>
      <c r="N132" s="66">
        <f>VLOOKUP($B132,'Standards Crosswalk'!$A:$H,4,FALSE)</f>
        <v>0</v>
      </c>
      <c r="O132" s="66" t="str">
        <f>VLOOKUP($B132,'Standards Crosswalk'!$A:$H,5,FALSE)</f>
        <v>17.1.1</v>
      </c>
      <c r="P132" s="66" t="str">
        <f>VLOOKUP($B132,'Standards Crosswalk'!$A:$H,6,FALSE)</f>
        <v>PR.DS-4</v>
      </c>
      <c r="Q132" s="66">
        <f>VLOOKUP($B132,'Standards Crosswalk'!$A:$H,7,FALSE)</f>
        <v>0</v>
      </c>
      <c r="R132" s="66">
        <f>VLOOKUP($B132,'Standards Crosswalk'!$A:$H,8,FALSE)</f>
        <v>0</v>
      </c>
      <c r="S132" s="66">
        <f>VLOOKUP($B132,'Standards Crosswalk'!$A:$I,9,FALSE)</f>
        <v>0</v>
      </c>
    </row>
    <row r="133" spans="1:19" ht="409.6" thickBot="1" x14ac:dyDescent="0.2">
      <c r="A133" s="65">
        <f t="shared" si="5"/>
        <v>131</v>
      </c>
      <c r="B133" s="71" t="s">
        <v>298</v>
      </c>
      <c r="C133" s="72" t="str">
        <f>VLOOKUP(B133,'HECVAT - Full'!A:E,2,FALSE)</f>
        <v xml:space="preserve">Is redundant power available for all datacenters where institution data will reside? </v>
      </c>
      <c r="D133" s="65" t="str">
        <f>VLOOKUP(B133,'HECVAT - Full'!A:E,4,FALSE)</f>
        <v xml:space="preserve">AWS's data center electrical power systems are designed to be fully redundant and maintainable without impact to operations, 24 hours a day, and seven days a week. Uninterruptible Power Supply (UPS) units provide back-up power in the event of an electrical failure for critical and essential loads in the facility. Data centers use generators to provide back-up power for the entire facility.
</v>
      </c>
      <c r="E133" s="73" t="b">
        <f>IF(Table1[[#This Row],[Column11]]&gt;20,TRUE,FALSE)</f>
        <v>0</v>
      </c>
      <c r="F133" s="73" t="s">
        <v>2035</v>
      </c>
      <c r="G133" s="74" t="s">
        <v>17</v>
      </c>
      <c r="H133" s="75">
        <v>1</v>
      </c>
      <c r="I133" s="65" t="str">
        <f>VLOOKUP(B133,'HECVAT - Full'!A:E,3,FALSE)</f>
        <v>Yes</v>
      </c>
      <c r="J133" s="65">
        <f>IF(Table1[[#This Row],[Column7]]=Table1[[#This Row],[Column9]],1,0)</f>
        <v>1</v>
      </c>
      <c r="K133" s="65">
        <f>IF(Table1[[#This Row],[Column8]]=1,20,"")</f>
        <v>20</v>
      </c>
      <c r="L133" s="65">
        <f>IF(Table1[[#This Row],[Column8]]=1,J133*K133,"")</f>
        <v>20</v>
      </c>
      <c r="M133" s="66">
        <f>VLOOKUP($B133,'Standards Crosswalk'!$A:$H,3,FALSE)</f>
        <v>0</v>
      </c>
      <c r="N133" s="66">
        <f>VLOOKUP($B133,'Standards Crosswalk'!$A:$H,4,FALSE)</f>
        <v>0</v>
      </c>
      <c r="O133" s="66" t="str">
        <f>VLOOKUP($B133,'Standards Crosswalk'!$A:$H,5,FALSE)</f>
        <v>17.2.1</v>
      </c>
      <c r="P133" s="66" t="str">
        <f>VLOOKUP($B133,'Standards Crosswalk'!$A:$H,6,FALSE)</f>
        <v>PR.DS-4</v>
      </c>
      <c r="Q133" s="66">
        <f>VLOOKUP($B133,'Standards Crosswalk'!$A:$H,7,FALSE)</f>
        <v>0</v>
      </c>
      <c r="R133" s="66">
        <f>VLOOKUP($B133,'Standards Crosswalk'!$A:$H,8,FALSE)</f>
        <v>0</v>
      </c>
      <c r="S133" s="66">
        <f>VLOOKUP($B133,'Standards Crosswalk'!$A:$I,9,FALSE)</f>
        <v>0</v>
      </c>
    </row>
    <row r="134" spans="1:19" ht="409.6" thickBot="1" x14ac:dyDescent="0.2">
      <c r="A134" s="65">
        <f t="shared" si="5"/>
        <v>132</v>
      </c>
      <c r="B134" s="71" t="s">
        <v>299</v>
      </c>
      <c r="C134" s="72" t="str">
        <f>VLOOKUP(B134,'HECVAT - Full'!A:E,2,FALSE)</f>
        <v>Are redundant power strategies tested?</v>
      </c>
      <c r="D134" s="65" t="str">
        <f>VLOOKUP(B134,'HECVAT - Full'!A:E,4,FALSE)</f>
        <v xml:space="preserve">As described in AWS's Security Whitepaper: "AWS’s data centers are state of the art, utilizing innovative architectural and engineering approaches. Amazon has many years of experience in designing, constructing, and operating large-scale data centers.
Although the frequency of testing for redundant power strategies is not specifically disclosed, you can move forward with confidence knowing the systems storing your data are being run by the best, most-advanced technologies in the industry. As described in the requirement above, AWS data centers use generators to provide back-up power for their facilities. For additional information, please visit https://aws.amazon.com/security/."
</v>
      </c>
      <c r="E134" s="73" t="b">
        <f>IF(Table1[[#This Row],[Column11]]&gt;20,TRUE,FALSE)</f>
        <v>0</v>
      </c>
      <c r="F134" s="73" t="s">
        <v>2035</v>
      </c>
      <c r="G134" s="74" t="s">
        <v>17</v>
      </c>
      <c r="H134" s="75">
        <f>IF(I133="Yes",1,0)</f>
        <v>1</v>
      </c>
      <c r="I134" s="65" t="str">
        <f>VLOOKUP(B134,'HECVAT - Full'!A:E,3,FALSE)</f>
        <v>Yes</v>
      </c>
      <c r="J134" s="65">
        <f>IF(Table1[[#This Row],[Column7]]=Table1[[#This Row],[Column9]],1,0)</f>
        <v>1</v>
      </c>
      <c r="K134" s="65">
        <f>IF(Table1[[#This Row],[Column8]]=1,20,"")</f>
        <v>20</v>
      </c>
      <c r="L134" s="65">
        <f>IF(Table1[[#This Row],[Column8]]=1,J134*K134,"")</f>
        <v>20</v>
      </c>
      <c r="M134" s="66">
        <f>VLOOKUP($B134,'Standards Crosswalk'!$A:$H,3,FALSE)</f>
        <v>0</v>
      </c>
      <c r="N134" s="66">
        <f>VLOOKUP($B134,'Standards Crosswalk'!$A:$H,4,FALSE)</f>
        <v>0</v>
      </c>
      <c r="O134" s="66" t="str">
        <f>VLOOKUP($B134,'Standards Crosswalk'!$A:$H,5,FALSE)</f>
        <v>17.1.3</v>
      </c>
      <c r="P134" s="66" t="str">
        <f>VLOOKUP($B134,'Standards Crosswalk'!$A:$H,6,FALSE)</f>
        <v>PR.DS-4</v>
      </c>
      <c r="Q134" s="66">
        <f>VLOOKUP($B134,'Standards Crosswalk'!$A:$H,7,FALSE)</f>
        <v>0</v>
      </c>
      <c r="R134" s="66">
        <f>VLOOKUP($B134,'Standards Crosswalk'!$A:$H,8,FALSE)</f>
        <v>0</v>
      </c>
      <c r="S134" s="66">
        <f>VLOOKUP($B134,'Standards Crosswalk'!$A:$I,9,FALSE)</f>
        <v>0</v>
      </c>
    </row>
    <row r="135" spans="1:19" ht="409.6" thickBot="1" x14ac:dyDescent="0.2">
      <c r="A135" s="65">
        <f t="shared" si="5"/>
        <v>133</v>
      </c>
      <c r="B135" s="71" t="s">
        <v>300</v>
      </c>
      <c r="C135" s="72" t="str">
        <f>VLOOKUP(B135,'HECVAT - Full'!A:E,2,FALSE)</f>
        <v>Describe or provide a reference to the availability of cooling and fire suppression systems in all datacenters where institution data will reside.</v>
      </c>
      <c r="D135" s="65">
        <f>VLOOKUP(B135,'HECVAT - Full'!A:E,4,FALSE)</f>
        <v>0</v>
      </c>
      <c r="E135" s="73" t="b">
        <f>IF(Table1[[#This Row],[Column11]]&gt;20,TRUE,FALSE)</f>
        <v>0</v>
      </c>
      <c r="F135" s="73" t="s">
        <v>2035</v>
      </c>
      <c r="G135" s="74" t="s">
        <v>17</v>
      </c>
      <c r="H135" s="75">
        <v>1</v>
      </c>
      <c r="I135" s="65" t="str">
        <f>VLOOKUP(B135,'HECVAT - Full'!A:E,3,FALSE)</f>
        <v xml:space="preserve">Per AWS Security Processes documentation: "Automatic fire detection and suppression equipment has been installed to reduce risk. The fire detection system utilizes smoke detection sensors in all data center environments, mechanical and electrical infrastructure spaces, chiller rooms and generator equipment rooms. These areas are protected by either wet-pipe, double-interlocked pre-action, or gaseous sprinkler systems... Climate control is required to maintain a constant operating temperature for servers and other hardware, which prevents overheating and reduces the possibility of service outages. Data centers are conditioned to maintain atmospheric conditions at optimal levels. Personnel and systems monitor and control temperature and humidity at appropriate levels."
</v>
      </c>
      <c r="J135" s="65">
        <f>IF(VLOOKUP(B135,'Analyst Report'!$A$41:$H$88,7,FALSE)="Yes",1,0)</f>
        <v>0</v>
      </c>
      <c r="K135" s="65">
        <f>IF(Table1[[#This Row],[Column8]]=1,20,"")</f>
        <v>20</v>
      </c>
      <c r="L135" s="65">
        <f>IF(Table1[[#This Row],[Column8]]=1,J135*K135,"")</f>
        <v>0</v>
      </c>
      <c r="M135" s="66">
        <f>VLOOKUP($B135,'Standards Crosswalk'!$A:$H,3,FALSE)</f>
        <v>0</v>
      </c>
      <c r="N135" s="66">
        <f>VLOOKUP($B135,'Standards Crosswalk'!$A:$H,4,FALSE)</f>
        <v>0</v>
      </c>
      <c r="O135" s="66" t="str">
        <f>VLOOKUP($B135,'Standards Crosswalk'!$A:$H,5,FALSE)</f>
        <v>17.2.1</v>
      </c>
      <c r="P135" s="66">
        <f>VLOOKUP($B135,'Standards Crosswalk'!$A:$H,6,FALSE)</f>
        <v>0</v>
      </c>
      <c r="Q135" s="66">
        <f>VLOOKUP($B135,'Standards Crosswalk'!$A:$H,7,FALSE)</f>
        <v>0</v>
      </c>
      <c r="R135" s="66" t="str">
        <f>VLOOKUP($B135,'Standards Crosswalk'!$A:$H,8,FALSE)</f>
        <v>PE-2, PE-3, PE-5, PE-11, PE-13, PE-14</v>
      </c>
      <c r="S135" s="66">
        <f>VLOOKUP($B135,'Standards Crosswalk'!$A:$I,9,FALSE)</f>
        <v>0</v>
      </c>
    </row>
    <row r="136" spans="1:19" ht="409.6" thickBot="1" x14ac:dyDescent="0.2">
      <c r="A136" s="65">
        <f t="shared" si="5"/>
        <v>134</v>
      </c>
      <c r="B136" s="71" t="s">
        <v>301</v>
      </c>
      <c r="C136" s="72" t="str">
        <f>VLOOKUP(B136,'HECVAT - Full'!A:E,2,FALSE)</f>
        <v xml:space="preserve">State how many Internet Service Providers (ISPs) provide connectivity to each datacenter where the institution's data will reside. </v>
      </c>
      <c r="D136" s="65">
        <f>VLOOKUP(B136,'HECVAT - Full'!A:E,4,FALSE)</f>
        <v>0</v>
      </c>
      <c r="E136" s="73" t="b">
        <f>IF(Table1[[#This Row],[Column11]]&gt;20,TRUE,FALSE)</f>
        <v>0</v>
      </c>
      <c r="F136" s="73" t="s">
        <v>2035</v>
      </c>
      <c r="G136" s="74" t="s">
        <v>17</v>
      </c>
      <c r="H136" s="75">
        <v>1</v>
      </c>
      <c r="I136" s="65" t="str">
        <f>VLOOKUP(B136,'HECVAT - Full'!A:E,3,FALSE)</f>
        <v xml:space="preserve">Amazon has multiple providers to each availability zone and each availability zone (roughly analogous to a datacenter) has multiple internet connections from tier one backbone providers. Amazon does not disclose the exact number of providers; however, their services are independently assessed and certified to ensure compliance with ISO standards.
</v>
      </c>
      <c r="J136" s="65">
        <f>IF(VLOOKUP(B136,'Analyst Report'!$A$41:$H$88,7,FALSE)="Yes",1,0)</f>
        <v>0</v>
      </c>
      <c r="K136" s="65">
        <f>IF(Table1[[#This Row],[Column8]]=1,20,"")</f>
        <v>20</v>
      </c>
      <c r="L136" s="65">
        <f>IF(Table1[[#This Row],[Column8]]=1,J136*K136,"")</f>
        <v>0</v>
      </c>
      <c r="M136" s="66" t="str">
        <f>VLOOKUP($B136,'Standards Crosswalk'!$A:$H,3,FALSE)</f>
        <v>CSC 10</v>
      </c>
      <c r="N136" s="66">
        <f>VLOOKUP($B136,'Standards Crosswalk'!$A:$H,4,FALSE)</f>
        <v>0</v>
      </c>
      <c r="O136" s="66" t="str">
        <f>VLOOKUP($B136,'Standards Crosswalk'!$A:$H,5,FALSE)</f>
        <v>17.2.1</v>
      </c>
      <c r="P136" s="66" t="str">
        <f>VLOOKUP($B136,'Standards Crosswalk'!$A:$H,6,FALSE)</f>
        <v>PR.DS-4</v>
      </c>
      <c r="Q136" s="66">
        <f>VLOOKUP($B136,'Standards Crosswalk'!$A:$H,7,FALSE)</f>
        <v>0</v>
      </c>
      <c r="R136" s="66" t="str">
        <f>VLOOKUP($B136,'Standards Crosswalk'!$A:$H,8,FALSE)</f>
        <v>PE-2, PE-3, PE-5, PE-11, PE-13, PE-14</v>
      </c>
      <c r="S136" s="66">
        <f>VLOOKUP($B136,'Standards Crosswalk'!$A:$I,9,FALSE)</f>
        <v>12.8</v>
      </c>
    </row>
    <row r="137" spans="1:19" ht="409.6" thickBot="1" x14ac:dyDescent="0.2">
      <c r="A137" s="65">
        <f t="shared" si="5"/>
        <v>135</v>
      </c>
      <c r="B137" s="71" t="s">
        <v>302</v>
      </c>
      <c r="C137" s="72" t="str">
        <f>VLOOKUP(B137,'HECVAT - Full'!A:E,2,FALSE)</f>
        <v>Does every datacenter where the Institution's data will reside have multiple telephone company or network provider entrances to the facility?</v>
      </c>
      <c r="D137" s="65" t="str">
        <f>VLOOKUP(B137,'HECVAT - Full'!A:E,4,FALSE)</f>
        <v xml:space="preserve">Amazon has multiple providers to each availability zone and each availability zone (roughly analogous to a datacenter) has multiple internet connections from tier one backbone providers. Amazon does not disclose the exact number of providers; however, their services are independently assessed and certified to ensure compliance with ISO standards.
</v>
      </c>
      <c r="E137" s="73" t="b">
        <f>IF(Table1[[#This Row],[Column11]]&gt;20,TRUE,FALSE)</f>
        <v>0</v>
      </c>
      <c r="F137" s="73" t="s">
        <v>2035</v>
      </c>
      <c r="G137" s="74" t="s">
        <v>17</v>
      </c>
      <c r="H137" s="75">
        <v>1</v>
      </c>
      <c r="I137" s="65" t="str">
        <f>VLOOKUP(B137,'HECVAT - Full'!A:E,3,FALSE)</f>
        <v>Yes</v>
      </c>
      <c r="J137" s="65">
        <f>IF(Table1[[#This Row],[Column7]]=Table1[[#This Row],[Column9]],1,0)</f>
        <v>1</v>
      </c>
      <c r="K137" s="65">
        <f>IF(Table1[[#This Row],[Column8]]=1,20,"")</f>
        <v>20</v>
      </c>
      <c r="L137" s="65">
        <f>IF(Table1[[#This Row],[Column8]]=1,J137*K137,"")</f>
        <v>20</v>
      </c>
      <c r="M137" s="66" t="str">
        <f>VLOOKUP($B137,'Standards Crosswalk'!$A:$H,3,FALSE)</f>
        <v>CSC 13</v>
      </c>
      <c r="N137" s="66">
        <f>VLOOKUP($B137,'Standards Crosswalk'!$A:$H,4,FALSE)</f>
        <v>0</v>
      </c>
      <c r="O137" s="66" t="str">
        <f>VLOOKUP($B137,'Standards Crosswalk'!$A:$H,5,FALSE)</f>
        <v>17.2.1</v>
      </c>
      <c r="P137" s="66" t="str">
        <f>VLOOKUP($B137,'Standards Crosswalk'!$A:$H,6,FALSE)</f>
        <v>PR.DS-4</v>
      </c>
      <c r="Q137" s="66">
        <f>VLOOKUP($B137,'Standards Crosswalk'!$A:$H,7,FALSE)</f>
        <v>0</v>
      </c>
      <c r="R137" s="66" t="str">
        <f>VLOOKUP($B137,'Standards Crosswalk'!$A:$H,8,FALSE)</f>
        <v>PE-2, PE-3, PE-5, PE-11, PE-13, PE-14</v>
      </c>
      <c r="S137" s="66">
        <f>VLOOKUP($B137,'Standards Crosswalk'!$A:$I,9,FALSE)</f>
        <v>12.8</v>
      </c>
    </row>
    <row r="138" spans="1:19" ht="409.6" thickBot="1" x14ac:dyDescent="0.2">
      <c r="A138" s="65">
        <f t="shared" si="5"/>
        <v>136</v>
      </c>
      <c r="B138" s="71" t="s">
        <v>303</v>
      </c>
      <c r="C138" s="72" t="str">
        <f>VLOOKUP(B138,'HECVAT - Full'!A:E,2,FALSE)</f>
        <v>Describe or provide a reference to your Disaster Recovery Plan (DRP).</v>
      </c>
      <c r="D138" s="65">
        <f>VLOOKUP(B138,'HECVAT - Full'!A:E,4,FALSE)</f>
        <v>0</v>
      </c>
      <c r="E138" s="73" t="b">
        <f>IF(Table1[[#This Row],[Column11]]&gt;20,TRUE,FALSE)</f>
        <v>1</v>
      </c>
      <c r="F138" s="73" t="s">
        <v>2036</v>
      </c>
      <c r="G138" s="74" t="s">
        <v>17</v>
      </c>
      <c r="H138" s="75">
        <v>1</v>
      </c>
      <c r="I138" s="65" t="str">
        <f>VLOOKUP(B138,'HECVAT - Full'!A:E,3,FALSE)</f>
        <v xml:space="preserve">We backup our database daily. We hope to never restore data, though in case of a major issue causing data loss or corruption, we can restore to any point in time in the backup. All data is written to multiple disks instantly, backed up daily, and stored in multiple locations. Files that our customers upload are stored on servers that use modern techniques to remove bottlenecks and points of failure.
Portfolium is hosted at AWS in the US-EAST-1 Data Center (IAD). At the infrastructure level, we utilize Availability Zones (AZ) within the data center to ensure each layer of our application doesn’t have one-failure point. For the application layer, both WEB and API layers are stateless, and hold no persisted information important to the server itself. Thus, if a server/layer goes down, it is removed from the load balancer and service is continued as usual. For a catastrophic event, our database is securely backed up and distributed to different AWS regions around the world daily with the availability to do a point in time restore.
Everything at the server level is scripted via Chef using AWS OpsWorks. The servers are stateless, and all of the data is backed up. The only important piece in our stack is the data itself. We spin up and down new servers to test a server level disaster every quarter. We test a database restore and failover once a quarter.
</v>
      </c>
      <c r="J138" s="65">
        <f>IF(VLOOKUP(B138,'Analyst Report'!$A$41:$H$88,7,FALSE)="Yes",1,0)</f>
        <v>0</v>
      </c>
      <c r="K138" s="65">
        <f>IF(Table1[[#This Row],[Column8]]=1,25,"")</f>
        <v>25</v>
      </c>
      <c r="L138" s="65">
        <f>IF(Table1[[#This Row],[Column8]]=1,J138*K138,"")</f>
        <v>0</v>
      </c>
      <c r="M138" s="66" t="str">
        <f>VLOOKUP($B138,'Standards Crosswalk'!$A:$H,3,FALSE)</f>
        <v>CSC 10</v>
      </c>
      <c r="N138" s="66">
        <f>VLOOKUP($B138,'Standards Crosswalk'!$A:$H,4,FALSE)</f>
        <v>0</v>
      </c>
      <c r="O138" s="66" t="str">
        <f>VLOOKUP($B138,'Standards Crosswalk'!$A:$H,5,FALSE)</f>
        <v>17.1.1</v>
      </c>
      <c r="P138" s="66" t="str">
        <f>VLOOKUP($B138,'Standards Crosswalk'!$A:$H,6,FALSE)</f>
        <v>PR.IP-9</v>
      </c>
      <c r="Q138" s="66" t="str">
        <f>VLOOKUP($B138,'Standards Crosswalk'!$A:$H,7,FALSE)</f>
        <v>3.12.2</v>
      </c>
      <c r="R138" s="66" t="str">
        <f>VLOOKUP($B138,'Standards Crosswalk'!$A:$H,8,FALSE)</f>
        <v>AC-5, CP-4, CP-10; NIST SP 800-34</v>
      </c>
      <c r="S138" s="66">
        <f>VLOOKUP($B138,'Standards Crosswalk'!$A:$I,9,FALSE)</f>
        <v>12.8</v>
      </c>
    </row>
    <row r="139" spans="1:19" ht="181" thickBot="1" x14ac:dyDescent="0.2">
      <c r="A139" s="65">
        <f t="shared" si="5"/>
        <v>137</v>
      </c>
      <c r="B139" s="71" t="s">
        <v>304</v>
      </c>
      <c r="C139" s="72" t="str">
        <f>VLOOKUP(B139,'HECVAT - Full'!A:E,2,FALSE)</f>
        <v>Is an owner assigned who is responsible for the maintenance and review of the DRP?</v>
      </c>
      <c r="D139" s="65" t="str">
        <f>VLOOKUP(B139,'HECVAT - Full'!A:E,4,FALSE)</f>
        <v xml:space="preserve">Key employees in the SRE team are responsible for the BCP
</v>
      </c>
      <c r="E139" s="73" t="b">
        <f>IF(Table1[[#This Row],[Column11]]&gt;20,TRUE,FALSE)</f>
        <v>0</v>
      </c>
      <c r="F139" s="73" t="s">
        <v>2036</v>
      </c>
      <c r="G139" s="74" t="s">
        <v>17</v>
      </c>
      <c r="H139" s="75">
        <v>1</v>
      </c>
      <c r="I139" s="65" t="str">
        <f>VLOOKUP(B139,'HECVAT - Full'!A:E,3,FALSE)</f>
        <v>Yes</v>
      </c>
      <c r="J139" s="65">
        <f>IF(Table1[[#This Row],[Column7]]=Table1[[#This Row],[Column9]],1,0)</f>
        <v>1</v>
      </c>
      <c r="K139" s="65">
        <f>IF(Table1[[#This Row],[Column8]]=1,20,"")</f>
        <v>20</v>
      </c>
      <c r="L139" s="65">
        <f>IF(Table1[[#This Row],[Column8]]=1,J139*K139,"")</f>
        <v>20</v>
      </c>
      <c r="M139" s="66" t="str">
        <f>VLOOKUP($B139,'Standards Crosswalk'!$A:$H,3,FALSE)</f>
        <v>CSC 10</v>
      </c>
      <c r="N139" s="66">
        <f>VLOOKUP($B139,'Standards Crosswalk'!$A:$H,4,FALSE)</f>
        <v>0</v>
      </c>
      <c r="O139" s="66" t="str">
        <f>VLOOKUP($B139,'Standards Crosswalk'!$A:$H,5,FALSE)</f>
        <v>16.1.1, 17.1.1</v>
      </c>
      <c r="P139" s="66" t="str">
        <f>VLOOKUP($B139,'Standards Crosswalk'!$A:$H,6,FALSE)</f>
        <v>PR.IP-9</v>
      </c>
      <c r="Q139" s="66" t="str">
        <f>VLOOKUP($B139,'Standards Crosswalk'!$A:$H,7,FALSE)</f>
        <v>3.12.2</v>
      </c>
      <c r="R139" s="66" t="str">
        <f>VLOOKUP($B139,'Standards Crosswalk'!$A:$H,8,FALSE)</f>
        <v>AC-5, CP-4, CP-10; NIST SP 800-34</v>
      </c>
      <c r="S139" s="66">
        <f>VLOOKUP($B139,'Standards Crosswalk'!$A:$I,9,FALSE)</f>
        <v>12.8</v>
      </c>
    </row>
    <row r="140" spans="1:19" ht="166" thickBot="1" x14ac:dyDescent="0.2">
      <c r="A140" s="65">
        <f t="shared" si="5"/>
        <v>138</v>
      </c>
      <c r="B140" s="71" t="s">
        <v>305</v>
      </c>
      <c r="C140" s="72" t="str">
        <f>VLOOKUP(B140,'HECVAT - Full'!A:E,2,FALSE)</f>
        <v>Can the Institution review your DRP and supporting documentation?</v>
      </c>
      <c r="D140" s="65" t="str">
        <f>VLOOKUP(B140,'HECVAT - Full'!A:E,4,FALSE)</f>
        <v xml:space="preserve">Our DRP has been included along with this document.
</v>
      </c>
      <c r="E140" s="73" t="b">
        <f>IF(Table1[[#This Row],[Column11]]&gt;20,TRUE,FALSE)</f>
        <v>0</v>
      </c>
      <c r="F140" s="73" t="s">
        <v>2036</v>
      </c>
      <c r="G140" s="74" t="s">
        <v>17</v>
      </c>
      <c r="H140" s="75">
        <v>1</v>
      </c>
      <c r="I140" s="65" t="str">
        <f>VLOOKUP(B140,'HECVAT - Full'!A:E,3,FALSE)</f>
        <v>Yes</v>
      </c>
      <c r="J140" s="65">
        <f>IF(Table1[[#This Row],[Column7]]=Table1[[#This Row],[Column9]],1,0)</f>
        <v>1</v>
      </c>
      <c r="K140" s="65">
        <f>IF(Table1[[#This Row],[Column8]]=1,20,"")</f>
        <v>20</v>
      </c>
      <c r="L140" s="65">
        <f>IF(Table1[[#This Row],[Column8]]=1,J140*K140,"")</f>
        <v>20</v>
      </c>
      <c r="M140" s="66" t="str">
        <f>VLOOKUP($B140,'Standards Crosswalk'!$A:$H,3,FALSE)</f>
        <v>CSC 10</v>
      </c>
      <c r="N140" s="66">
        <f>VLOOKUP($B140,'Standards Crosswalk'!$A:$H,4,FALSE)</f>
        <v>0</v>
      </c>
      <c r="O140" s="66">
        <f>VLOOKUP($B140,'Standards Crosswalk'!$A:$H,5,FALSE)</f>
        <v>0</v>
      </c>
      <c r="P140" s="66" t="str">
        <f>VLOOKUP($B140,'Standards Crosswalk'!$A:$H,6,FALSE)</f>
        <v>PR.IP-9</v>
      </c>
      <c r="Q140" s="66" t="str">
        <f>VLOOKUP($B140,'Standards Crosswalk'!$A:$H,7,FALSE)</f>
        <v>3.12.2</v>
      </c>
      <c r="R140" s="66" t="str">
        <f>VLOOKUP($B140,'Standards Crosswalk'!$A:$H,8,FALSE)</f>
        <v>AC-5, CP-4, CP-10; NIST SP 800-34</v>
      </c>
      <c r="S140" s="66">
        <f>VLOOKUP($B140,'Standards Crosswalk'!$A:$I,9,FALSE)</f>
        <v>12.8</v>
      </c>
    </row>
    <row r="141" spans="1:19" ht="409.6" thickBot="1" x14ac:dyDescent="0.2">
      <c r="A141" s="65">
        <f t="shared" si="5"/>
        <v>139</v>
      </c>
      <c r="B141" s="71" t="s">
        <v>306</v>
      </c>
      <c r="C141" s="72" t="str">
        <f>VLOOKUP(B141,'HECVAT - Full'!A:E,2,FALSE)</f>
        <v>Are any disaster recovery locations outside the Institution's Data Zone?</v>
      </c>
      <c r="D141" s="65" t="str">
        <f>VLOOKUP(B141,'HECVAT - Full'!A:E,4,FALSE)</f>
        <v xml:space="preserve">Portfolium contains DR locations outside of our main operating zone of us-east-1; in the event of a disaster within that region - all services/data can be relocated to numerous active regions within the AWS infrastructure.
</v>
      </c>
      <c r="E141" s="73" t="b">
        <f>IF(Table1[[#This Row],[Column11]]&gt;20,TRUE,FALSE)</f>
        <v>0</v>
      </c>
      <c r="F141" s="73" t="s">
        <v>2036</v>
      </c>
      <c r="G141" s="74" t="s">
        <v>20</v>
      </c>
      <c r="H141" s="75">
        <v>1</v>
      </c>
      <c r="I141" s="65" t="str">
        <f>VLOOKUP(B141,'HECVAT - Full'!A:E,3,FALSE)</f>
        <v>No</v>
      </c>
      <c r="J141" s="65">
        <f>IF(Table1[[#This Row],[Column7]]=Table1[[#This Row],[Column9]],1,0)</f>
        <v>1</v>
      </c>
      <c r="K141" s="65">
        <f>IF(Table1[[#This Row],[Column8]]=1,20,"")</f>
        <v>20</v>
      </c>
      <c r="L141" s="65">
        <f>IF(Table1[[#This Row],[Column8]]=1,J141*K141,"")</f>
        <v>20</v>
      </c>
      <c r="M141" s="66" t="str">
        <f>VLOOKUP($B141,'Standards Crosswalk'!$A:$H,3,FALSE)</f>
        <v>CSC 10, CSC 12</v>
      </c>
      <c r="N141" s="66">
        <f>VLOOKUP($B141,'Standards Crosswalk'!$A:$H,4,FALSE)</f>
        <v>0</v>
      </c>
      <c r="O141" s="66" t="str">
        <f>VLOOKUP($B141,'Standards Crosswalk'!$A:$H,5,FALSE)</f>
        <v>17.1.1</v>
      </c>
      <c r="P141" s="66" t="str">
        <f>VLOOKUP($B141,'Standards Crosswalk'!$A:$H,6,FALSE)</f>
        <v>PR.IP-9</v>
      </c>
      <c r="Q141" s="66">
        <f>VLOOKUP($B141,'Standards Crosswalk'!$A:$H,7,FALSE)</f>
        <v>0</v>
      </c>
      <c r="R141" s="66" t="str">
        <f>VLOOKUP($B141,'Standards Crosswalk'!$A:$H,8,FALSE)</f>
        <v>AC-5, CP-4, CP-10; NIST SP 800-34</v>
      </c>
      <c r="S141" s="66">
        <f>VLOOKUP($B141,'Standards Crosswalk'!$A:$I,9,FALSE)</f>
        <v>12.8</v>
      </c>
    </row>
    <row r="142" spans="1:19" ht="409.6" thickBot="1" x14ac:dyDescent="0.2">
      <c r="A142" s="65">
        <f t="shared" si="5"/>
        <v>140</v>
      </c>
      <c r="B142" s="71" t="s">
        <v>307</v>
      </c>
      <c r="C142" s="72" t="str">
        <f>VLOOKUP(B142,'HECVAT - Full'!A:E,2,FALSE)</f>
        <v>Does your organization have a disaster recovery site or a contracted Disaster Recovery provider?</v>
      </c>
      <c r="D142" s="65" t="str">
        <f>VLOOKUP(B142,'HECVAT - Full'!A:E,4,FALSE)</f>
        <v xml:space="preserve">We leverage disaster recovery sites made available by hosting with AWS. All data is written to multiple disks instantly, backed up daily, and stored in multiple geographical locations.
Portfolium is hosted at AWS in the US-EAST-1 Data Center (IAD). At the infrastructure level, we utilize Availability Zones (AZ) within the data center to ensure each layer of our application doesn’t contain a single-point-of-failure. For the application layer, both WEB and API layers are stateless, and hold no persisted information important to the server itself. Thus, if a server/layer goes down, it is removed from the load balancer and service is continued as usual. For a catastrophic event, our database is securely backed up and distributed to different AWS regions around the world daily with the availability to do a point in time restore.
Per AWS, they will use commercially reasonable efforts to make the services used by Portfolium, including EC2 and EBS, available for each AWS region with a Monthly Uptime Percentage of at least 99.99%.
</v>
      </c>
      <c r="E142" s="73" t="b">
        <f>IF(Table1[[#This Row],[Column11]]&gt;20,TRUE,FALSE)</f>
        <v>0</v>
      </c>
      <c r="F142" s="73" t="s">
        <v>2036</v>
      </c>
      <c r="G142" s="74" t="s">
        <v>17</v>
      </c>
      <c r="H142" s="75">
        <v>1</v>
      </c>
      <c r="I142" s="65" t="str">
        <f>VLOOKUP(B142,'HECVAT - Full'!A:E,3,FALSE)</f>
        <v>Yes</v>
      </c>
      <c r="J142" s="65">
        <f>IF(Table1[[#This Row],[Column7]]=Table1[[#This Row],[Column9]],1,0)</f>
        <v>1</v>
      </c>
      <c r="K142" s="65">
        <f>IF(Table1[[#This Row],[Column8]]=1,20,"")</f>
        <v>20</v>
      </c>
      <c r="L142" s="65">
        <f>IF(Table1[[#This Row],[Column8]]=1,J142*K142,"")</f>
        <v>20</v>
      </c>
      <c r="M142" s="66" t="str">
        <f>VLOOKUP($B142,'Standards Crosswalk'!$A:$H,3,FALSE)</f>
        <v>CSC 10</v>
      </c>
      <c r="N142" s="66">
        <f>VLOOKUP($B142,'Standards Crosswalk'!$A:$H,4,FALSE)</f>
        <v>0</v>
      </c>
      <c r="O142" s="66" t="str">
        <f>VLOOKUP($B142,'Standards Crosswalk'!$A:$H,5,FALSE)</f>
        <v>17.2.1</v>
      </c>
      <c r="P142" s="66" t="str">
        <f>VLOOKUP($B142,'Standards Crosswalk'!$A:$H,6,FALSE)</f>
        <v>PR.IP-9</v>
      </c>
      <c r="Q142" s="66">
        <f>VLOOKUP($B142,'Standards Crosswalk'!$A:$H,7,FALSE)</f>
        <v>0</v>
      </c>
      <c r="R142" s="66" t="str">
        <f>VLOOKUP($B142,'Standards Crosswalk'!$A:$H,8,FALSE)</f>
        <v>AC-5, CP-4, CP-10; NIST SP 800-34</v>
      </c>
      <c r="S142" s="66">
        <f>VLOOKUP($B142,'Standards Crosswalk'!$A:$I,9,FALSE)</f>
        <v>0</v>
      </c>
    </row>
    <row r="143" spans="1:19" ht="286" thickBot="1" x14ac:dyDescent="0.2">
      <c r="A143" s="65">
        <f t="shared" si="5"/>
        <v>141</v>
      </c>
      <c r="B143" s="71" t="s">
        <v>308</v>
      </c>
      <c r="C143" s="72" t="str">
        <f>VLOOKUP(B143,'HECVAT - Full'!A:E,2,FALSE)</f>
        <v>Does your organization conduct an annual test of relocating to this site for disaster recovery purposes?</v>
      </c>
      <c r="D143" s="65" t="str">
        <f>VLOOKUP(B143,'HECVAT - Full'!A:E,4,FALSE)</f>
        <v xml:space="preserve">Please review the Disaster Recovery section of this document to get details on our DR implementations.
</v>
      </c>
      <c r="E143" s="73" t="b">
        <f>IF(Table1[[#This Row],[Column11]]&gt;20,TRUE,FALSE)</f>
        <v>0</v>
      </c>
      <c r="F143" s="73" t="s">
        <v>2036</v>
      </c>
      <c r="G143" s="74" t="s">
        <v>17</v>
      </c>
      <c r="H143" s="75">
        <f>IF(I142="Yes",1,0)</f>
        <v>1</v>
      </c>
      <c r="I143" s="65" t="str">
        <f>VLOOKUP(B143,'HECVAT - Full'!A:E,3,FALSE)</f>
        <v>Yes</v>
      </c>
      <c r="J143" s="65">
        <f>IF(Table1[[#This Row],[Column7]]=Table1[[#This Row],[Column9]],1,0)</f>
        <v>1</v>
      </c>
      <c r="K143" s="65">
        <f>IF(Table1[[#This Row],[Column8]]=1,20,"")</f>
        <v>20</v>
      </c>
      <c r="L143" s="65">
        <f>IF(Table1[[#This Row],[Column8]]=1,J143*K143,"")</f>
        <v>20</v>
      </c>
      <c r="M143" s="66" t="str">
        <f>VLOOKUP($B143,'Standards Crosswalk'!$A:$H,3,FALSE)</f>
        <v>CSC 10</v>
      </c>
      <c r="N143" s="66">
        <f>VLOOKUP($B143,'Standards Crosswalk'!$A:$H,4,FALSE)</f>
        <v>0</v>
      </c>
      <c r="O143" s="66" t="str">
        <f>VLOOKUP($B143,'Standards Crosswalk'!$A:$H,5,FALSE)</f>
        <v>17.1.3</v>
      </c>
      <c r="P143" s="66" t="str">
        <f>VLOOKUP($B143,'Standards Crosswalk'!$A:$H,6,FALSE)</f>
        <v>PR.IP-9</v>
      </c>
      <c r="Q143" s="66">
        <f>VLOOKUP($B143,'Standards Crosswalk'!$A:$H,7,FALSE)</f>
        <v>0</v>
      </c>
      <c r="R143" s="66" t="str">
        <f>VLOOKUP($B143,'Standards Crosswalk'!$A:$H,8,FALSE)</f>
        <v>AC-5, CP-4, CP-10; NIST SP 800-34</v>
      </c>
      <c r="S143" s="66">
        <f>VLOOKUP($B143,'Standards Crosswalk'!$A:$I,9,FALSE)</f>
        <v>0</v>
      </c>
    </row>
    <row r="144" spans="1:19" ht="409.6" thickBot="1" x14ac:dyDescent="0.2">
      <c r="A144" s="65">
        <f t="shared" si="5"/>
        <v>142</v>
      </c>
      <c r="B144" s="71" t="s">
        <v>309</v>
      </c>
      <c r="C144" s="72" t="str">
        <f>VLOOKUP(B144,'HECVAT - Full'!A:E,2,FALSE)</f>
        <v>Is there a defined problem/issue escalation plan in your DRP for impacted clients?</v>
      </c>
      <c r="D144" s="65" t="str">
        <f>VLOOKUP(B144,'HECVAT - Full'!A:E,4,FALSE)</f>
        <v xml:space="preserve">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v>
      </c>
      <c r="E144" s="73" t="b">
        <f>IF(Table1[[#This Row],[Column11]]&gt;20,TRUE,FALSE)</f>
        <v>1</v>
      </c>
      <c r="F144" s="73" t="s">
        <v>2036</v>
      </c>
      <c r="G144" s="74" t="s">
        <v>17</v>
      </c>
      <c r="H144" s="75">
        <v>1</v>
      </c>
      <c r="I144" s="65" t="str">
        <f>VLOOKUP(B144,'HECVAT - Full'!A:E,3,FALSE)</f>
        <v>Yes</v>
      </c>
      <c r="J144" s="65">
        <f>IF(Table1[[#This Row],[Column7]]=Table1[[#This Row],[Column9]],1,0)</f>
        <v>1</v>
      </c>
      <c r="K144" s="65">
        <v>25</v>
      </c>
      <c r="L144" s="65">
        <f>IF(Table1[[#This Row],[Column8]]=1,J144*K144,"")</f>
        <v>25</v>
      </c>
      <c r="M144" s="66" t="str">
        <f>VLOOKUP($B144,'Standards Crosswalk'!$A:$H,3,FALSE)</f>
        <v>CSC 10</v>
      </c>
      <c r="N144" s="66">
        <f>VLOOKUP($B144,'Standards Crosswalk'!$A:$H,4,FALSE)</f>
        <v>0</v>
      </c>
      <c r="O144" s="66">
        <f>VLOOKUP($B144,'Standards Crosswalk'!$A:$H,5,FALSE)</f>
        <v>0</v>
      </c>
      <c r="P144" s="66" t="str">
        <f>VLOOKUP($B144,'Standards Crosswalk'!$A:$H,6,FALSE)</f>
        <v>PR.IP-9</v>
      </c>
      <c r="Q144" s="66" t="str">
        <f>VLOOKUP($B144,'Standards Crosswalk'!$A:$H,7,FALSE)</f>
        <v>3.12.2</v>
      </c>
      <c r="R144" s="66" t="str">
        <f>VLOOKUP($B144,'Standards Crosswalk'!$A:$H,8,FALSE)</f>
        <v>AC-5, CP-4, CP-10; NIST SP 800-34</v>
      </c>
      <c r="S144" s="66">
        <f>VLOOKUP($B144,'Standards Crosswalk'!$A:$I,9,FALSE)</f>
        <v>12.8</v>
      </c>
    </row>
    <row r="145" spans="1:19" ht="409.6" thickBot="1" x14ac:dyDescent="0.2">
      <c r="A145" s="65">
        <f t="shared" si="5"/>
        <v>143</v>
      </c>
      <c r="B145" s="71" t="s">
        <v>310</v>
      </c>
      <c r="C145" s="72" t="str">
        <f>VLOOKUP(B145,'HECVAT - Full'!A:E,2,FALSE)</f>
        <v>Is there a documented communication plan in your DRP for impacted clients?</v>
      </c>
      <c r="D145" s="65" t="str">
        <f>VLOOKUP(B145,'HECVAT - Full'!A:E,4,FALSE)</f>
        <v xml:space="preserve">The incident response officer is responsible for making sure the DRT and any other necessary staff are notified of a disaster event and mobilized. Notification of staff will generally happen via cell phone.
Clients and business partners will be notified at various stages of disaster recovery using email and our official status page. If these methods are unavailable, notification will happen via alternative means (cell phone, etc.) as provided by each client institution.
</v>
      </c>
      <c r="E145" s="73" t="b">
        <f>IF(Table1[[#This Row],[Column11]]&gt;20,TRUE,FALSE)</f>
        <v>0</v>
      </c>
      <c r="F145" s="73" t="s">
        <v>2036</v>
      </c>
      <c r="G145" s="74" t="s">
        <v>17</v>
      </c>
      <c r="H145" s="75">
        <v>1</v>
      </c>
      <c r="I145" s="65" t="str">
        <f>VLOOKUP(B145,'HECVAT - Full'!A:E,3,FALSE)</f>
        <v>Yes</v>
      </c>
      <c r="J145" s="65">
        <f>IF(Table1[[#This Row],[Column7]]=Table1[[#This Row],[Column9]],1,0)</f>
        <v>1</v>
      </c>
      <c r="K145" s="65">
        <f>IF(Table1[[#This Row],[Column8]]=1,20,"")</f>
        <v>20</v>
      </c>
      <c r="L145" s="65">
        <f>IF(Table1[[#This Row],[Column8]]=1,J145*K145,"")</f>
        <v>20</v>
      </c>
      <c r="M145" s="66" t="str">
        <f>VLOOKUP($B145,'Standards Crosswalk'!$A:$H,3,FALSE)</f>
        <v>CSC 10</v>
      </c>
      <c r="N145" s="66">
        <f>VLOOKUP($B145,'Standards Crosswalk'!$A:$H,4,FALSE)</f>
        <v>0</v>
      </c>
      <c r="O145" s="66" t="str">
        <f>VLOOKUP($B145,'Standards Crosswalk'!$A:$H,5,FALSE)</f>
        <v>17.1.2</v>
      </c>
      <c r="P145" s="66" t="str">
        <f>VLOOKUP($B145,'Standards Crosswalk'!$A:$H,6,FALSE)</f>
        <v>PR.IP-9</v>
      </c>
      <c r="Q145" s="66" t="str">
        <f>VLOOKUP($B145,'Standards Crosswalk'!$A:$H,7,FALSE)</f>
        <v>3.12.2</v>
      </c>
      <c r="R145" s="66" t="str">
        <f>VLOOKUP($B145,'Standards Crosswalk'!$A:$H,8,FALSE)</f>
        <v>AC-5, CP-4, CP-10; NIST SP 800-34</v>
      </c>
      <c r="S145" s="66">
        <f>VLOOKUP($B145,'Standards Crosswalk'!$A:$I,9,FALSE)</f>
        <v>12.8</v>
      </c>
    </row>
    <row r="146" spans="1:19" ht="409.6" thickBot="1" x14ac:dyDescent="0.2">
      <c r="A146" s="65">
        <f t="shared" si="5"/>
        <v>144</v>
      </c>
      <c r="B146" s="71" t="s">
        <v>311</v>
      </c>
      <c r="C146" s="72" t="str">
        <f>VLOOKUP(B146,'HECVAT - Full'!A:E,2,FALSE)</f>
        <v>Describe or provide a reference to how your disaster recovery plan is tested? (i.e. scope of DR tests, end-to-end testing, etc.)</v>
      </c>
      <c r="D146" s="65">
        <f>VLOOKUP(B146,'HECVAT - Full'!A:E,4,FALSE)</f>
        <v>0</v>
      </c>
      <c r="E146" s="73" t="b">
        <f>IF(Table1[[#This Row],[Column11]]&gt;20,TRUE,FALSE)</f>
        <v>0</v>
      </c>
      <c r="F146" s="73" t="s">
        <v>2036</v>
      </c>
      <c r="G146" s="74" t="s">
        <v>17</v>
      </c>
      <c r="H146" s="75">
        <v>1</v>
      </c>
      <c r="I146" s="65" t="str">
        <f>VLOOKUP(B146,'HECVAT - Full'!A:E,3,FALSE)</f>
        <v xml:space="preserve">Portfolium performs a disaster recovery test simulation once a year. Additionally, we ensure that the plan is tested whenever major components are changed. The scope of this test covers complete end-to-end recovery of the application.
</v>
      </c>
      <c r="J146" s="65">
        <f>IF(VLOOKUP(B146,'Analyst Report'!$A$41:$H$88,7,FALSE)="Yes",1,0)</f>
        <v>0</v>
      </c>
      <c r="K146" s="65">
        <f>IF(Table1[[#This Row],[Column8]]=1,20,"")</f>
        <v>20</v>
      </c>
      <c r="L146" s="65">
        <f>IF(Table1[[#This Row],[Column8]]=1,J146*K146,"")</f>
        <v>0</v>
      </c>
      <c r="M146" s="66" t="str">
        <f>VLOOKUP($B146,'Standards Crosswalk'!$A:$H,3,FALSE)</f>
        <v>CSC 10</v>
      </c>
      <c r="N146" s="66">
        <f>VLOOKUP($B146,'Standards Crosswalk'!$A:$H,4,FALSE)</f>
        <v>0</v>
      </c>
      <c r="O146" s="66" t="str">
        <f>VLOOKUP($B146,'Standards Crosswalk'!$A:$H,5,FALSE)</f>
        <v>17.1.3</v>
      </c>
      <c r="P146" s="66" t="str">
        <f>VLOOKUP($B146,'Standards Crosswalk'!$A:$H,6,FALSE)</f>
        <v>PR.IP-9</v>
      </c>
      <c r="Q146" s="66" t="str">
        <f>VLOOKUP($B146,'Standards Crosswalk'!$A:$H,7,FALSE)</f>
        <v>3.12.2</v>
      </c>
      <c r="R146" s="66" t="str">
        <f>VLOOKUP($B146,'Standards Crosswalk'!$A:$H,8,FALSE)</f>
        <v>AC-5, CP-4, CP-10; NIST SP 800-34</v>
      </c>
      <c r="S146" s="66">
        <f>VLOOKUP($B146,'Standards Crosswalk'!$A:$I,9,FALSE)</f>
        <v>0</v>
      </c>
    </row>
    <row r="147" spans="1:19" ht="409.6" thickBot="1" x14ac:dyDescent="0.2">
      <c r="A147" s="65">
        <f t="shared" si="5"/>
        <v>145</v>
      </c>
      <c r="B147" s="71" t="s">
        <v>312</v>
      </c>
      <c r="C147" s="72" t="str">
        <f>VLOOKUP(B147,'HECVAT - Full'!A:E,2,FALSE)</f>
        <v>Has the Disaster Recovery Plan been tested in the last year?  Please provide a summary of the results in Additional Information (including actual recovery time).</v>
      </c>
      <c r="D147" s="65" t="str">
        <f>VLOOKUP(B147,'HECVAT - Full'!A:E,4,FALSE)</f>
        <v xml:space="preserve">Portfolium's Disaster Recovery Plan has been tested in the last year. Our test uses ready to go, or "hot", production instances in a geographically separate AWS region. These instances are synced from live production databases for superior recovery in the event of a disaster.
</v>
      </c>
      <c r="E147" s="73" t="b">
        <f>IF(Table1[[#This Row],[Column11]]&gt;20,TRUE,FALSE)</f>
        <v>0</v>
      </c>
      <c r="F147" s="73" t="s">
        <v>2036</v>
      </c>
      <c r="G147" s="74" t="s">
        <v>17</v>
      </c>
      <c r="H147" s="75">
        <v>1</v>
      </c>
      <c r="I147" s="65" t="str">
        <f>VLOOKUP(B147,'HECVAT - Full'!A:E,3,FALSE)</f>
        <v>Yes</v>
      </c>
      <c r="J147" s="65">
        <f>IF(Table1[[#This Row],[Column7]]=Table1[[#This Row],[Column9]],1,0)</f>
        <v>1</v>
      </c>
      <c r="K147" s="65">
        <f>IF(Table1[[#This Row],[Column8]]=1,20,"")</f>
        <v>20</v>
      </c>
      <c r="L147" s="65">
        <f>IF(Table1[[#This Row],[Column8]]=1,J147*K147,"")</f>
        <v>20</v>
      </c>
      <c r="M147" s="66" t="str">
        <f>VLOOKUP($B147,'Standards Crosswalk'!$A:$H,3,FALSE)</f>
        <v>CSC 10</v>
      </c>
      <c r="N147" s="66">
        <f>VLOOKUP($B147,'Standards Crosswalk'!$A:$H,4,FALSE)</f>
        <v>0</v>
      </c>
      <c r="O147" s="66" t="str">
        <f>VLOOKUP($B147,'Standards Crosswalk'!$A:$H,5,FALSE)</f>
        <v>17.1.3</v>
      </c>
      <c r="P147" s="66" t="str">
        <f>VLOOKUP($B147,'Standards Crosswalk'!$A:$H,6,FALSE)</f>
        <v>PR.IP-9</v>
      </c>
      <c r="Q147" s="66" t="str">
        <f>VLOOKUP($B147,'Standards Crosswalk'!$A:$H,7,FALSE)</f>
        <v>3.12.2</v>
      </c>
      <c r="R147" s="66" t="str">
        <f>VLOOKUP($B147,'Standards Crosswalk'!$A:$H,8,FALSE)</f>
        <v>AC-5, CP-4, CP-10; NIST SP 800-34</v>
      </c>
      <c r="S147" s="66">
        <f>VLOOKUP($B147,'Standards Crosswalk'!$A:$I,9,FALSE)</f>
        <v>0</v>
      </c>
    </row>
    <row r="148" spans="1:19" ht="409.6" thickBot="1" x14ac:dyDescent="0.2">
      <c r="A148" s="65">
        <f t="shared" si="5"/>
        <v>146</v>
      </c>
      <c r="B148" s="71" t="s">
        <v>313</v>
      </c>
      <c r="C148" s="72" t="str">
        <f>VLOOKUP(B148,'HECVAT - Full'!A:E,2,FALSE)</f>
        <v>Do the documented test results identify your organizations actual recovery time capabilities for technology and facilities?</v>
      </c>
      <c r="D148" s="65" t="str">
        <f>VLOOKUP(B148,'HECVAT - Full'!A:E,4,FALSE)</f>
        <v xml:space="preserve">Portfolium will use all commercially reasonable efforts available to restore service within 48 hours. This is the case only in the most catastrophic events, such as the loss of an entire AWS region. We maintain a 99.9% uptime SLA and have structured our application infrastructure to support this even in the event of a disaster.
</v>
      </c>
      <c r="E148" s="73" t="b">
        <f>IF(Table1[[#This Row],[Column11]]&gt;20,TRUE,FALSE)</f>
        <v>0</v>
      </c>
      <c r="F148" s="73" t="s">
        <v>2036</v>
      </c>
      <c r="G148" s="74" t="s">
        <v>17</v>
      </c>
      <c r="H148" s="75">
        <f>IF(I147="Yes",1,0)</f>
        <v>1</v>
      </c>
      <c r="I148" s="65" t="str">
        <f>VLOOKUP(B148,'HECVAT - Full'!A:E,3,FALSE)</f>
        <v>Yes</v>
      </c>
      <c r="J148" s="65">
        <f>IF(Table1[[#This Row],[Column7]]=Table1[[#This Row],[Column9]],1,0)</f>
        <v>1</v>
      </c>
      <c r="K148" s="65">
        <f>IF(Table1[[#This Row],[Column8]]=1,20,"")</f>
        <v>20</v>
      </c>
      <c r="L148" s="65">
        <f>IF(Table1[[#This Row],[Column8]]=1,J148*K148,"")</f>
        <v>20</v>
      </c>
      <c r="M148" s="66" t="str">
        <f>VLOOKUP($B148,'Standards Crosswalk'!$A:$H,3,FALSE)</f>
        <v>CSC 10</v>
      </c>
      <c r="N148" s="66">
        <f>VLOOKUP($B148,'Standards Crosswalk'!$A:$H,4,FALSE)</f>
        <v>0</v>
      </c>
      <c r="O148" s="66" t="str">
        <f>VLOOKUP($B148,'Standards Crosswalk'!$A:$H,5,FALSE)</f>
        <v>7.1.3</v>
      </c>
      <c r="P148" s="66" t="str">
        <f>VLOOKUP($B148,'Standards Crosswalk'!$A:$H,6,FALSE)</f>
        <v>PR.IP-9</v>
      </c>
      <c r="Q148" s="66">
        <f>VLOOKUP($B148,'Standards Crosswalk'!$A:$H,7,FALSE)</f>
        <v>0</v>
      </c>
      <c r="R148" s="66" t="str">
        <f>VLOOKUP($B148,'Standards Crosswalk'!$A:$H,8,FALSE)</f>
        <v>AC-5, CP-4, CP-10; NIST SP 800-34</v>
      </c>
      <c r="S148" s="66">
        <f>VLOOKUP($B148,'Standards Crosswalk'!$A:$I,9,FALSE)</f>
        <v>12.8</v>
      </c>
    </row>
    <row r="149" spans="1:19" ht="301" thickBot="1" x14ac:dyDescent="0.2">
      <c r="A149" s="65">
        <f t="shared" si="5"/>
        <v>147</v>
      </c>
      <c r="B149" s="71" t="s">
        <v>314</v>
      </c>
      <c r="C149" s="72" t="str">
        <f>VLOOKUP(B149,'HECVAT - Full'!A:E,2,FALSE)</f>
        <v xml:space="preserve">Are all components of the DRP reviewed at least annually and updated as needed to reflect change? </v>
      </c>
      <c r="D149" s="65" t="str">
        <f>VLOOKUP(B149,'HECVAT - Full'!A:E,4,FALSE)</f>
        <v xml:space="preserve">Portfolium's DRP is reviewed in its entirety at least annually and updated to reflect any changes needed.
</v>
      </c>
      <c r="E149" s="73" t="b">
        <f>IF(Table1[[#This Row],[Column11]]&gt;20,TRUE,FALSE)</f>
        <v>0</v>
      </c>
      <c r="F149" s="73" t="s">
        <v>2036</v>
      </c>
      <c r="G149" s="74" t="s">
        <v>17</v>
      </c>
      <c r="H149" s="75">
        <v>1</v>
      </c>
      <c r="I149" s="65" t="str">
        <f>VLOOKUP(B149,'HECVAT - Full'!A:E,3,FALSE)</f>
        <v>Yes</v>
      </c>
      <c r="J149" s="65">
        <f>IF(Table1[[#This Row],[Column7]]=Table1[[#This Row],[Column9]],1,0)</f>
        <v>1</v>
      </c>
      <c r="K149" s="65">
        <f>IF(Table1[[#This Row],[Column8]]=1,20,"")</f>
        <v>20</v>
      </c>
      <c r="L149" s="65">
        <f>IF(Table1[[#This Row],[Column8]]=1,J149*K149,"")</f>
        <v>20</v>
      </c>
      <c r="M149" s="66" t="str">
        <f>VLOOKUP($B149,'Standards Crosswalk'!$A:$H,3,FALSE)</f>
        <v>CSC 10</v>
      </c>
      <c r="N149" s="66">
        <f>VLOOKUP($B149,'Standards Crosswalk'!$A:$H,4,FALSE)</f>
        <v>0</v>
      </c>
      <c r="O149" s="66" t="str">
        <f>VLOOKUP($B149,'Standards Crosswalk'!$A:$H,5,FALSE)</f>
        <v>17.1.1</v>
      </c>
      <c r="P149" s="66" t="str">
        <f>VLOOKUP($B149,'Standards Crosswalk'!$A:$H,6,FALSE)</f>
        <v>PR.IP-9</v>
      </c>
      <c r="Q149" s="66" t="str">
        <f>VLOOKUP($B149,'Standards Crosswalk'!$A:$H,7,FALSE)</f>
        <v>3.12.2</v>
      </c>
      <c r="R149" s="66" t="str">
        <f>VLOOKUP($B149,'Standards Crosswalk'!$A:$H,8,FALSE)</f>
        <v>AC-5, CP-4, CP-10; NIST SP 800-34</v>
      </c>
      <c r="S149" s="66">
        <f>VLOOKUP($B149,'Standards Crosswalk'!$A:$I,9,FALSE)</f>
        <v>0</v>
      </c>
    </row>
    <row r="150" spans="1:19" ht="409.6" thickBot="1" x14ac:dyDescent="0.2">
      <c r="A150" s="65">
        <f t="shared" si="5"/>
        <v>148</v>
      </c>
      <c r="B150" s="71" t="s">
        <v>315</v>
      </c>
      <c r="C150" s="72" t="str">
        <f>VLOOKUP(B150,'HECVAT - Full'!A:E,2,FALSE)</f>
        <v>Do you carry cyber-risk insurance to protect against unforeseen service outages, data that is lost or stolen, and security incidents?</v>
      </c>
      <c r="D150" s="65" t="str">
        <f>VLOOKUP(B150,'HECVAT - Full'!A:E,4,FALSE)</f>
        <v xml:space="preserve">Instructure’s general liability insurance includes Cyber Errors &amp; Omissions coverage (referred to as "Professional Errors &amp; Omission"). Instructure’s certificate of liability insurance can be provided with this documentation.
</v>
      </c>
      <c r="E150" s="73" t="b">
        <f>IF(Table1[[#This Row],[Column11]]&gt;20,TRUE,FALSE)</f>
        <v>0</v>
      </c>
      <c r="F150" s="73" t="s">
        <v>2036</v>
      </c>
      <c r="G150" s="74" t="s">
        <v>17</v>
      </c>
      <c r="H150" s="75">
        <v>1</v>
      </c>
      <c r="I150" s="65" t="str">
        <f>VLOOKUP(B150,'HECVAT - Full'!A:E,3,FALSE)</f>
        <v>Yes</v>
      </c>
      <c r="J150" s="65">
        <f>IF(Table1[[#This Row],[Column7]]=Table1[[#This Row],[Column9]],1,0)</f>
        <v>1</v>
      </c>
      <c r="K150" s="65">
        <f>IF(Table1[[#This Row],[Column8]]=1,20,"")</f>
        <v>20</v>
      </c>
      <c r="L150" s="65">
        <f>IF(Table1[[#This Row],[Column8]]=1,J150*K150,"")</f>
        <v>20</v>
      </c>
      <c r="M150" s="66">
        <f>VLOOKUP($B150,'Standards Crosswalk'!$A:$H,3,FALSE)</f>
        <v>0</v>
      </c>
      <c r="N150" s="66">
        <f>VLOOKUP($B150,'Standards Crosswalk'!$A:$H,4,FALSE)</f>
        <v>0</v>
      </c>
      <c r="O150" s="66">
        <f>VLOOKUP($B150,'Standards Crosswalk'!$A:$H,5,FALSE)</f>
        <v>0</v>
      </c>
      <c r="P150" s="66">
        <f>VLOOKUP($B150,'Standards Crosswalk'!$A:$H,6,FALSE)</f>
        <v>0</v>
      </c>
      <c r="Q150" s="66" t="str">
        <f>VLOOKUP($B150,'Standards Crosswalk'!$A:$H,7,FALSE)</f>
        <v>3.6.2</v>
      </c>
      <c r="R150" s="66" t="str">
        <f>VLOOKUP($B150,'Standards Crosswalk'!$A:$H,8,FALSE)</f>
        <v>AC-5, CP-4, CP-10; NIST SP 800-34</v>
      </c>
      <c r="S150" s="66">
        <f>VLOOKUP($B150,'Standards Crosswalk'!$A:$I,9,FALSE)</f>
        <v>12.8</v>
      </c>
    </row>
    <row r="151" spans="1:19" ht="409.6" thickBot="1" x14ac:dyDescent="0.2">
      <c r="A151" s="65">
        <f t="shared" si="5"/>
        <v>149</v>
      </c>
      <c r="B151" s="71" t="s">
        <v>316</v>
      </c>
      <c r="C151" s="72" t="str">
        <f>VLOOKUP(B151,'HECVAT - Full'!A:E,2,FALSE)</f>
        <v>Are you utilizing a web application firewall (WAF)?</v>
      </c>
      <c r="D151" s="65" t="str">
        <f>VLOOKUP(B151,'HECVAT - Full'!A:E,4,FALSE)</f>
        <v xml:space="preserve">Amazon Web Services (AWS), which the Portfolium infrastructure is built on, provides built-in firewalls to protect network data. Additionally, Application and Database server connections occur over a heavily firewalled virtual network using AWS Security Group Firewall. AWS includes firewalls and other boundary devices that are in place to monitor and control communications at the external boundary of the network and at key internal boundaries within the network.
</v>
      </c>
      <c r="E151" s="73" t="b">
        <f>IF(Table1[[#This Row],[Column11]]&gt;20,TRUE,FALSE)</f>
        <v>1</v>
      </c>
      <c r="F151" s="73" t="s">
        <v>2037</v>
      </c>
      <c r="G151" s="74" t="s">
        <v>17</v>
      </c>
      <c r="H151" s="75">
        <v>1</v>
      </c>
      <c r="I151" s="65" t="str">
        <f>VLOOKUP(B151,'HECVAT - Full'!A:E,3,FALSE)</f>
        <v>No</v>
      </c>
      <c r="J151" s="65">
        <f>IF(Table1[[#This Row],[Column7]]=Table1[[#This Row],[Column9]],1,0)</f>
        <v>0</v>
      </c>
      <c r="K151" s="65">
        <v>25</v>
      </c>
      <c r="L151" s="65">
        <f>IF(Table1[[#This Row],[Column8]]=1,J151*K151,"")</f>
        <v>0</v>
      </c>
      <c r="M151" s="66" t="str">
        <f>VLOOKUP($B151,'Standards Crosswalk'!$A:$H,3,FALSE)</f>
        <v>CSC 9</v>
      </c>
      <c r="N151" s="66">
        <f>VLOOKUP($B151,'Standards Crosswalk'!$A:$H,4,FALSE)</f>
        <v>0</v>
      </c>
      <c r="O151" s="66" t="str">
        <f>VLOOKUP($B151,'Standards Crosswalk'!$A:$H,5,FALSE)</f>
        <v>13.1.1</v>
      </c>
      <c r="P151" s="66" t="str">
        <f>VLOOKUP($B151,'Standards Crosswalk'!$A:$H,6,FALSE)</f>
        <v>PR.DS-5</v>
      </c>
      <c r="Q151" s="66">
        <f>VLOOKUP($B151,'Standards Crosswalk'!$A:$H,7,FALSE)</f>
        <v>0</v>
      </c>
      <c r="R151" s="66">
        <f>VLOOKUP($B151,'Standards Crosswalk'!$A:$H,8,FALSE)</f>
        <v>0</v>
      </c>
      <c r="S151" s="66">
        <f>VLOOKUP($B151,'Standards Crosswalk'!$A:$I,9,FALSE)</f>
        <v>1.1000000000000001</v>
      </c>
    </row>
    <row r="152" spans="1:19" ht="409.6" thickBot="1" x14ac:dyDescent="0.2">
      <c r="A152" s="65">
        <f t="shared" si="5"/>
        <v>150</v>
      </c>
      <c r="B152" s="71" t="s">
        <v>317</v>
      </c>
      <c r="C152" s="72" t="str">
        <f>VLOOKUP(B152,'HECVAT - Full'!A:E,2,FALSE)</f>
        <v>Are you utilizing a stateful packet inspection (SPI) firewall?</v>
      </c>
      <c r="D152" s="65" t="str">
        <f>VLOOKUP(B152,'HECVAT - Full'!A:E,4,FALSE)</f>
        <v xml:space="preserve">Portfolium does not use a stateful packet inspection (SPI). Prevention methods are in place, however, through best code development practices and external tools like Cloudflare, to prevent and disallow malicious or unauthorized network traffic and connections. 
</v>
      </c>
      <c r="E152" s="73" t="b">
        <f>IF(Table1[[#This Row],[Column11]]&gt;20,TRUE,FALSE)</f>
        <v>1</v>
      </c>
      <c r="F152" s="73" t="s">
        <v>2037</v>
      </c>
      <c r="G152" s="74" t="s">
        <v>17</v>
      </c>
      <c r="H152" s="75">
        <v>1</v>
      </c>
      <c r="I152" s="65" t="str">
        <f>VLOOKUP(B152,'HECVAT - Full'!A:E,3,FALSE)</f>
        <v>No</v>
      </c>
      <c r="J152" s="65">
        <f>IF(Table1[[#This Row],[Column7]]=Table1[[#This Row],[Column9]],1,0)</f>
        <v>0</v>
      </c>
      <c r="K152" s="65">
        <v>25</v>
      </c>
      <c r="L152" s="65">
        <f>IF(Table1[[#This Row],[Column8]]=1,J152*K152,"")</f>
        <v>0</v>
      </c>
      <c r="M152" s="66" t="str">
        <f>VLOOKUP($B152,'Standards Crosswalk'!$A:$H,3,FALSE)</f>
        <v>CSC 9</v>
      </c>
      <c r="N152" s="66">
        <f>VLOOKUP($B152,'Standards Crosswalk'!$A:$H,4,FALSE)</f>
        <v>0</v>
      </c>
      <c r="O152" s="66" t="str">
        <f>VLOOKUP($B152,'Standards Crosswalk'!$A:$H,5,FALSE)</f>
        <v>13.1.1</v>
      </c>
      <c r="P152" s="66" t="str">
        <f>VLOOKUP($B152,'Standards Crosswalk'!$A:$H,6,FALSE)</f>
        <v>PR.DS-5</v>
      </c>
      <c r="Q152" s="66">
        <f>VLOOKUP($B152,'Standards Crosswalk'!$A:$H,7,FALSE)</f>
        <v>0</v>
      </c>
      <c r="R152" s="66">
        <f>VLOOKUP($B152,'Standards Crosswalk'!$A:$H,8,FALSE)</f>
        <v>0</v>
      </c>
      <c r="S152" s="66">
        <f>VLOOKUP($B152,'Standards Crosswalk'!$A:$I,9,FALSE)</f>
        <v>1.1000000000000001</v>
      </c>
    </row>
    <row r="153" spans="1:19" ht="409.6" thickBot="1" x14ac:dyDescent="0.2">
      <c r="A153" s="65">
        <f t="shared" si="5"/>
        <v>151</v>
      </c>
      <c r="B153" s="71" t="s">
        <v>318</v>
      </c>
      <c r="C153" s="72" t="str">
        <f>VLOOKUP(B153,'HECVAT - Full'!A:E,2,FALSE)</f>
        <v>State and describe who has the authority to change firewall rules?</v>
      </c>
      <c r="D153" s="65">
        <f>VLOOKUP(B153,'HECVAT - Full'!A:E,4,FALSE)</f>
        <v>0</v>
      </c>
      <c r="E153" s="73" t="b">
        <f>IF(Table1[[#This Row],[Column11]]&gt;20,TRUE,FALSE)</f>
        <v>0</v>
      </c>
      <c r="F153" s="73" t="s">
        <v>2037</v>
      </c>
      <c r="G153" s="74" t="s">
        <v>17</v>
      </c>
      <c r="H153" s="75">
        <v>1</v>
      </c>
      <c r="I153" s="65" t="str">
        <f>VLOOKUP(B153,'HECVAT - Full'!A:E,3,FALSE)</f>
        <v xml:space="preserve">Only authorized members of Operations with justifiable business need have access to the VPC and can adjust firewall rules. Access to the VPC is only granted via SSH Tunneling based on their SSH keys into our gateway server (that lives in the production VPC.
</v>
      </c>
      <c r="J153" s="65">
        <f>IF(VLOOKUP(Table1[[#This Row],[Column2]],'Analyst Report'!$A$41:$G$88,7,FALSE)="Yes",1,0)</f>
        <v>0</v>
      </c>
      <c r="K153" s="65">
        <f>IF(Table1[[#This Row],[Column8]]=1,20,"")</f>
        <v>20</v>
      </c>
      <c r="L153" s="65">
        <f>IF(Table1[[#This Row],[Column8]]=1,J153*K153,"")</f>
        <v>0</v>
      </c>
      <c r="M153" s="66" t="str">
        <f>VLOOKUP($B153,'Standards Crosswalk'!$A:$H,3,FALSE)</f>
        <v>CSC 9</v>
      </c>
      <c r="N153" s="66">
        <f>VLOOKUP($B153,'Standards Crosswalk'!$A:$H,4,FALSE)</f>
        <v>0</v>
      </c>
      <c r="O153" s="66" t="str">
        <f>VLOOKUP($B153,'Standards Crosswalk'!$A:$H,5,FALSE)</f>
        <v>13</v>
      </c>
      <c r="P153" s="66" t="str">
        <f>VLOOKUP($B153,'Standards Crosswalk'!$A:$H,6,FALSE)</f>
        <v>PR.AC-5</v>
      </c>
      <c r="Q153" s="66">
        <f>VLOOKUP($B153,'Standards Crosswalk'!$A:$H,7,FALSE)</f>
        <v>0</v>
      </c>
      <c r="R153" s="66">
        <f>VLOOKUP($B153,'Standards Crosswalk'!$A:$H,8,FALSE)</f>
        <v>0</v>
      </c>
      <c r="S153" s="66">
        <f>VLOOKUP($B153,'Standards Crosswalk'!$A:$I,9,FALSE)</f>
        <v>1.1000000000000001</v>
      </c>
    </row>
    <row r="154" spans="1:19" ht="409.6" thickBot="1" x14ac:dyDescent="0.2">
      <c r="A154" s="65">
        <f t="shared" si="5"/>
        <v>152</v>
      </c>
      <c r="B154" s="71" t="s">
        <v>319</v>
      </c>
      <c r="C154" s="72" t="str">
        <f>VLOOKUP(B154,'HECVAT - Full'!A:E,2,FALSE)</f>
        <v>Do you have a documented policy for firewall change requests?</v>
      </c>
      <c r="D154" s="65" t="str">
        <f>VLOOKUP(B154,'HECVAT - Full'!A:E,4,FALSE)</f>
        <v xml:space="preserve">Portfolium has an internal Security Patching Policy and Process document which provides requirements for any changes to the infrastructure. This document can be made available upon request.
</v>
      </c>
      <c r="E154" s="73" t="b">
        <f>IF(Table1[[#This Row],[Column11]]&gt;20,TRUE,FALSE)</f>
        <v>1</v>
      </c>
      <c r="F154" s="73" t="s">
        <v>2037</v>
      </c>
      <c r="G154" s="74" t="s">
        <v>17</v>
      </c>
      <c r="H154" s="75">
        <v>1</v>
      </c>
      <c r="I154" s="65" t="str">
        <f>VLOOKUP(B154,'HECVAT - Full'!A:E,3,FALSE)</f>
        <v>Yes</v>
      </c>
      <c r="J154" s="65">
        <f>IF(Table1[[#This Row],[Column7]]=Table1[[#This Row],[Column9]],1,0)</f>
        <v>1</v>
      </c>
      <c r="K154" s="65">
        <v>25</v>
      </c>
      <c r="L154" s="65">
        <f>IF(Table1[[#This Row],[Column8]]=1,J154*K154,"")</f>
        <v>25</v>
      </c>
      <c r="M154" s="66" t="str">
        <f>VLOOKUP($B154,'Standards Crosswalk'!$A:$H,3,FALSE)</f>
        <v>CSC 9</v>
      </c>
      <c r="N154" s="66">
        <f>VLOOKUP($B154,'Standards Crosswalk'!$A:$H,4,FALSE)</f>
        <v>0</v>
      </c>
      <c r="O154" s="66" t="str">
        <f>VLOOKUP($B154,'Standards Crosswalk'!$A:$H,5,FALSE)</f>
        <v>12.1.2</v>
      </c>
      <c r="P154" s="66" t="str">
        <f>VLOOKUP($B154,'Standards Crosswalk'!$A:$H,6,FALSE)</f>
        <v>PR.AC-5</v>
      </c>
      <c r="Q154" s="66">
        <f>VLOOKUP($B154,'Standards Crosswalk'!$A:$H,7,FALSE)</f>
        <v>0</v>
      </c>
      <c r="R154" s="66">
        <f>VLOOKUP($B154,'Standards Crosswalk'!$A:$H,8,FALSE)</f>
        <v>0</v>
      </c>
      <c r="S154" s="66">
        <f>VLOOKUP($B154,'Standards Crosswalk'!$A:$I,9,FALSE)</f>
        <v>1.1000000000000001</v>
      </c>
    </row>
    <row r="155" spans="1:19" ht="409.6" thickBot="1" x14ac:dyDescent="0.2">
      <c r="A155" s="65">
        <f t="shared" si="5"/>
        <v>153</v>
      </c>
      <c r="B155" s="71" t="s">
        <v>320</v>
      </c>
      <c r="C155" s="72" t="str">
        <f>VLOOKUP(B155,'HECVAT - Full'!A:E,2,FALSE)</f>
        <v>Have you implemented an Intrusion Detection System (network-based)?</v>
      </c>
      <c r="D155" s="65" t="str">
        <f>VLOOKUP(B155,'HECVAT - Full'!A:E,4,FALSE)</f>
        <v xml:space="preserve">While we have not implemented an IDS/IPS directly, we use intrusion prevention methods to secure Portfolium's network. This includes disabling SSH on every machine and only allowing access on port 80. Our Operations team utilizes a bastion host for accessing the network. The network can only be accessed through SSH (port 22), and keys are configured using AWS OpsWorks. 
Additionally, AWS's Elastic Cloud Computing (EC2) service offers key features to help protect Portfolium's EC2 instances. This includes alerting administrators of malicious activity and policy violations, as well as identifying and taking action against attacks.
</v>
      </c>
      <c r="E155" s="73" t="b">
        <f>IF(Table1[[#This Row],[Column11]]&gt;20,TRUE,FALSE)</f>
        <v>1</v>
      </c>
      <c r="F155" s="73" t="s">
        <v>2037</v>
      </c>
      <c r="G155" s="74" t="s">
        <v>17</v>
      </c>
      <c r="H155" s="75">
        <v>1</v>
      </c>
      <c r="I155" s="65" t="str">
        <f>VLOOKUP(B155,'HECVAT - Full'!A:E,3,FALSE)</f>
        <v>No</v>
      </c>
      <c r="J155" s="65">
        <f>IF(Table1[[#This Row],[Column7]]=Table1[[#This Row],[Column9]],1,0)</f>
        <v>0</v>
      </c>
      <c r="K155" s="65">
        <v>25</v>
      </c>
      <c r="L155" s="65">
        <f>IF(Table1[[#This Row],[Column8]]=1,J155*K155,"")</f>
        <v>0</v>
      </c>
      <c r="M155" s="66" t="str">
        <f>VLOOKUP($B155,'Standards Crosswalk'!$A:$H,3,FALSE)</f>
        <v>CSC 19</v>
      </c>
      <c r="N155" s="66">
        <f>VLOOKUP($B155,'Standards Crosswalk'!$A:$H,4,FALSE)</f>
        <v>0</v>
      </c>
      <c r="O155" s="66" t="str">
        <f>VLOOKUP($B155,'Standards Crosswalk'!$A:$H,5,FALSE)</f>
        <v>13.1.2</v>
      </c>
      <c r="P155" s="66" t="str">
        <f>VLOOKUP($B155,'Standards Crosswalk'!$A:$H,6,FALSE)</f>
        <v>DE.CM-1</v>
      </c>
      <c r="Q155" s="66" t="str">
        <f>VLOOKUP($B155,'Standards Crosswalk'!$A:$H,7,FALSE)</f>
        <v>3.6.1, 3.14.6, 3.14.7</v>
      </c>
      <c r="R155" s="66" t="str">
        <f>VLOOKUP($B155,'Standards Crosswalk'!$A:$H,8,FALSE)</f>
        <v>IR-2, IR-4, IR-5</v>
      </c>
      <c r="S155" s="66">
        <f>VLOOKUP($B155,'Standards Crosswalk'!$A:$I,9,FALSE)</f>
        <v>11.4</v>
      </c>
    </row>
    <row r="156" spans="1:19" ht="181" thickBot="1" x14ac:dyDescent="0.2">
      <c r="A156" s="65">
        <f t="shared" si="5"/>
        <v>154</v>
      </c>
      <c r="B156" s="71" t="s">
        <v>321</v>
      </c>
      <c r="C156" s="72" t="str">
        <f>VLOOKUP(B156,'HECVAT - Full'!A:E,2,FALSE)</f>
        <v>Have you implemented an Intrusion Prevention System (network-based)?</v>
      </c>
      <c r="D156" s="65" t="str">
        <f>VLOOKUP(B156,'HECVAT - Full'!A:E,4,FALSE)</f>
        <v xml:space="preserve">Portfolium has implemented AWS's IDS/IDP solution, GuardDuty.
</v>
      </c>
      <c r="E156" s="73" t="b">
        <f>IF(Table1[[#This Row],[Column11]]&gt;20,TRUE,FALSE)</f>
        <v>0</v>
      </c>
      <c r="F156" s="73" t="s">
        <v>2037</v>
      </c>
      <c r="G156" s="74" t="s">
        <v>17</v>
      </c>
      <c r="H156" s="75">
        <v>1</v>
      </c>
      <c r="I156" s="65" t="str">
        <f>VLOOKUP(B156,'HECVAT - Full'!A:E,3,FALSE)</f>
        <v>Yes</v>
      </c>
      <c r="J156" s="65">
        <f>IF(Table1[[#This Row],[Column7]]=Table1[[#This Row],[Column9]],1,0)</f>
        <v>1</v>
      </c>
      <c r="K156" s="65">
        <f>IF(Table1[[#This Row],[Column8]]=1,20,"")</f>
        <v>20</v>
      </c>
      <c r="L156" s="65">
        <f>IF(Table1[[#This Row],[Column8]]=1,J156*K156,"")</f>
        <v>20</v>
      </c>
      <c r="M156" s="66" t="str">
        <f>VLOOKUP($B156,'Standards Crosswalk'!$A:$H,3,FALSE)</f>
        <v>CSC 19</v>
      </c>
      <c r="N156" s="66">
        <f>VLOOKUP($B156,'Standards Crosswalk'!$A:$H,4,FALSE)</f>
        <v>0</v>
      </c>
      <c r="O156" s="66" t="str">
        <f>VLOOKUP($B156,'Standards Crosswalk'!$A:$H,5,FALSE)</f>
        <v>13.1.2</v>
      </c>
      <c r="P156" s="66" t="str">
        <f>VLOOKUP($B156,'Standards Crosswalk'!$A:$H,6,FALSE)</f>
        <v>DE.CM-1</v>
      </c>
      <c r="Q156" s="66" t="str">
        <f>VLOOKUP($B156,'Standards Crosswalk'!$A:$H,7,FALSE)</f>
        <v>3.6.1, 3.14.6, 3.14.7</v>
      </c>
      <c r="R156" s="66" t="str">
        <f>VLOOKUP($B156,'Standards Crosswalk'!$A:$H,8,FALSE)</f>
        <v>IR-2, IR-4, IR-5</v>
      </c>
      <c r="S156" s="66">
        <f>VLOOKUP($B156,'Standards Crosswalk'!$A:$I,9,FALSE)</f>
        <v>11.4</v>
      </c>
    </row>
    <row r="157" spans="1:19" ht="286" thickBot="1" x14ac:dyDescent="0.2">
      <c r="A157" s="65">
        <f t="shared" si="5"/>
        <v>155</v>
      </c>
      <c r="B157" s="71" t="s">
        <v>322</v>
      </c>
      <c r="C157" s="72" t="str">
        <f>VLOOKUP(B157,'HECVAT - Full'!A:E,2,FALSE)</f>
        <v>Do you employ host-based intrusion detection?</v>
      </c>
      <c r="D157" s="65" t="str">
        <f>VLOOKUP(B157,'HECVAT - Full'!A:E,4,FALSE)</f>
        <v xml:space="preserve">Please refer to Portfolium's implemented intrusion protections listed above in items FIDP-05 and FIDP-06.
</v>
      </c>
      <c r="E157" s="73" t="b">
        <f>IF(Table1[[#This Row],[Column11]]&gt;20,TRUE,FALSE)</f>
        <v>1</v>
      </c>
      <c r="F157" s="73" t="s">
        <v>2037</v>
      </c>
      <c r="G157" s="74" t="s">
        <v>17</v>
      </c>
      <c r="H157" s="75">
        <v>1</v>
      </c>
      <c r="I157" s="65" t="str">
        <f>VLOOKUP(B157,'HECVAT - Full'!A:E,3,FALSE)</f>
        <v>No</v>
      </c>
      <c r="J157" s="65">
        <f>IF(Table1[[#This Row],[Column7]]=Table1[[#This Row],[Column9]],1,0)</f>
        <v>0</v>
      </c>
      <c r="K157" s="65">
        <v>25</v>
      </c>
      <c r="L157" s="65">
        <f>IF(Table1[[#This Row],[Column8]]=1,J157*K157,"")</f>
        <v>0</v>
      </c>
      <c r="M157" s="66" t="str">
        <f>VLOOKUP($B157,'Standards Crosswalk'!$A:$H,3,FALSE)</f>
        <v>CSC 19</v>
      </c>
      <c r="N157" s="66">
        <f>VLOOKUP($B157,'Standards Crosswalk'!$A:$H,4,FALSE)</f>
        <v>0</v>
      </c>
      <c r="O157" s="66" t="str">
        <f>VLOOKUP($B157,'Standards Crosswalk'!$A:$H,5,FALSE)</f>
        <v>13.1.2</v>
      </c>
      <c r="P157" s="66" t="str">
        <f>VLOOKUP($B157,'Standards Crosswalk'!$A:$H,6,FALSE)</f>
        <v>DE.CM-1</v>
      </c>
      <c r="Q157" s="66" t="str">
        <f>VLOOKUP($B157,'Standards Crosswalk'!$A:$H,7,FALSE)</f>
        <v>3.6.1, 3.14.6, 3.14.7</v>
      </c>
      <c r="R157" s="66" t="str">
        <f>VLOOKUP($B157,'Standards Crosswalk'!$A:$H,8,FALSE)</f>
        <v>IR-2, IR-4, IR-5</v>
      </c>
      <c r="S157" s="66">
        <f>VLOOKUP($B157,'Standards Crosswalk'!$A:$I,9,FALSE)</f>
        <v>11.4</v>
      </c>
    </row>
    <row r="158" spans="1:19" ht="286" thickBot="1" x14ac:dyDescent="0.2">
      <c r="A158" s="65">
        <f t="shared" si="5"/>
        <v>156</v>
      </c>
      <c r="B158" s="71" t="s">
        <v>323</v>
      </c>
      <c r="C158" s="72" t="str">
        <f>VLOOKUP(B158,'HECVAT - Full'!A:E,2,FALSE)</f>
        <v>Do you employ host-based intrusion prevention?</v>
      </c>
      <c r="D158" s="65" t="str">
        <f>VLOOKUP(B158,'HECVAT - Full'!A:E,4,FALSE)</f>
        <v xml:space="preserve">Please refer to Portfolium's implemented intrusion protections listed above in items FIDP-05 and FIDP-06.
</v>
      </c>
      <c r="E158" s="73" t="b">
        <f>IF(Table1[[#This Row],[Column11]]&gt;20,TRUE,FALSE)</f>
        <v>0</v>
      </c>
      <c r="F158" s="73" t="s">
        <v>2037</v>
      </c>
      <c r="G158" s="74" t="s">
        <v>17</v>
      </c>
      <c r="H158" s="75">
        <v>1</v>
      </c>
      <c r="I158" s="65" t="str">
        <f>VLOOKUP(B158,'HECVAT - Full'!A:E,3,FALSE)</f>
        <v>No</v>
      </c>
      <c r="J158" s="65">
        <f>IF(Table1[[#This Row],[Column7]]=Table1[[#This Row],[Column9]],1,0)</f>
        <v>0</v>
      </c>
      <c r="K158" s="65">
        <f>IF(Table1[[#This Row],[Column8]]=1,20,"")</f>
        <v>20</v>
      </c>
      <c r="L158" s="65">
        <f>IF(Table1[[#This Row],[Column8]]=1,J158*K158,"")</f>
        <v>0</v>
      </c>
      <c r="M158" s="66" t="str">
        <f>VLOOKUP($B158,'Standards Crosswalk'!$A:$H,3,FALSE)</f>
        <v>CSC 19</v>
      </c>
      <c r="N158" s="66">
        <f>VLOOKUP($B158,'Standards Crosswalk'!$A:$H,4,FALSE)</f>
        <v>0</v>
      </c>
      <c r="O158" s="66" t="str">
        <f>VLOOKUP($B158,'Standards Crosswalk'!$A:$H,5,FALSE)</f>
        <v>13.1.2</v>
      </c>
      <c r="P158" s="66" t="str">
        <f>VLOOKUP($B158,'Standards Crosswalk'!$A:$H,6,FALSE)</f>
        <v>DE.CM-1</v>
      </c>
      <c r="Q158" s="66" t="str">
        <f>VLOOKUP($B158,'Standards Crosswalk'!$A:$H,7,FALSE)</f>
        <v>3.6.1, 3.14.6, 3.14.7</v>
      </c>
      <c r="R158" s="66" t="str">
        <f>VLOOKUP($B158,'Standards Crosswalk'!$A:$H,8,FALSE)</f>
        <v>IR-2, IR-4, IR-5</v>
      </c>
      <c r="S158" s="66">
        <f>VLOOKUP($B158,'Standards Crosswalk'!$A:$I,9,FALSE)</f>
        <v>11.4</v>
      </c>
    </row>
    <row r="159" spans="1:19" ht="315" thickBot="1" x14ac:dyDescent="0.2">
      <c r="A159" s="65">
        <f t="shared" si="5"/>
        <v>157</v>
      </c>
      <c r="B159" s="71" t="s">
        <v>324</v>
      </c>
      <c r="C159" s="72" t="str">
        <f>VLOOKUP(B159,'HECVAT - Full'!A:E,2,FALSE)</f>
        <v>Are you employing any next-generation persistent threat (NGPT) monitoring?</v>
      </c>
      <c r="D159" s="65" t="str">
        <f>VLOOKUP(B159,'HECVAT - Full'!A:E,4,FALSE)</f>
        <v xml:space="preserve">Portfolium is currently implementing AWS GuardDuty for NGPT monitoring and will will be feature-complete early in Q3 of 2019.
</v>
      </c>
      <c r="E159" s="73" t="b">
        <f>IF(Table1[[#This Row],[Column11]]&gt;20,TRUE,FALSE)</f>
        <v>0</v>
      </c>
      <c r="F159" s="73" t="s">
        <v>2037</v>
      </c>
      <c r="G159" s="74" t="s">
        <v>17</v>
      </c>
      <c r="H159" s="75">
        <v>1</v>
      </c>
      <c r="I159" s="65" t="str">
        <f>VLOOKUP(B159,'HECVAT - Full'!A:E,3,FALSE)</f>
        <v>No</v>
      </c>
      <c r="J159" s="65">
        <f>IF(Table1[[#This Row],[Column7]]=Table1[[#This Row],[Column9]],1,0)</f>
        <v>0</v>
      </c>
      <c r="K159" s="65">
        <f>IF(Table1[[#This Row],[Column8]]=1,20,"")</f>
        <v>20</v>
      </c>
      <c r="L159" s="65">
        <f>IF(Table1[[#This Row],[Column8]]=1,J159*K159,"")</f>
        <v>0</v>
      </c>
      <c r="M159" s="66" t="str">
        <f>VLOOKUP($B159,'Standards Crosswalk'!$A:$H,3,FALSE)</f>
        <v>CSC 19</v>
      </c>
      <c r="N159" s="66">
        <f>VLOOKUP($B159,'Standards Crosswalk'!$A:$H,4,FALSE)</f>
        <v>0</v>
      </c>
      <c r="O159" s="66" t="str">
        <f>VLOOKUP($B159,'Standards Crosswalk'!$A:$H,5,FALSE)</f>
        <v>12.4.1</v>
      </c>
      <c r="P159" s="66">
        <f>VLOOKUP($B159,'Standards Crosswalk'!$A:$H,6,FALSE)</f>
        <v>0</v>
      </c>
      <c r="Q159" s="66" t="str">
        <f>VLOOKUP($B159,'Standards Crosswalk'!$A:$H,7,FALSE)</f>
        <v>3.6.1, 3.14.6, 3.14.7</v>
      </c>
      <c r="R159" s="66" t="str">
        <f>VLOOKUP($B159,'Standards Crosswalk'!$A:$H,8,FALSE)</f>
        <v>IR-2, IR-4, IR-5</v>
      </c>
      <c r="S159" s="66">
        <f>VLOOKUP($B159,'Standards Crosswalk'!$A:$I,9,FALSE)</f>
        <v>11.5</v>
      </c>
    </row>
    <row r="160" spans="1:19" ht="409.6" thickBot="1" x14ac:dyDescent="0.2">
      <c r="A160" s="65">
        <f t="shared" si="5"/>
        <v>158</v>
      </c>
      <c r="B160" s="71" t="s">
        <v>325</v>
      </c>
      <c r="C160" s="72" t="str">
        <f>VLOOKUP(B160,'HECVAT - Full'!A:E,2,FALSE)</f>
        <v>Do you monitor for intrusions on a 24x7x365 basis?</v>
      </c>
      <c r="D160" s="65" t="str">
        <f>VLOOKUP(B160,'HECVAT - Full'!A:E,4,FALSE)</f>
        <v xml:space="preserve">AWS's built-in threat monitoring is always active. Portfolium also utilizes Cobalt for frequent penetration testing and security monitoring. CloudFlare is the industry leader in the public intrusion space and constantly and consistently audits Portfolium public traffic.
</v>
      </c>
      <c r="E160" s="73" t="b">
        <f>IF(Table1[[#This Row],[Column11]]&gt;20,TRUE,FALSE)</f>
        <v>0</v>
      </c>
      <c r="F160" s="73" t="s">
        <v>2037</v>
      </c>
      <c r="G160" s="74" t="s">
        <v>17</v>
      </c>
      <c r="H160" s="75">
        <v>1</v>
      </c>
      <c r="I160" s="65" t="str">
        <f>VLOOKUP(B160,'HECVAT - Full'!A:E,3,FALSE)</f>
        <v>Yes</v>
      </c>
      <c r="J160" s="65">
        <f>IF(Table1[[#This Row],[Column7]]=Table1[[#This Row],[Column9]],1,0)</f>
        <v>1</v>
      </c>
      <c r="K160" s="65">
        <f>IF(Table1[[#This Row],[Column8]]=1,15,"")</f>
        <v>15</v>
      </c>
      <c r="L160" s="65">
        <f>IF(Table1[[#This Row],[Column8]]=1,J160*K160,"")</f>
        <v>15</v>
      </c>
      <c r="M160" s="66" t="str">
        <f>VLOOKUP($B160,'Standards Crosswalk'!$A:$H,3,FALSE)</f>
        <v>CSC 19</v>
      </c>
      <c r="N160" s="66">
        <f>VLOOKUP($B160,'Standards Crosswalk'!$A:$H,4,FALSE)</f>
        <v>0</v>
      </c>
      <c r="O160" s="66" t="str">
        <f>VLOOKUP($B160,'Standards Crosswalk'!$A:$H,5,FALSE)</f>
        <v>12.4.1</v>
      </c>
      <c r="P160" s="66" t="str">
        <f>VLOOKUP($B160,'Standards Crosswalk'!$A:$H,6,FALSE)</f>
        <v>DE.CM-1, DE.CM-2, DE.CM-7</v>
      </c>
      <c r="Q160" s="66" t="str">
        <f>VLOOKUP($B160,'Standards Crosswalk'!$A:$H,7,FALSE)</f>
        <v>3.6.1, 3.14.6, 3.14.7</v>
      </c>
      <c r="R160" s="66" t="str">
        <f>VLOOKUP($B160,'Standards Crosswalk'!$A:$H,8,FALSE)</f>
        <v>IR-2, IR-4, IR-5</v>
      </c>
      <c r="S160" s="66">
        <f>VLOOKUP($B160,'Standards Crosswalk'!$A:$I,9,FALSE)</f>
        <v>11.4</v>
      </c>
    </row>
    <row r="161" spans="1:19" ht="409.6" thickBot="1" x14ac:dyDescent="0.2">
      <c r="A161" s="65">
        <f t="shared" si="5"/>
        <v>159</v>
      </c>
      <c r="B161" s="71" t="s">
        <v>326</v>
      </c>
      <c r="C161" s="72" t="str">
        <f>VLOOKUP(B161,'HECVAT - Full'!A:E,2,FALSE)</f>
        <v>Is intrusion monitoring performed internally or by a third-party service?</v>
      </c>
      <c r="D161" s="65">
        <f>VLOOKUP(B161,'HECVAT - Full'!A:E,4,FALSE)</f>
        <v>0</v>
      </c>
      <c r="E161" s="73" t="b">
        <f>IF(Table1[[#This Row],[Column11]]&gt;20,TRUE,FALSE)</f>
        <v>0</v>
      </c>
      <c r="F161" s="73" t="s">
        <v>2037</v>
      </c>
      <c r="G161" s="74" t="s">
        <v>17</v>
      </c>
      <c r="H161" s="75">
        <f>IF(I160="Yes",1,0)</f>
        <v>1</v>
      </c>
      <c r="I161" s="65" t="str">
        <f>VLOOKUP(B161,'HECVAT - Full'!A:E,3,FALSE)</f>
        <v xml:space="preserve">Network layer monitoring is provided by AWS. Software layer monitoring is provided by Portfolium. Public intrusion monitoring is performed via CloudFlare.
</v>
      </c>
      <c r="J161" s="65">
        <f>IF(VLOOKUP(Table1[[#This Row],[Column2]],'Analyst Report'!$A$41:$G$88,7,FALSE)="Yes",1,0)</f>
        <v>0</v>
      </c>
      <c r="K161" s="65">
        <f>IF(Table1[[#This Row],[Column8]]=1,20,"")</f>
        <v>20</v>
      </c>
      <c r="L161" s="65">
        <f>IF(Table1[[#This Row],[Column8]]=1,J161*K161,"")</f>
        <v>0</v>
      </c>
      <c r="M161" s="66" t="str">
        <f>VLOOKUP($B161,'Standards Crosswalk'!$A:$H,3,FALSE)</f>
        <v>CSC 6, CSC 19</v>
      </c>
      <c r="N161" s="66">
        <f>VLOOKUP($B161,'Standards Crosswalk'!$A:$H,4,FALSE)</f>
        <v>0</v>
      </c>
      <c r="O161" s="66" t="str">
        <f>VLOOKUP($B161,'Standards Crosswalk'!$A:$H,5,FALSE)</f>
        <v>12.4.1</v>
      </c>
      <c r="P161" s="66" t="str">
        <f>VLOOKUP($B161,'Standards Crosswalk'!$A:$H,6,FALSE)</f>
        <v>DE.CM-1, DE.CM-2, DE.CM-7</v>
      </c>
      <c r="Q161" s="66" t="str">
        <f>VLOOKUP($B161,'Standards Crosswalk'!$A:$H,7,FALSE)</f>
        <v>3.6.1, 3.14.6, 3.14.7</v>
      </c>
      <c r="R161" s="66" t="str">
        <f>VLOOKUP($B161,'Standards Crosswalk'!$A:$H,8,FALSE)</f>
        <v>IR-2, IR-4, IR-5</v>
      </c>
      <c r="S161" s="66" t="str">
        <f>VLOOKUP($B161,'Standards Crosswalk'!$A:$I,9,FALSE)</f>
        <v>11.4, 12.8</v>
      </c>
    </row>
    <row r="162" spans="1:19" ht="409.6" thickBot="1" x14ac:dyDescent="0.2">
      <c r="A162" s="65">
        <f t="shared" si="5"/>
        <v>160</v>
      </c>
      <c r="B162" s="71" t="s">
        <v>327</v>
      </c>
      <c r="C162" s="72" t="str">
        <f>VLOOKUP(B162,'HECVAT - Full'!A:E,2,FALSE)</f>
        <v>Are audit logs available for all changes to the network, firewall, IDS, and IPS systems?</v>
      </c>
      <c r="D162" s="65" t="str">
        <f>VLOOKUP(B162,'HECVAT - Full'!A:E,4,FALSE)</f>
        <v xml:space="preserve">Audit logs of any modifications to network, firewall, IDS/IPS, etc. are maintained and stored in version control. Logs are available to Portfolium's internal security team for investigative purposes when needed.
</v>
      </c>
      <c r="E162" s="73" t="b">
        <f>IF(Table1[[#This Row],[Column11]]&gt;20,TRUE,FALSE)</f>
        <v>1</v>
      </c>
      <c r="F162" s="73" t="s">
        <v>2037</v>
      </c>
      <c r="G162" s="74" t="s">
        <v>17</v>
      </c>
      <c r="H162" s="75">
        <v>1</v>
      </c>
      <c r="I162" s="65" t="str">
        <f>VLOOKUP(B162,'HECVAT - Full'!A:E,3,FALSE)</f>
        <v>Yes</v>
      </c>
      <c r="J162" s="65">
        <f>IF(Table1[[#This Row],[Column7]]=Table1[[#This Row],[Column9]],1,0)</f>
        <v>1</v>
      </c>
      <c r="K162" s="65">
        <f>IF(Table1[[#This Row],[Column8]]=1,25,"")</f>
        <v>25</v>
      </c>
      <c r="L162" s="65">
        <f>IF(Table1[[#This Row],[Column8]]=1,J162*K162,"")</f>
        <v>25</v>
      </c>
      <c r="M162" s="66" t="str">
        <f>VLOOKUP($B162,'Standards Crosswalk'!$A:$H,3,FALSE)</f>
        <v>CSC 6</v>
      </c>
      <c r="N162" s="66">
        <f>VLOOKUP($B162,'Standards Crosswalk'!$A:$H,4,FALSE)</f>
        <v>0</v>
      </c>
      <c r="O162" s="66" t="str">
        <f>VLOOKUP($B162,'Standards Crosswalk'!$A:$H,5,FALSE)</f>
        <v>12.4.1</v>
      </c>
      <c r="P162" s="66" t="str">
        <f>VLOOKUP($B162,'Standards Crosswalk'!$A:$H,6,FALSE)</f>
        <v>DE.AE-1, DE.CM-1, PR.PT-4</v>
      </c>
      <c r="Q162" s="66" t="str">
        <f>VLOOKUP($B162,'Standards Crosswalk'!$A:$H,7,FALSE)</f>
        <v>3.3.1</v>
      </c>
      <c r="R162" s="66" t="str">
        <f>VLOOKUP($B162,'Standards Crosswalk'!$A:$H,8,FALSE)</f>
        <v>AU-2</v>
      </c>
      <c r="S162" s="66" t="str">
        <f>VLOOKUP($B162,'Standards Crosswalk'!$A:$I,9,FALSE)</f>
        <v>1.1, 10.8, 10.6, 10.3, 10.2, 11.4</v>
      </c>
    </row>
    <row r="163" spans="1:19" ht="315" thickBot="1" x14ac:dyDescent="0.2">
      <c r="A163" s="65">
        <f t="shared" si="5"/>
        <v>161</v>
      </c>
      <c r="B163" s="71" t="s">
        <v>328</v>
      </c>
      <c r="C163" s="72" t="str">
        <f>VLOOKUP(B163,'HECVAT - Full'!A:E,2,FALSE)</f>
        <v>On which mobile operating systems is your software or service supported?</v>
      </c>
      <c r="D163" s="65">
        <f>VLOOKUP(B163,'HECVAT - Full'!A:E,4,FALSE)</f>
        <v>0</v>
      </c>
      <c r="E163" s="73" t="b">
        <f>IF(Table1[[#This Row],[Column11]]&gt;20,TRUE,FALSE)</f>
        <v>0</v>
      </c>
      <c r="F163" s="73" t="s">
        <v>2038</v>
      </c>
      <c r="G163" s="74" t="s">
        <v>17</v>
      </c>
      <c r="H163" s="75">
        <v>1</v>
      </c>
      <c r="I163" s="65" t="str">
        <f>VLOOKUP(B163,'HECVAT - Full'!A:E,3,FALSE)</f>
        <v xml:space="preserve">Any OS that is capable of running a supported browser can be used.
</v>
      </c>
      <c r="J163" s="65">
        <f>IF(VLOOKUP(Table1[[#This Row],[Column2]],'Analyst Report'!$A$41:$G$88,7,FALSE)="Yes",1,0)</f>
        <v>0</v>
      </c>
      <c r="K163" s="65">
        <f>IF(Table1[[#This Row],[Column8]]=1,15,"")</f>
        <v>15</v>
      </c>
      <c r="L163" s="65">
        <f>IF(Table1[[#This Row],[Column8]]=1,J163*K163,"")</f>
        <v>0</v>
      </c>
      <c r="M163" s="66" t="str">
        <f>VLOOKUP($B163,'Standards Crosswalk'!$A:$H,3,FALSE)</f>
        <v>CSC 18</v>
      </c>
      <c r="N163" s="66">
        <f>VLOOKUP($B163,'Standards Crosswalk'!$A:$H,4,FALSE)</f>
        <v>0</v>
      </c>
      <c r="O163" s="66">
        <f>VLOOKUP($B163,'Standards Crosswalk'!$A:$H,5,FALSE)</f>
        <v>0</v>
      </c>
      <c r="P163" s="66">
        <f>VLOOKUP($B163,'Standards Crosswalk'!$A:$H,6,FALSE)</f>
        <v>0</v>
      </c>
      <c r="Q163" s="66">
        <f>VLOOKUP($B163,'Standards Crosswalk'!$A:$H,7,FALSE)</f>
        <v>0</v>
      </c>
      <c r="R163" s="66">
        <f>VLOOKUP($B163,'Standards Crosswalk'!$A:$H,8,FALSE)</f>
        <v>0</v>
      </c>
      <c r="S163" s="66">
        <f>VLOOKUP($B163,'Standards Crosswalk'!$A:$I,9,FALSE)</f>
        <v>0</v>
      </c>
    </row>
    <row r="164" spans="1:19" ht="409.6" thickBot="1" x14ac:dyDescent="0.2">
      <c r="A164" s="65">
        <f t="shared" si="5"/>
        <v>162</v>
      </c>
      <c r="B164" s="71" t="s">
        <v>329</v>
      </c>
      <c r="C164" s="72" t="str">
        <f>VLOOKUP(B164,'HECVAT - Full'!A:E,2,FALSE)</f>
        <v>Describe or provide a reference to the application's architecture and functionality.</v>
      </c>
      <c r="D164" s="65">
        <f>VLOOKUP(B164,'HECVAT - Full'!A:E,4,FALSE)</f>
        <v>0</v>
      </c>
      <c r="E164" s="73" t="b">
        <f>IF(Table1[[#This Row],[Column11]]&gt;20,TRUE,FALSE)</f>
        <v>0</v>
      </c>
      <c r="F164" s="73" t="s">
        <v>2038</v>
      </c>
      <c r="G164" s="74" t="s">
        <v>17</v>
      </c>
      <c r="H164" s="75">
        <v>1</v>
      </c>
      <c r="I164" s="65" t="str">
        <f>VLOOKUP(B164,'HECVAT - Full'!A:E,3,FALSE)</f>
        <v xml:space="preserve">Portfolium provides a fully mobile-responsive website and a native iOS app. The Portolium iOS app allows you access to its features from the web, including: capturing and uploading work and projects in an organized portfolio; connecting with like-minded doers, thinkers, and employers looking for great talent; browsing and discovering the work and projects of others across all fields of study; sending private invitations to family, friends and classmates to be instantly connected; and searching the network of connections to view their showcased work.﻿
</v>
      </c>
      <c r="J164" s="65">
        <f>IF(VLOOKUP(Table1[[#This Row],[Column2]],'Analyst Report'!$A$41:$G$88,7,FALSE)="Yes",1,0)</f>
        <v>0</v>
      </c>
      <c r="K164" s="65">
        <f>IF(Table1[[#This Row],[Column8]]=1,20,"")</f>
        <v>20</v>
      </c>
      <c r="L164" s="65">
        <f>IF(Table1[[#This Row],[Column8]]=1,J164*K164,"")</f>
        <v>0</v>
      </c>
      <c r="M164" s="66" t="str">
        <f>VLOOKUP($B164,'Standards Crosswalk'!$A:$H,3,FALSE)</f>
        <v>CSC 3</v>
      </c>
      <c r="N164" s="66">
        <f>VLOOKUP($B164,'Standards Crosswalk'!$A:$H,4,FALSE)</f>
        <v>0</v>
      </c>
      <c r="O164" s="66">
        <f>VLOOKUP($B164,'Standards Crosswalk'!$A:$H,5,FALSE)</f>
        <v>0</v>
      </c>
      <c r="P164" s="66" t="str">
        <f>VLOOKUP($B164,'Standards Crosswalk'!$A:$H,6,FALSE)</f>
        <v>DE.CM-7</v>
      </c>
      <c r="Q164" s="66">
        <f>VLOOKUP($B164,'Standards Crosswalk'!$A:$H,7,FALSE)</f>
        <v>0</v>
      </c>
      <c r="R164" s="66">
        <f>VLOOKUP($B164,'Standards Crosswalk'!$A:$H,8,FALSE)</f>
        <v>0</v>
      </c>
      <c r="S164" s="66">
        <f>VLOOKUP($B164,'Standards Crosswalk'!$A:$I,9,FALSE)</f>
        <v>0</v>
      </c>
    </row>
    <row r="165" spans="1:19" ht="226" thickBot="1" x14ac:dyDescent="0.2">
      <c r="A165" s="65">
        <f t="shared" si="5"/>
        <v>163</v>
      </c>
      <c r="B165" s="71" t="s">
        <v>330</v>
      </c>
      <c r="C165" s="72" t="str">
        <f>VLOOKUP(B165,'HECVAT - Full'!A:E,2,FALSE)</f>
        <v>Is the application available from a trusted source (e.g., iTunes App Store, Android Market, BB World)?</v>
      </c>
      <c r="D165" s="65" t="str">
        <f>VLOOKUP(B165,'HECVAT - Full'!A:E,4,FALSE)</f>
        <v xml:space="preserve">Mobile applications are available in the Google Play Store and Apple's App Store.
</v>
      </c>
      <c r="E165" s="73" t="b">
        <f>IF(Table1[[#This Row],[Column11]]&gt;20,TRUE,FALSE)</f>
        <v>1</v>
      </c>
      <c r="F165" s="73" t="s">
        <v>2038</v>
      </c>
      <c r="G165" s="74" t="s">
        <v>17</v>
      </c>
      <c r="H165" s="75">
        <v>1</v>
      </c>
      <c r="I165" s="65" t="str">
        <f>VLOOKUP(B165,'HECVAT - Full'!A:E,3,FALSE)</f>
        <v>Yes</v>
      </c>
      <c r="J165" s="65">
        <f>IF(Table1[[#This Row],[Column7]]=Table1[[#This Row],[Column9]],1,0)</f>
        <v>1</v>
      </c>
      <c r="K165" s="65">
        <f>IF(Table1[[#This Row],[Column8]]=1,25,"")</f>
        <v>25</v>
      </c>
      <c r="L165" s="65">
        <f>IF(Table1[[#This Row],[Column8]]=1,J165*K165,"")</f>
        <v>25</v>
      </c>
      <c r="M165" s="66" t="str">
        <f>VLOOKUP($B165,'Standards Crosswalk'!$A:$H,3,FALSE)</f>
        <v>CSC 18</v>
      </c>
      <c r="N165" s="66">
        <f>VLOOKUP($B165,'Standards Crosswalk'!$A:$H,4,FALSE)</f>
        <v>0</v>
      </c>
      <c r="O165" s="66">
        <f>VLOOKUP($B165,'Standards Crosswalk'!$A:$H,5,FALSE)</f>
        <v>0</v>
      </c>
      <c r="P165" s="66" t="str">
        <f>VLOOKUP($B165,'Standards Crosswalk'!$A:$H,6,FALSE)</f>
        <v>DE.CM-7</v>
      </c>
      <c r="Q165" s="66">
        <f>VLOOKUP($B165,'Standards Crosswalk'!$A:$H,7,FALSE)</f>
        <v>0</v>
      </c>
      <c r="R165" s="66">
        <f>VLOOKUP($B165,'Standards Crosswalk'!$A:$H,8,FALSE)</f>
        <v>0</v>
      </c>
      <c r="S165" s="66">
        <f>VLOOKUP($B165,'Standards Crosswalk'!$A:$I,9,FALSE)</f>
        <v>0</v>
      </c>
    </row>
    <row r="166" spans="1:19" ht="409.6" thickBot="1" x14ac:dyDescent="0.2">
      <c r="A166" s="65">
        <f t="shared" si="5"/>
        <v>164</v>
      </c>
      <c r="B166" s="71" t="s">
        <v>331</v>
      </c>
      <c r="C166" s="72" t="str">
        <f>VLOOKUP(B166,'HECVAT - Full'!A:E,2,FALSE)</f>
        <v>Does the application store, process, or transmit critical data?</v>
      </c>
      <c r="D166" s="65" t="str">
        <f>VLOOKUP(B166,'HECVAT - Full'!A:E,4,FALSE)</f>
        <v xml:space="preserve">Portfolium stores and processes limited critical data. The only requirement to access and use Portfolium is an email address and birthdate (required through public account creation only to ensure compliance with COPPA regulations). Other optional data that can be entered into Portfolium by a user or institution includes: name, birthday, phone number, gender, and race (school provided only).
Portfolium has securities in place to ensure the protection of user data. These protections are outlined throughout this document.
</v>
      </c>
      <c r="E166" s="73" t="b">
        <f>IF(Table1[[#This Row],[Column11]]&gt;20,TRUE,FALSE)</f>
        <v>0</v>
      </c>
      <c r="F166" s="73" t="s">
        <v>2038</v>
      </c>
      <c r="G166" s="74" t="s">
        <v>20</v>
      </c>
      <c r="H166" s="75">
        <v>1</v>
      </c>
      <c r="I166" s="65" t="str">
        <f>VLOOKUP(B166,'HECVAT - Full'!A:E,3,FALSE)</f>
        <v>Yes</v>
      </c>
      <c r="J166" s="65">
        <f>IF(Table1[[#This Row],[Column7]]=Table1[[#This Row],[Column9]],1,0)</f>
        <v>0</v>
      </c>
      <c r="K166" s="65">
        <f>IF(Table1[[#This Row],[Column8]]=1,20,"")</f>
        <v>20</v>
      </c>
      <c r="L166" s="65">
        <f>IF(Table1[[#This Row],[Column8]]=1,J166*K166,"")</f>
        <v>0</v>
      </c>
      <c r="M166" s="66" t="str">
        <f>VLOOKUP($B166,'Standards Crosswalk'!$A:$H,3,FALSE)</f>
        <v>CSC 13, CSC 18</v>
      </c>
      <c r="N166" s="66">
        <f>VLOOKUP($B166,'Standards Crosswalk'!$A:$H,4,FALSE)</f>
        <v>0</v>
      </c>
      <c r="O166" s="66" t="str">
        <f>VLOOKUP($B166,'Standards Crosswalk'!$A:$H,5,FALSE)</f>
        <v>8.2.1; 8.2.3</v>
      </c>
      <c r="P166" s="66" t="str">
        <f>VLOOKUP($B166,'Standards Crosswalk'!$A:$H,6,FALSE)</f>
        <v>DE.CM-7, PR.DS-2</v>
      </c>
      <c r="Q166" s="66">
        <f>VLOOKUP($B166,'Standards Crosswalk'!$A:$H,7,FALSE)</f>
        <v>0</v>
      </c>
      <c r="R166" s="66">
        <f>VLOOKUP($B166,'Standards Crosswalk'!$A:$H,8,FALSE)</f>
        <v>0</v>
      </c>
      <c r="S166" s="66">
        <f>VLOOKUP($B166,'Standards Crosswalk'!$A:$I,9,FALSE)</f>
        <v>0</v>
      </c>
    </row>
    <row r="167" spans="1:19" ht="256" thickBot="1" x14ac:dyDescent="0.2">
      <c r="A167" s="65">
        <f t="shared" si="5"/>
        <v>165</v>
      </c>
      <c r="B167" s="71" t="s">
        <v>332</v>
      </c>
      <c r="C167" s="72" t="str">
        <f>VLOOKUP(B167,'HECVAT - Full'!A:E,2,FALSE)</f>
        <v>Is Institution's data encrypted in transport?</v>
      </c>
      <c r="D167" s="65" t="str">
        <f>VLOOKUP(B167,'HECVAT - Full'!A:E,4,FALSE)</f>
        <v xml:space="preserve">Everything in transit is encrypted over HTTPS with an SSL cert using the TLS v1.2 standards. 
</v>
      </c>
      <c r="E167" s="73" t="b">
        <f>IF(Table1[[#This Row],[Column11]]&gt;20,TRUE,FALSE)</f>
        <v>1</v>
      </c>
      <c r="F167" s="73" t="s">
        <v>2038</v>
      </c>
      <c r="G167" s="74" t="s">
        <v>17</v>
      </c>
      <c r="H167" s="75">
        <v>1</v>
      </c>
      <c r="I167" s="65" t="str">
        <f>VLOOKUP(B167,'HECVAT - Full'!A:E,3,FALSE)</f>
        <v>Yes</v>
      </c>
      <c r="J167" s="65">
        <f>IF(Table1[[#This Row],[Column7]]=Table1[[#This Row],[Column9]],1,0)</f>
        <v>1</v>
      </c>
      <c r="K167" s="65">
        <f>IF(Table1[[#This Row],[Column8]]=1,25,"")</f>
        <v>25</v>
      </c>
      <c r="L167" s="65">
        <f>IF(Table1[[#This Row],[Column8]]=1,J167*K167,"")</f>
        <v>25</v>
      </c>
      <c r="M167" s="66" t="str">
        <f>VLOOKUP($B167,'Standards Crosswalk'!$A:$H,3,FALSE)</f>
        <v>CSC 13</v>
      </c>
      <c r="N167" s="66">
        <f>VLOOKUP($B167,'Standards Crosswalk'!$A:$H,4,FALSE)</f>
        <v>0</v>
      </c>
      <c r="O167" s="66" t="str">
        <f>VLOOKUP($B167,'Standards Crosswalk'!$A:$H,5,FALSE)</f>
        <v>8.2.3</v>
      </c>
      <c r="P167" s="66" t="str">
        <f>VLOOKUP($B167,'Standards Crosswalk'!$A:$H,6,FALSE)</f>
        <v>DE.CM-7, PR.DS-2</v>
      </c>
      <c r="Q167" s="66" t="str">
        <f>VLOOKUP($B167,'Standards Crosswalk'!$A:$H,7,FALSE)</f>
        <v>3.1.19</v>
      </c>
      <c r="R167" s="66" t="str">
        <f>VLOOKUP($B167,'Standards Crosswalk'!$A:$H,8,FALSE)</f>
        <v>AC-19(5)</v>
      </c>
      <c r="S167" s="66">
        <f>VLOOKUP($B167,'Standards Crosswalk'!$A:$I,9,FALSE)</f>
        <v>4.0999999999999996</v>
      </c>
    </row>
    <row r="168" spans="1:19" ht="409.6" thickBot="1" x14ac:dyDescent="0.2">
      <c r="A168" s="65">
        <f t="shared" si="5"/>
        <v>166</v>
      </c>
      <c r="B168" s="71" t="s">
        <v>333</v>
      </c>
      <c r="C168" s="72" t="str">
        <f>VLOOKUP(B168,'HECVAT - Full'!A:E,2,FALSE)</f>
        <v>Is Institution's data encrypted in storage? (e.g. disk encryption, at-rest)</v>
      </c>
      <c r="D168" s="65" t="str">
        <f>VLOOKUP(B168,'HECVAT - Full'!A:E,4,FALSE)</f>
        <v xml:space="preserve">The only sensitive data stored by Portfolium is passwords which are salted and one way hashed. Data at rest is further encrypted on disk as stated within this document.
</v>
      </c>
      <c r="E168" s="73" t="b">
        <f>IF(Table1[[#This Row],[Column11]]&gt;20,TRUE,FALSE)</f>
        <v>1</v>
      </c>
      <c r="F168" s="73" t="s">
        <v>2038</v>
      </c>
      <c r="G168" s="74" t="s">
        <v>17</v>
      </c>
      <c r="H168" s="75">
        <v>1</v>
      </c>
      <c r="I168" s="65" t="str">
        <f>VLOOKUP(B168,'HECVAT - Full'!A:E,3,FALSE)</f>
        <v>Yes</v>
      </c>
      <c r="J168" s="65">
        <f>IF(Table1[[#This Row],[Column7]]=Table1[[#This Row],[Column9]],1,0)</f>
        <v>1</v>
      </c>
      <c r="K168" s="65">
        <f>IF(Table1[[#This Row],[Column8]]=1,40,"")</f>
        <v>40</v>
      </c>
      <c r="L168" s="65">
        <f>IF(Table1[[#This Row],[Column8]]=1,J168*K168,"")</f>
        <v>40</v>
      </c>
      <c r="M168" s="66" t="str">
        <f>VLOOKUP($B168,'Standards Crosswalk'!$A:$H,3,FALSE)</f>
        <v>CSC 14</v>
      </c>
      <c r="N168" s="66">
        <f>VLOOKUP($B168,'Standards Crosswalk'!$A:$H,4,FALSE)</f>
        <v>0</v>
      </c>
      <c r="O168" s="66" t="str">
        <f>VLOOKUP($B168,'Standards Crosswalk'!$A:$H,5,FALSE)</f>
        <v>8.2.3</v>
      </c>
      <c r="P168" s="66" t="str">
        <f>VLOOKUP($B168,'Standards Crosswalk'!$A:$H,6,FALSE)</f>
        <v>DE.CM-7, PR.DS-1</v>
      </c>
      <c r="Q168" s="66">
        <f>VLOOKUP($B168,'Standards Crosswalk'!$A:$H,7,FALSE)</f>
        <v>0</v>
      </c>
      <c r="R168" s="66">
        <f>VLOOKUP($B168,'Standards Crosswalk'!$A:$H,8,FALSE)</f>
        <v>0</v>
      </c>
      <c r="S168" s="66">
        <f>VLOOKUP($B168,'Standards Crosswalk'!$A:$I,9,FALSE)</f>
        <v>0</v>
      </c>
    </row>
    <row r="169" spans="1:19" ht="343" thickBot="1" x14ac:dyDescent="0.2">
      <c r="A169" s="65">
        <f t="shared" si="5"/>
        <v>167</v>
      </c>
      <c r="B169" s="71" t="s">
        <v>334</v>
      </c>
      <c r="C169" s="72" t="str">
        <f>VLOOKUP(B169,'HECVAT - Full'!A:E,2,FALSE)</f>
        <v>Does the mobile application support Kerberos, CAS, or Active Directory authentication?</v>
      </c>
      <c r="D169" s="65" t="str">
        <f>VLOOKUP(B169,'HECVAT - Full'!A:E,4,FALSE)</f>
        <v xml:space="preserve">Users authenticate against Portfolium's built-in authentication or through an integrated identity provider (e.g. CAS, AD, LDAP, SAML, etc.).
</v>
      </c>
      <c r="E169" s="73" t="b">
        <f>IF(Table1[[#This Row],[Column11]]&gt;20,TRUE,FALSE)</f>
        <v>1</v>
      </c>
      <c r="F169" s="73" t="s">
        <v>2038</v>
      </c>
      <c r="G169" s="74" t="s">
        <v>17</v>
      </c>
      <c r="H169" s="75">
        <v>1</v>
      </c>
      <c r="I169" s="65" t="str">
        <f>VLOOKUP(B169,'HECVAT - Full'!A:E,3,FALSE)</f>
        <v>Yes</v>
      </c>
      <c r="J169" s="65">
        <f>IF(Table1[[#This Row],[Column7]]=Table1[[#This Row],[Column9]],1,0)</f>
        <v>1</v>
      </c>
      <c r="K169" s="65">
        <f>IF(Table1[[#This Row],[Column8]]=1,25,"")</f>
        <v>25</v>
      </c>
      <c r="L169" s="65">
        <f>IF(Table1[[#This Row],[Column8]]=1,J169*K169,"")</f>
        <v>25</v>
      </c>
      <c r="M169" s="66" t="str">
        <f>VLOOKUP($B169,'Standards Crosswalk'!$A:$H,3,FALSE)</f>
        <v>CSC 16</v>
      </c>
      <c r="N169" s="66">
        <f>VLOOKUP($B169,'Standards Crosswalk'!$A:$H,4,FALSE)</f>
        <v>0</v>
      </c>
      <c r="O169" s="66" t="str">
        <f>VLOOKUP($B169,'Standards Crosswalk'!$A:$H,5,FALSE)</f>
        <v>9.4.2</v>
      </c>
      <c r="P169" s="66">
        <f>VLOOKUP($B169,'Standards Crosswalk'!$A:$H,6,FALSE)</f>
        <v>0</v>
      </c>
      <c r="Q169" s="66">
        <f>VLOOKUP($B169,'Standards Crosswalk'!$A:$H,7,FALSE)</f>
        <v>0</v>
      </c>
      <c r="R169" s="66">
        <f>VLOOKUP($B169,'Standards Crosswalk'!$A:$H,8,FALSE)</f>
        <v>0</v>
      </c>
      <c r="S169" s="66">
        <f>VLOOKUP($B169,'Standards Crosswalk'!$A:$I,9,FALSE)</f>
        <v>0</v>
      </c>
    </row>
    <row r="170" spans="1:19" ht="409.6" thickBot="1" x14ac:dyDescent="0.2">
      <c r="A170" s="65">
        <f t="shared" si="5"/>
        <v>168</v>
      </c>
      <c r="B170" s="71" t="s">
        <v>335</v>
      </c>
      <c r="C170" s="72" t="str">
        <f>VLOOKUP(B170,'HECVAT - Full'!A:E,2,FALSE)</f>
        <v>Will any of these systems be implemented on systems hosting the Institution's data?</v>
      </c>
      <c r="D170" s="65" t="str">
        <f>VLOOKUP(B170,'HECVAT - Full'!A:E,4,FALSE)</f>
        <v xml:space="preserve">If referring to authentication systems, identity providers (excluding Portfolium's internal authentication service) such as CAS or Active Directory are hosted on systems external from the Portfolium application and are managed by each client organization.
If referring to the mobile application, Portfolium's mobile app is a multi-tenant system meaning users will only have to download a single app that is shared among all Portfolium clients. Data is logically segmented via Portfolium's architecture and users will only have access to content based on their roles, permissions, and environment.
</v>
      </c>
      <c r="E170" s="73" t="b">
        <f>IF(Table1[[#This Row],[Column11]]&gt;20,TRUE,FALSE)</f>
        <v>0</v>
      </c>
      <c r="F170" s="73" t="s">
        <v>2038</v>
      </c>
      <c r="G170" s="74" t="s">
        <v>17</v>
      </c>
      <c r="H170" s="75">
        <v>1</v>
      </c>
      <c r="I170" s="65" t="str">
        <f>VLOOKUP(B170,'HECVAT - Full'!A:E,3,FALSE)</f>
        <v>No</v>
      </c>
      <c r="J170" s="65">
        <f>IF(VLOOKUP(Table1[[#This Row],[Column2]],'Analyst Report'!$A$41:$G$88,7,FALSE)="Yes",1,0)</f>
        <v>0</v>
      </c>
      <c r="K170" s="65">
        <f>IF(Table1[[#This Row],[Column8]]=1,20,"")</f>
        <v>20</v>
      </c>
      <c r="L170" s="65">
        <f>IF(Table1[[#This Row],[Column8]]=1,J170*K170,"")</f>
        <v>0</v>
      </c>
      <c r="M170" s="66" t="str">
        <f>VLOOKUP($B170,'Standards Crosswalk'!$A:$H,3,FALSE)</f>
        <v>CSC 16</v>
      </c>
      <c r="N170" s="66">
        <f>VLOOKUP($B170,'Standards Crosswalk'!$A:$H,4,FALSE)</f>
        <v>0</v>
      </c>
      <c r="O170" s="66">
        <f>VLOOKUP($B170,'Standards Crosswalk'!$A:$H,5,FALSE)</f>
        <v>0</v>
      </c>
      <c r="P170" s="66">
        <f>VLOOKUP($B170,'Standards Crosswalk'!$A:$H,6,FALSE)</f>
        <v>0</v>
      </c>
      <c r="Q170" s="66">
        <f>VLOOKUP($B170,'Standards Crosswalk'!$A:$H,7,FALSE)</f>
        <v>0</v>
      </c>
      <c r="R170" s="66">
        <f>VLOOKUP($B170,'Standards Crosswalk'!$A:$H,8,FALSE)</f>
        <v>0</v>
      </c>
      <c r="S170" s="66">
        <f>VLOOKUP($B170,'Standards Crosswalk'!$A:$I,9,FALSE)</f>
        <v>0</v>
      </c>
    </row>
    <row r="171" spans="1:19" ht="409.6" thickBot="1" x14ac:dyDescent="0.2">
      <c r="A171" s="65">
        <f t="shared" si="5"/>
        <v>169</v>
      </c>
      <c r="B171" s="71" t="s">
        <v>336</v>
      </c>
      <c r="C171" s="72" t="str">
        <f>VLOOKUP(B171,'HECVAT - Full'!A:E,2,FALSE)</f>
        <v>Does the application adhere to secure coding practices (e.g. OWASP, etc.)?</v>
      </c>
      <c r="D171" s="65" t="str">
        <f>VLOOKUP(B171,'HECVAT - Full'!A:E,4,FALSE)</f>
        <v xml:space="preserve">The Portfolium stack is hosted within AWS and adheres to all security and protocols protected therein. Portfolium software is developed with strict security in mind and utilizes various techniques and procedures to maintain a safe environment, ie; CSRF, XSS Filtering, ActiveRecord sanitization; all servers and instances are mirrored from AWS images which have been validated for security and the latest patches. All code developed by Portfolium developers is Reviewed and spun through a complete CI/CD pipeline for adherence before being posted to Quality Assurance.
</v>
      </c>
      <c r="E171" s="73" t="b">
        <f>IF(Table1[[#This Row],[Column11]]&gt;20,TRUE,FALSE)</f>
        <v>1</v>
      </c>
      <c r="F171" s="73" t="s">
        <v>2038</v>
      </c>
      <c r="G171" s="74" t="s">
        <v>17</v>
      </c>
      <c r="H171" s="75">
        <v>1</v>
      </c>
      <c r="I171" s="65" t="str">
        <f>VLOOKUP(B171,'HECVAT - Full'!A:E,3,FALSE)</f>
        <v>Yes</v>
      </c>
      <c r="J171" s="65">
        <f>IF(Table1[[#This Row],[Column7]]=Table1[[#This Row],[Column9]],1,0)</f>
        <v>1</v>
      </c>
      <c r="K171" s="65">
        <f>IF(Table1[[#This Row],[Column8]]=1,25,"")</f>
        <v>25</v>
      </c>
      <c r="L171" s="65">
        <f>IF(Table1[[#This Row],[Column8]]=1,J171*K171,"")</f>
        <v>25</v>
      </c>
      <c r="M171" s="66" t="str">
        <f>VLOOKUP($B171,'Standards Crosswalk'!$A:$H,3,FALSE)</f>
        <v>CSC 18</v>
      </c>
      <c r="N171" s="66">
        <f>VLOOKUP($B171,'Standards Crosswalk'!$A:$H,4,FALSE)</f>
        <v>0</v>
      </c>
      <c r="O171" s="66" t="str">
        <f>VLOOKUP($B171,'Standards Crosswalk'!$A:$H,5,FALSE)</f>
        <v>14.2.1</v>
      </c>
      <c r="P171" s="66" t="str">
        <f>VLOOKUP($B171,'Standards Crosswalk'!$A:$H,6,FALSE)</f>
        <v>DE.CM-7</v>
      </c>
      <c r="Q171" s="66">
        <f>VLOOKUP($B171,'Standards Crosswalk'!$A:$H,7,FALSE)</f>
        <v>0</v>
      </c>
      <c r="R171" s="66">
        <f>VLOOKUP($B171,'Standards Crosswalk'!$A:$H,8,FALSE)</f>
        <v>0</v>
      </c>
      <c r="S171" s="66">
        <f>VLOOKUP($B171,'Standards Crosswalk'!$A:$I,9,FALSE)</f>
        <v>0</v>
      </c>
    </row>
    <row r="172" spans="1:19" ht="301" thickBot="1" x14ac:dyDescent="0.2">
      <c r="A172" s="65">
        <f t="shared" si="5"/>
        <v>170</v>
      </c>
      <c r="B172" s="71" t="s">
        <v>337</v>
      </c>
      <c r="C172" s="72" t="str">
        <f>VLOOKUP(B172,'HECVAT - Full'!A:E,2,FALSE)</f>
        <v>Has the application been tested for vulnerabilities by a third party?</v>
      </c>
      <c r="D172" s="65" t="str">
        <f>VLOOKUP(B172,'HECVAT - Full'!A:E,4,FALSE)</f>
        <v xml:space="preserve">Portfolium utilizes Cobalt for third-party testing. Results of the most recent test can be made available upon request.
</v>
      </c>
      <c r="E172" s="73" t="b">
        <f>IF(Table1[[#This Row],[Column11]]&gt;20,TRUE,FALSE)</f>
        <v>1</v>
      </c>
      <c r="F172" s="73" t="s">
        <v>2038</v>
      </c>
      <c r="G172" s="74" t="s">
        <v>17</v>
      </c>
      <c r="H172" s="75">
        <v>1</v>
      </c>
      <c r="I172" s="65" t="str">
        <f>VLOOKUP(B172,'HECVAT - Full'!A:E,3,FALSE)</f>
        <v>Yes</v>
      </c>
      <c r="J172" s="65">
        <f>IF(Table1[[#This Row],[Column7]]=Table1[[#This Row],[Column9]],1,0)</f>
        <v>1</v>
      </c>
      <c r="K172" s="65">
        <f>IF(Table1[[#This Row],[Column8]]=1,25,"")</f>
        <v>25</v>
      </c>
      <c r="L172" s="65">
        <f>IF(Table1[[#This Row],[Column8]]=1,J172*K172,"")</f>
        <v>25</v>
      </c>
      <c r="M172" s="66" t="str">
        <f>VLOOKUP($B172,'Standards Crosswalk'!$A:$H,3,FALSE)</f>
        <v>CSC 18</v>
      </c>
      <c r="N172" s="66">
        <f>VLOOKUP($B172,'Standards Crosswalk'!$A:$H,4,FALSE)</f>
        <v>0</v>
      </c>
      <c r="O172" s="66" t="str">
        <f>VLOOKUP($B172,'Standards Crosswalk'!$A:$H,5,FALSE)</f>
        <v>12.7.1, 18.2.1</v>
      </c>
      <c r="P172" s="66" t="str">
        <f>VLOOKUP($B172,'Standards Crosswalk'!$A:$H,6,FALSE)</f>
        <v>DE.CM-7, DE.CM-8, ID.RA-1</v>
      </c>
      <c r="Q172" s="66">
        <f>VLOOKUP($B172,'Standards Crosswalk'!$A:$H,7,FALSE)</f>
        <v>0</v>
      </c>
      <c r="R172" s="66">
        <f>VLOOKUP($B172,'Standards Crosswalk'!$A:$H,8,FALSE)</f>
        <v>0</v>
      </c>
      <c r="S172" s="66">
        <f>VLOOKUP($B172,'Standards Crosswalk'!$A:$I,9,FALSE)</f>
        <v>0</v>
      </c>
    </row>
    <row r="173" spans="1:19" ht="329" thickBot="1" x14ac:dyDescent="0.2">
      <c r="A173" s="65">
        <f t="shared" si="5"/>
        <v>171</v>
      </c>
      <c r="B173" s="71" t="s">
        <v>555</v>
      </c>
      <c r="C173" s="72" t="str">
        <f>VLOOKUP(B173,'HECVAT - Full'!A:E,2,FALSE)</f>
        <v>State the party that performed the vulnerability test and the date it was conducted?</v>
      </c>
      <c r="D173" s="65">
        <f>VLOOKUP(B173,'HECVAT - Full'!A:E,4,FALSE)</f>
        <v>0</v>
      </c>
      <c r="E173" s="73" t="b">
        <f>IF(Table1[[#This Row],[Column11]]&gt;20,TRUE,FALSE)</f>
        <v>1</v>
      </c>
      <c r="F173" s="73" t="s">
        <v>2038</v>
      </c>
      <c r="G173" s="74" t="s">
        <v>17</v>
      </c>
      <c r="H173" s="75">
        <v>1</v>
      </c>
      <c r="I173" s="65" t="str">
        <f>VLOOKUP(B173,'HECVAT - Full'!A:E,3,FALSE)</f>
        <v xml:space="preserve">The most recent penetration test was performed by cobalt.io in June of 2019.
</v>
      </c>
      <c r="J173" s="65">
        <f>IF(VLOOKUP(Table1[[#This Row],[Column2]],'Analyst Report'!$A$41:$G$88,7,FALSE)="Yes",1,0)</f>
        <v>0</v>
      </c>
      <c r="K173" s="65">
        <f>IF(Table1[[#This Row],[Column8]]=1,25,"")</f>
        <v>25</v>
      </c>
      <c r="L173" s="65">
        <f>IF(Table1[[#This Row],[Column8]]=1,J173*K173,"")</f>
        <v>0</v>
      </c>
      <c r="M173" s="66" t="str">
        <f>VLOOKUP($B173,'Standards Crosswalk'!$A:$H,3,FALSE)</f>
        <v>CSC 18</v>
      </c>
      <c r="N173" s="66">
        <f>VLOOKUP($B173,'Standards Crosswalk'!$A:$H,4,FALSE)</f>
        <v>0</v>
      </c>
      <c r="O173" s="66" t="str">
        <f>VLOOKUP($B173,'Standards Crosswalk'!$A:$H,5,FALSE)</f>
        <v>12.7.1, 18.2.1</v>
      </c>
      <c r="P173" s="66" t="str">
        <f>VLOOKUP($B173,'Standards Crosswalk'!$A:$H,6,FALSE)</f>
        <v>DE.CM-7, DE.CM-8, ID.RA-1</v>
      </c>
      <c r="Q173" s="66">
        <f>VLOOKUP($B173,'Standards Crosswalk'!$A:$H,7,FALSE)</f>
        <v>0</v>
      </c>
      <c r="R173" s="66">
        <f>VLOOKUP($B173,'Standards Crosswalk'!$A:$H,8,FALSE)</f>
        <v>0</v>
      </c>
      <c r="S173" s="66">
        <f>VLOOKUP($B173,'Standards Crosswalk'!$A:$I,9,FALSE)</f>
        <v>0</v>
      </c>
    </row>
    <row r="174" spans="1:19" ht="409.6" thickBot="1" x14ac:dyDescent="0.2">
      <c r="A174" s="65">
        <f t="shared" si="5"/>
        <v>172</v>
      </c>
      <c r="B174" s="71" t="s">
        <v>338</v>
      </c>
      <c r="C174" s="72" t="str">
        <f>VLOOKUP(B174,'HECVAT - Full'!A:E,2,FALSE)</f>
        <v>Does your organization have physical security controls and policies in place?</v>
      </c>
      <c r="D174" s="65" t="str">
        <f>VLOOKUP(B174,'HECVAT - Full'!A:E,4,FALSE)</f>
        <v xml:space="preserve">Customer data is stored at Amazon Web Services (AWS) data centers. These are housed in undisclosed facilities.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center floors. All visitors and contractors are required to present identification and are signed in and continually escorted by authorized staff. Further information can be found in their security whitepaper: https://d1.awsstatic.com/whitepapers/aws-security-whitepaper.pdf.
At Instructure headquarters, where no client data is stored, guests must check in with reception and be escorted by an employee during their visit. Access to other areas of the offices are locked with key fobs possessed by Instructure employees. Instructure's office employ electronic key access and physical key access to secure areas.
</v>
      </c>
      <c r="E174" s="73" t="b">
        <f>IF(Table1[[#This Row],[Column11]]&gt;20,TRUE,FALSE)</f>
        <v>0</v>
      </c>
      <c r="F174" s="73" t="s">
        <v>2039</v>
      </c>
      <c r="G174" s="74" t="s">
        <v>17</v>
      </c>
      <c r="H174" s="75">
        <v>1</v>
      </c>
      <c r="I174" s="65" t="str">
        <f>VLOOKUP(B174,'HECVAT - Full'!A:E,3,FALSE)</f>
        <v>Yes</v>
      </c>
      <c r="J174" s="65">
        <f>IF(Table1[[#This Row],[Column7]]=Table1[[#This Row],[Column9]],1,0)</f>
        <v>1</v>
      </c>
      <c r="K174" s="65">
        <f>IF(Table1[[#This Row],[Column8]]=1,20,"")</f>
        <v>20</v>
      </c>
      <c r="L174" s="65">
        <f>IF(Table1[[#This Row],[Column8]]=1,J174*K174,"")</f>
        <v>20</v>
      </c>
      <c r="M174" s="66" t="str">
        <f>VLOOKUP($B174,'Standards Crosswalk'!$A:$H,3,FALSE)</f>
        <v>CSC 3</v>
      </c>
      <c r="N174" s="66">
        <f>VLOOKUP($B174,'Standards Crosswalk'!$A:$H,4,FALSE)</f>
        <v>0</v>
      </c>
      <c r="O174" s="66" t="str">
        <f>VLOOKUP($B174,'Standards Crosswalk'!$A:$H,5,FALSE)</f>
        <v>11.1.1</v>
      </c>
      <c r="P174" s="66" t="str">
        <f>VLOOKUP($B174,'Standards Crosswalk'!$A:$H,6,FALSE)</f>
        <v>PR.AC-2, PR.AT-5, PR.IP-5, DE.CM-2</v>
      </c>
      <c r="Q174" s="66" t="str">
        <f>VLOOKUP($B174,'Standards Crosswalk'!$A:$H,7,FALSE)</f>
        <v>3.8.2, 3.10.1, 3.10.2, 3.10.5, 3.10.6, 3.12.1</v>
      </c>
      <c r="R174" s="66" t="str">
        <f>VLOOKUP($B174,'Standards Crosswalk'!$A:$H,8,FALSE)</f>
        <v>MP-4, PE-2, PE-5, PE-6, PE-17</v>
      </c>
      <c r="S174" s="66" t="str">
        <f>VLOOKUP($B174,'Standards Crosswalk'!$A:$I,9,FALSE)</f>
        <v>9.x</v>
      </c>
    </row>
    <row r="175" spans="1:19" ht="409.6" thickBot="1" x14ac:dyDescent="0.2">
      <c r="A175" s="65">
        <f t="shared" si="5"/>
        <v>173</v>
      </c>
      <c r="B175" s="71" t="s">
        <v>339</v>
      </c>
      <c r="C175" s="72" t="str">
        <f>VLOOKUP(B175,'HECVAT - Full'!A:E,2,FALSE)</f>
        <v>Are employees allowed to take home Institution's data in any form?</v>
      </c>
      <c r="D175" s="65" t="str">
        <f>VLOOKUP(B175,'HECVAT - Full'!A:E,4,FALSE)</f>
        <v xml:space="preserve">Portfolium employees may have access to client data remotely in order perform their duties. As part of our commitment to security, however, we are dedicated to keeping our employees up-to-date and informed of the latest industry developments and practices. This includes ongoing training, as well as a documented approach to onboarding which requires all new employees to read, understand, and sign applicable policies.
Moreover, Portfolium's information security policies address acceptable use for computers, email, and the internet by employees, and employees take an annual security training that explains employee responsibilities for maintaining a safe and secure working environment.
Lastly, permission and access is granted on a least-privilege basis. This means only employees with a justifiable business case and appropriate approvals can access the appropriate data to perform their job duties and to deliver the Portfolium service.
</v>
      </c>
      <c r="E175" s="73" t="b">
        <f>IF(Table1[[#This Row],[Column11]]&gt;20,TRUE,FALSE)</f>
        <v>1</v>
      </c>
      <c r="F175" s="73" t="s">
        <v>2039</v>
      </c>
      <c r="G175" s="74" t="s">
        <v>20</v>
      </c>
      <c r="H175" s="75">
        <v>1</v>
      </c>
      <c r="I175" s="65" t="str">
        <f>VLOOKUP(B175,'HECVAT - Full'!A:E,3,FALSE)</f>
        <v>Yes</v>
      </c>
      <c r="J175" s="65">
        <f>IF(Table1[[#This Row],[Column7]]=Table1[[#This Row],[Column9]],1,0)</f>
        <v>0</v>
      </c>
      <c r="K175" s="65">
        <f>IF(Table1[[#This Row],[Column8]]=1,25,"")</f>
        <v>25</v>
      </c>
      <c r="L175" s="65">
        <f>IF(Table1[[#This Row],[Column8]]=1,J175*K175,"")</f>
        <v>0</v>
      </c>
      <c r="M175" s="66" t="str">
        <f>VLOOKUP($B175,'Standards Crosswalk'!$A:$H,3,FALSE)</f>
        <v>CSC 13</v>
      </c>
      <c r="N175" s="66">
        <f>VLOOKUP($B175,'Standards Crosswalk'!$A:$H,4,FALSE)</f>
        <v>0</v>
      </c>
      <c r="O175" s="66" t="str">
        <f>VLOOKUP($B175,'Standards Crosswalk'!$A:$H,5,FALSE)</f>
        <v>8.2.3</v>
      </c>
      <c r="P175" s="66" t="str">
        <f>VLOOKUP($B175,'Standards Crosswalk'!$A:$H,6,FALSE)</f>
        <v>PR.AC-2, PR.AC-4, PR.DS-1, PR.DS-3, PR.DS-5</v>
      </c>
      <c r="Q175" s="66" t="str">
        <f>VLOOKUP($B175,'Standards Crosswalk'!$A:$H,7,FALSE)</f>
        <v>3.8.1, 3.8.5, 3.8.7</v>
      </c>
      <c r="R175" s="66" t="str">
        <f>VLOOKUP($B175,'Standards Crosswalk'!$A:$H,8,FALSE)</f>
        <v>MP-2, MP-5, MP-7</v>
      </c>
      <c r="S175" s="66" t="str">
        <f>VLOOKUP($B175,'Standards Crosswalk'!$A:$I,9,FALSE)</f>
        <v>12.1, 9.x</v>
      </c>
    </row>
    <row r="176" spans="1:19" ht="409.6" thickBot="1" x14ac:dyDescent="0.2">
      <c r="A176" s="65">
        <f t="shared" si="5"/>
        <v>174</v>
      </c>
      <c r="B176" s="71" t="s">
        <v>340</v>
      </c>
      <c r="C176" s="72" t="str">
        <f>VLOOKUP(B176,'HECVAT - Full'!A:E,2,FALSE)</f>
        <v>Are video monitoring feeds retained?</v>
      </c>
      <c r="D176" s="65" t="str">
        <f>VLOOKUP(B176,'HECVAT - Full'!A:E,4,FALSE)</f>
        <v xml:space="preserve">Retention of video feeds is done by both Amazon Web Services (AWS) and Instructure. 
AWS, who provides the data centers and architecture for Portfolium, is in compliance with ISO 27001 standards and maintains security organizational controls as demonstrated in its SOC 2 report. Professional security staff utilize video surveillance, intrusion detection systems, and other electronic means. AWS retains images according to legal and compliance requirements. For additional information, please visit https://aws.amazon.com/security/.
Instructure retains surveillance video for at least 2 weeks.
</v>
      </c>
      <c r="E176" s="73" t="b">
        <f>IF(Table1[[#This Row],[Column11]]&gt;20,TRUE,FALSE)</f>
        <v>0</v>
      </c>
      <c r="F176" s="73" t="s">
        <v>2039</v>
      </c>
      <c r="G176" s="74" t="s">
        <v>17</v>
      </c>
      <c r="H176" s="75">
        <v>1</v>
      </c>
      <c r="I176" s="65" t="str">
        <f>VLOOKUP(B176,'HECVAT - Full'!A:E,3,FALSE)</f>
        <v>Yes</v>
      </c>
      <c r="J176" s="65">
        <f>IF(Table1[[#This Row],[Column7]]=Table1[[#This Row],[Column9]],1,0)</f>
        <v>1</v>
      </c>
      <c r="K176" s="65">
        <f>IF(Table1[[#This Row],[Column8]]=1,20,"")</f>
        <v>20</v>
      </c>
      <c r="L176" s="65">
        <f>IF(Table1[[#This Row],[Column8]]=1,J176*K176,"")</f>
        <v>20</v>
      </c>
      <c r="M176" s="66" t="str">
        <f>VLOOKUP($B176,'Standards Crosswalk'!$A:$H,3,FALSE)</f>
        <v>CSC 3</v>
      </c>
      <c r="N176" s="66">
        <f>VLOOKUP($B176,'Standards Crosswalk'!$A:$H,4,FALSE)</f>
        <v>0</v>
      </c>
      <c r="O176" s="66" t="str">
        <f>VLOOKUP($B176,'Standards Crosswalk'!$A:$H,5,FALSE)</f>
        <v>11.1.2, 11.1.3</v>
      </c>
      <c r="P176" s="66" t="str">
        <f>VLOOKUP($B176,'Standards Crosswalk'!$A:$H,6,FALSE)</f>
        <v>DE.CM-2</v>
      </c>
      <c r="Q176" s="66" t="str">
        <f>VLOOKUP($B176,'Standards Crosswalk'!$A:$H,7,FALSE)</f>
        <v>3.10.2</v>
      </c>
      <c r="R176" s="66" t="str">
        <f>VLOOKUP($B176,'Standards Crosswalk'!$A:$H,8,FALSE)</f>
        <v>PE-6</v>
      </c>
      <c r="S176" s="66" t="str">
        <f>VLOOKUP($B176,'Standards Crosswalk'!$A:$I,9,FALSE)</f>
        <v>9.x</v>
      </c>
    </row>
    <row r="177" spans="1:19" ht="409.6" thickBot="1" x14ac:dyDescent="0.2">
      <c r="A177" s="65">
        <f t="shared" si="5"/>
        <v>175</v>
      </c>
      <c r="B177" s="71" t="s">
        <v>341</v>
      </c>
      <c r="C177" s="72" t="str">
        <f>VLOOKUP(B177,'HECVAT - Full'!A:E,2,FALSE)</f>
        <v>Are video feeds monitored by datacenter staff?</v>
      </c>
      <c r="D177" s="65" t="str">
        <f>VLOOKUP(B177,'HECVAT - Full'!A:E,4,FALSE)</f>
        <v xml:space="preserve">AWS is in compliance with ISO 27001 standards and maintains security organizational controls as demonstrated in its SOC 2 report. Professional security staff utilize video surveillance, intrusion detection systems, and other electronic means. AWS retains images according to legal and compliance requirements. For additional information, please visit https://aws.amazon.com/security/.
Instructure video feed archives are reviewed when the need is presented.
</v>
      </c>
      <c r="E177" s="73" t="b">
        <f>IF(Table1[[#This Row],[Column11]]&gt;20,TRUE,FALSE)</f>
        <v>0</v>
      </c>
      <c r="F177" s="73" t="s">
        <v>2039</v>
      </c>
      <c r="G177" s="74" t="s">
        <v>17</v>
      </c>
      <c r="H177" s="75">
        <v>1</v>
      </c>
      <c r="I177" s="65" t="str">
        <f>VLOOKUP(B177,'HECVAT - Full'!A:E,3,FALSE)</f>
        <v>Yes</v>
      </c>
      <c r="J177" s="65">
        <f>IF(Table1[[#This Row],[Column7]]=Table1[[#This Row],[Column9]],1,0)</f>
        <v>1</v>
      </c>
      <c r="K177" s="65">
        <f>IF(Table1[[#This Row],[Column8]]=1,20,"")</f>
        <v>20</v>
      </c>
      <c r="L177" s="65">
        <f>IF(Table1[[#This Row],[Column8]]=1,J177*K177,"")</f>
        <v>20</v>
      </c>
      <c r="M177" s="66" t="str">
        <f>VLOOKUP($B177,'Standards Crosswalk'!$A:$H,3,FALSE)</f>
        <v>CSC 3</v>
      </c>
      <c r="N177" s="66">
        <f>VLOOKUP($B177,'Standards Crosswalk'!$A:$H,4,FALSE)</f>
        <v>0</v>
      </c>
      <c r="O177" s="66" t="str">
        <f>VLOOKUP($B177,'Standards Crosswalk'!$A:$H,5,FALSE)</f>
        <v>11.1.2,  11.1.3</v>
      </c>
      <c r="P177" s="66" t="str">
        <f>VLOOKUP($B177,'Standards Crosswalk'!$A:$H,6,FALSE)</f>
        <v>DE.CM-2</v>
      </c>
      <c r="Q177" s="66" t="str">
        <f>VLOOKUP($B177,'Standards Crosswalk'!$A:$H,7,FALSE)</f>
        <v>3.10.2</v>
      </c>
      <c r="R177" s="66" t="str">
        <f>VLOOKUP($B177,'Standards Crosswalk'!$A:$H,8,FALSE)</f>
        <v>PE-6</v>
      </c>
      <c r="S177" s="66" t="str">
        <f>VLOOKUP($B177,'Standards Crosswalk'!$A:$I,9,FALSE)</f>
        <v>9.x</v>
      </c>
    </row>
    <row r="178" spans="1:19" ht="409.6" thickBot="1" x14ac:dyDescent="0.2">
      <c r="A178" s="65">
        <f t="shared" si="5"/>
        <v>176</v>
      </c>
      <c r="B178" s="71" t="s">
        <v>342</v>
      </c>
      <c r="C178" s="72" t="str">
        <f>VLOOKUP(B178,'HECVAT - Full'!A:E,2,FALSE)</f>
        <v>Are individuals required to sign in/out for installation and removal of equipment?</v>
      </c>
      <c r="D178" s="65" t="str">
        <f>VLOOKUP(B178,'HECVAT - Full'!A:E,4,FALSE)</f>
        <v xml:space="preserve">Within AWS data centers, all visitors and contractors are required to present identification. Visitors are signed in and continually escorted by authorized staff.
All visitors to Instructure offices are required to sign in/out regardless of purpose of visit. Employees are required to sign out any equipment that is not formally assigned to them.
</v>
      </c>
      <c r="E178" s="73" t="b">
        <f>IF(Table1[[#This Row],[Column11]]&gt;20,TRUE,FALSE)</f>
        <v>0</v>
      </c>
      <c r="F178" s="73" t="s">
        <v>2039</v>
      </c>
      <c r="G178" s="74" t="s">
        <v>17</v>
      </c>
      <c r="H178" s="75">
        <v>1</v>
      </c>
      <c r="I178" s="65" t="str">
        <f>VLOOKUP(B178,'HECVAT - Full'!A:E,3,FALSE)</f>
        <v>Yes</v>
      </c>
      <c r="J178" s="65">
        <f>IF(Table1[[#This Row],[Column7]]=Table1[[#This Row],[Column9]],1,0)</f>
        <v>1</v>
      </c>
      <c r="K178" s="65">
        <f>IF(Table1[[#This Row],[Column8]]=1,15,"")</f>
        <v>15</v>
      </c>
      <c r="L178" s="65">
        <f>IF(Table1[[#This Row],[Column8]]=1,J178*K178,"")</f>
        <v>15</v>
      </c>
      <c r="M178" s="66" t="str">
        <f>VLOOKUP($B178,'Standards Crosswalk'!$A:$H,3,FALSE)</f>
        <v>CSC 14</v>
      </c>
      <c r="N178" s="66">
        <f>VLOOKUP($B178,'Standards Crosswalk'!$A:$H,4,FALSE)</f>
        <v>0</v>
      </c>
      <c r="O178" s="66" t="str">
        <f>VLOOKUP($B178,'Standards Crosswalk'!$A:$H,5,FALSE)</f>
        <v>11.1.2</v>
      </c>
      <c r="P178" s="66" t="str">
        <f>VLOOKUP($B178,'Standards Crosswalk'!$A:$H,6,FALSE)</f>
        <v>PR.DS-3</v>
      </c>
      <c r="Q178" s="66" t="str">
        <f>VLOOKUP($B178,'Standards Crosswalk'!$A:$H,7,FALSE)</f>
        <v>3.7.3, 3.8.1, 3.8.5, 3.8.7, 3.10.3</v>
      </c>
      <c r="R178" s="66" t="str">
        <f>VLOOKUP($B178,'Standards Crosswalk'!$A:$H,8,FALSE)</f>
        <v>MP-2, MP-5, MP-7</v>
      </c>
      <c r="S178" s="66" t="str">
        <f>VLOOKUP($B178,'Standards Crosswalk'!$A:$I,9,FALSE)</f>
        <v>9.x</v>
      </c>
    </row>
    <row r="179" spans="1:19" ht="409.6" thickBot="1" x14ac:dyDescent="0.2">
      <c r="A179" s="65">
        <f t="shared" si="5"/>
        <v>177</v>
      </c>
      <c r="B179" s="71" t="s">
        <v>343</v>
      </c>
      <c r="C179" s="72" t="str">
        <f>VLOOKUP(B179,'HECVAT - Full'!A:E,2,FALSE)</f>
        <v>Can you share the organization chart, mission statement, and policies for your information security unit?</v>
      </c>
      <c r="D179" s="65" t="str">
        <f>VLOOKUP(B179,'HECVAT - Full'!A:E,4,FALSE)</f>
        <v xml:space="preserve">Portfolium’s Security Staff is headed by Chief Information Officer, overseeing two Product Managers, that oversee multiple Engineers and QA Specialists.
</v>
      </c>
      <c r="E179" s="73" t="b">
        <f>IF(Table1[[#This Row],[Column11]]&gt;20,TRUE,FALSE)</f>
        <v>0</v>
      </c>
      <c r="F179" s="73" t="s">
        <v>2040</v>
      </c>
      <c r="G179" s="74" t="s">
        <v>17</v>
      </c>
      <c r="H179" s="75">
        <v>1</v>
      </c>
      <c r="I179" s="65" t="str">
        <f>VLOOKUP(B179,'HECVAT - Full'!A:E,3,FALSE)</f>
        <v>Yes</v>
      </c>
      <c r="J179" s="65">
        <f>IF(Table1[[#This Row],[Column7]]=Table1[[#This Row],[Column9]],1,0)</f>
        <v>1</v>
      </c>
      <c r="K179" s="65">
        <f>IF(Table1[[#This Row],[Column8]]=1,20,"")</f>
        <v>20</v>
      </c>
      <c r="L179" s="65">
        <f>IF(Table1[[#This Row],[Column8]]=1,J179*K179,"")</f>
        <v>20</v>
      </c>
      <c r="M179" s="66">
        <f>VLOOKUP($B179,'Standards Crosswalk'!$A:$H,3,FALSE)</f>
        <v>0</v>
      </c>
      <c r="N179" s="66">
        <f>VLOOKUP($B179,'Standards Crosswalk'!$A:$H,4,FALSE)</f>
        <v>0</v>
      </c>
      <c r="O179" s="66" t="str">
        <f>VLOOKUP($B179,'Standards Crosswalk'!$A:$H,5,FALSE)</f>
        <v>5.1.1</v>
      </c>
      <c r="P179" s="66" t="str">
        <f>VLOOKUP($B179,'Standards Crosswalk'!$A:$H,6,FALSE)</f>
        <v>ID.GV-2</v>
      </c>
      <c r="Q179" s="66" t="str">
        <f>VLOOKUP($B179,'Standards Crosswalk'!$A:$H,7,FALSE)</f>
        <v>3.9.1, 3.9.2</v>
      </c>
      <c r="R179" s="66" t="str">
        <f>VLOOKUP($B179,'Standards Crosswalk'!$A:$H,8,FALSE)</f>
        <v>PM-2, PM-10, SI-5, CA-5, PM-1</v>
      </c>
      <c r="S179" s="66" t="str">
        <f>VLOOKUP($B179,'Standards Crosswalk'!$A:$I,9,FALSE)</f>
        <v>12.4, 12.5</v>
      </c>
    </row>
    <row r="180" spans="1:19" ht="409.6" thickBot="1" x14ac:dyDescent="0.2">
      <c r="A180" s="65">
        <f t="shared" si="5"/>
        <v>178</v>
      </c>
      <c r="B180" s="71" t="s">
        <v>344</v>
      </c>
      <c r="C180" s="72" t="str">
        <f>VLOOKUP(B180,'HECVAT - Full'!A:E,2,FALSE)</f>
        <v>Do you have a documented patch management process?</v>
      </c>
      <c r="D180" s="65" t="str">
        <f>VLOOKUP(B180,'HECVAT - Full'!A:E,4,FALSE)</f>
        <v xml:space="preserve">Portfolium patches are handled as any other release. CICD, Quality Assurance, and code-review must all be passed and a tag is added with the required fixes/patches.
</v>
      </c>
      <c r="E180" s="73" t="b">
        <f>IF(Table1[[#This Row],[Column11]]&gt;20,TRUE,FALSE)</f>
        <v>1</v>
      </c>
      <c r="F180" s="73" t="s">
        <v>2040</v>
      </c>
      <c r="G180" s="74" t="s">
        <v>17</v>
      </c>
      <c r="H180" s="75">
        <v>1</v>
      </c>
      <c r="I180" s="65" t="str">
        <f>VLOOKUP(B180,'HECVAT - Full'!A:E,3,FALSE)</f>
        <v>Yes</v>
      </c>
      <c r="J180" s="65">
        <f>IF(Table1[[#This Row],[Column7]]=Table1[[#This Row],[Column9]],1,0)</f>
        <v>1</v>
      </c>
      <c r="K180" s="65">
        <f>IF(Table1[[#This Row],[Column8]]=1,25,"")</f>
        <v>25</v>
      </c>
      <c r="L180" s="65">
        <f>IF(Table1[[#This Row],[Column8]]=1,J180*K180,"")</f>
        <v>25</v>
      </c>
      <c r="M180" s="66" t="str">
        <f>VLOOKUP($B180,'Standards Crosswalk'!$A:$H,3,FALSE)</f>
        <v>CSC 4</v>
      </c>
      <c r="N180" s="66">
        <f>VLOOKUP($B180,'Standards Crosswalk'!$A:$H,4,FALSE)</f>
        <v>0</v>
      </c>
      <c r="O180" s="66" t="str">
        <f>VLOOKUP($B180,'Standards Crosswalk'!$A:$H,5,FALSE)</f>
        <v>12.6.1</v>
      </c>
      <c r="P180" s="66" t="str">
        <f>VLOOKUP($B180,'Standards Crosswalk'!$A:$H,6,FALSE)</f>
        <v>PR.IP-12</v>
      </c>
      <c r="Q180" s="66">
        <f>VLOOKUP($B180,'Standards Crosswalk'!$A:$H,7,FALSE)</f>
        <v>0</v>
      </c>
      <c r="R180" s="66" t="str">
        <f>VLOOKUP($B180,'Standards Crosswalk'!$A:$H,8,FALSE)</f>
        <v>CA-5, PM-1</v>
      </c>
      <c r="S180" s="66" t="str">
        <f>VLOOKUP($B180,'Standards Crosswalk'!$A:$I,9,FALSE)</f>
        <v>6.4.5</v>
      </c>
    </row>
    <row r="181" spans="1:19" ht="409.6" thickBot="1" x14ac:dyDescent="0.2">
      <c r="A181" s="65">
        <f t="shared" si="5"/>
        <v>179</v>
      </c>
      <c r="B181" s="71" t="s">
        <v>345</v>
      </c>
      <c r="C181" s="72" t="str">
        <f>VLOOKUP(B181,'HECVAT - Full'!A:E,2,FALSE)</f>
        <v>Can you accommodate encryption requirements using open standards?</v>
      </c>
      <c r="D181" s="65" t="str">
        <f>VLOOKUP(B181,'HECVAT - Full'!A:E,4,FALSE)</f>
        <v xml:space="preserve">Portfolium currently encrypts data traffic while in transit from the client to our platform and while at rest within the database.
All data traffic in and out of Portfolium is encrypted using TLS. All inbound and outbound traffic is encrypted to ensure that all personally-identifiable information, credentials exchange, page requests, and session data are secure.
At rest, Portfolium data is protected within RDS using the AES-256 encryption standard.
</v>
      </c>
      <c r="E181" s="73" t="b">
        <f>IF(Table1[[#This Row],[Column11]]&gt;20,TRUE,FALSE)</f>
        <v>0</v>
      </c>
      <c r="F181" s="73" t="s">
        <v>2040</v>
      </c>
      <c r="G181" s="74" t="s">
        <v>17</v>
      </c>
      <c r="H181" s="75">
        <v>1</v>
      </c>
      <c r="I181" s="65" t="str">
        <f>VLOOKUP(B181,'HECVAT - Full'!A:E,3,FALSE)</f>
        <v>Yes</v>
      </c>
      <c r="J181" s="65">
        <f>IF(Table1[[#This Row],[Column7]]=Table1[[#This Row],[Column9]],1,0)</f>
        <v>1</v>
      </c>
      <c r="K181" s="65">
        <f>IF(Table1[[#This Row],[Column8]]=1,20,"")</f>
        <v>20</v>
      </c>
      <c r="L181" s="65">
        <f>IF(Table1[[#This Row],[Column8]]=1,J181*K181,"")</f>
        <v>20</v>
      </c>
      <c r="M181" s="66" t="str">
        <f>VLOOKUP($B181,'Standards Crosswalk'!$A:$H,3,FALSE)</f>
        <v>CSC 13</v>
      </c>
      <c r="N181" s="66">
        <f>VLOOKUP($B181,'Standards Crosswalk'!$A:$H,4,FALSE)</f>
        <v>0</v>
      </c>
      <c r="O181" s="66" t="str">
        <f>VLOOKUP($B181,'Standards Crosswalk'!$A:$H,5,FALSE)</f>
        <v>10.1.1, 18.1.5</v>
      </c>
      <c r="P181" s="66">
        <f>VLOOKUP($B181,'Standards Crosswalk'!$A:$H,6,FALSE)</f>
        <v>0</v>
      </c>
      <c r="Q181" s="66">
        <f>VLOOKUP($B181,'Standards Crosswalk'!$A:$H,7,FALSE)</f>
        <v>0</v>
      </c>
      <c r="R181" s="66" t="str">
        <f>VLOOKUP($B181,'Standards Crosswalk'!$A:$H,8,FALSE)</f>
        <v>CA-5, PM-1</v>
      </c>
      <c r="S181" s="66">
        <f>VLOOKUP($B181,'Standards Crosswalk'!$A:$I,9,FALSE)</f>
        <v>0</v>
      </c>
    </row>
    <row r="182" spans="1:19" ht="409.6" thickBot="1" x14ac:dyDescent="0.2">
      <c r="A182" s="65">
        <f t="shared" si="5"/>
        <v>180</v>
      </c>
      <c r="B182" s="71" t="s">
        <v>346</v>
      </c>
      <c r="C182" s="72" t="str">
        <f>VLOOKUP(B182,'HECVAT - Full'!A:E,2,FALSE)</f>
        <v>Have your developers been trained in secure coding techniques?</v>
      </c>
      <c r="D182" s="65" t="str">
        <f>VLOOKUP(B182,'HECVAT - Full'!A:E,4,FALSE)</f>
        <v xml:space="preserve">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an internal wiki to discuss and share best practices for the mitigation and prevention of security pitfalls and vulnerabilities. The security and engineering teams keep up-to-date on general security practices, on recent attack vectors, and on any security issues specifically related to the languages, web applications, frameworks, and environments that Instructure employs to develop, host, and maintain our products.
Portfolium has a software development life cycle that incorporates secure coding practice and controls. Peer reviews of all source code changes are mandatory. Multiple peer reviews are conducted for each change to the  code base to detect and correct any bugs, security flaws, and any other code defects. Changes to code must be validated by peer review before the code is approved and committed to the code base repository.
</v>
      </c>
      <c r="E182" s="73" t="b">
        <f>IF(Table1[[#This Row],[Column11]]&gt;20,TRUE,FALSE)</f>
        <v>1</v>
      </c>
      <c r="F182" s="73" t="s">
        <v>2040</v>
      </c>
      <c r="G182" s="74" t="s">
        <v>17</v>
      </c>
      <c r="H182" s="75">
        <v>1</v>
      </c>
      <c r="I182" s="65" t="str">
        <f>VLOOKUP(B182,'HECVAT - Full'!A:E,3,FALSE)</f>
        <v>Yes</v>
      </c>
      <c r="J182" s="65">
        <f>IF(Table1[[#This Row],[Column7]]=Table1[[#This Row],[Column9]],1,0)</f>
        <v>1</v>
      </c>
      <c r="K182" s="65">
        <f>IF(Table1[[#This Row],[Column8]]=1,25,"")</f>
        <v>25</v>
      </c>
      <c r="L182" s="65">
        <f>IF(Table1[[#This Row],[Column8]]=1,J182*K182,"")</f>
        <v>25</v>
      </c>
      <c r="M182" s="66" t="str">
        <f>VLOOKUP($B182,'Standards Crosswalk'!$A:$H,3,FALSE)</f>
        <v>CSC 4, CSC 17</v>
      </c>
      <c r="N182" s="66">
        <f>VLOOKUP($B182,'Standards Crosswalk'!$A:$H,4,FALSE)</f>
        <v>0</v>
      </c>
      <c r="O182" s="66" t="str">
        <f>VLOOKUP($B182,'Standards Crosswalk'!$A:$H,5,FALSE)</f>
        <v>14.2.1</v>
      </c>
      <c r="P182" s="66">
        <f>VLOOKUP($B182,'Standards Crosswalk'!$A:$H,6,FALSE)</f>
        <v>0</v>
      </c>
      <c r="Q182" s="66">
        <f>VLOOKUP($B182,'Standards Crosswalk'!$A:$H,7,FALSE)</f>
        <v>0</v>
      </c>
      <c r="R182" s="66" t="str">
        <f>VLOOKUP($B182,'Standards Crosswalk'!$A:$H,8,FALSE)</f>
        <v>CA-5, PM-1</v>
      </c>
      <c r="S182" s="66" t="str">
        <f>VLOOKUP($B182,'Standards Crosswalk'!$A:$I,9,FALSE)</f>
        <v>12.6, 6.5</v>
      </c>
    </row>
    <row r="183" spans="1:19" ht="409.6" thickBot="1" x14ac:dyDescent="0.2">
      <c r="A183" s="65">
        <f t="shared" si="5"/>
        <v>181</v>
      </c>
      <c r="B183" s="71" t="s">
        <v>347</v>
      </c>
      <c r="C183" s="72" t="str">
        <f>VLOOKUP(B183,'HECVAT - Full'!A:E,2,FALSE)</f>
        <v>Was your application developed using secure coding techniques?</v>
      </c>
      <c r="D183" s="65" t="str">
        <f>VLOOKUP(B183,'HECVAT - Full'!A:E,4,FALSE)</f>
        <v xml:space="preserve">Portfolium has a software development life cycle that incorporates secure coding practice and controls.
All code in the application must go through a developer peer review process before it is merged into the code base repository. The code review includes security auditing based on the Open Web Application Security Project (OWASP) secure coding and code review documents and other community sources on best security practices.
</v>
      </c>
      <c r="E183" s="73" t="b">
        <f>IF(Table1[[#This Row],[Column11]]&gt;20,TRUE,FALSE)</f>
        <v>0</v>
      </c>
      <c r="F183" s="73" t="s">
        <v>2040</v>
      </c>
      <c r="G183" s="74" t="s">
        <v>17</v>
      </c>
      <c r="H183" s="75">
        <v>1</v>
      </c>
      <c r="I183" s="65" t="str">
        <f>VLOOKUP(B183,'HECVAT - Full'!A:E,3,FALSE)</f>
        <v>Yes</v>
      </c>
      <c r="J183" s="65">
        <f>IF(Table1[[#This Row],[Column7]]=Table1[[#This Row],[Column9]],1,0)</f>
        <v>1</v>
      </c>
      <c r="K183" s="65">
        <f>IF(Table1[[#This Row],[Column8]]=1,20,"")</f>
        <v>20</v>
      </c>
      <c r="L183" s="65">
        <f>IF(Table1[[#This Row],[Column8]]=1,J183*K183,"")</f>
        <v>20</v>
      </c>
      <c r="M183" s="66" t="str">
        <f>VLOOKUP($B183,'Standards Crosswalk'!$A:$H,3,FALSE)</f>
        <v>CSC 4</v>
      </c>
      <c r="N183" s="66">
        <f>VLOOKUP($B183,'Standards Crosswalk'!$A:$H,4,FALSE)</f>
        <v>0</v>
      </c>
      <c r="O183" s="66" t="str">
        <f>VLOOKUP($B183,'Standards Crosswalk'!$A:$H,5,FALSE)</f>
        <v>14.2.1</v>
      </c>
      <c r="P183" s="66">
        <f>VLOOKUP($B183,'Standards Crosswalk'!$A:$H,6,FALSE)</f>
        <v>0</v>
      </c>
      <c r="Q183" s="66">
        <f>VLOOKUP($B183,'Standards Crosswalk'!$A:$H,7,FALSE)</f>
        <v>0</v>
      </c>
      <c r="R183" s="66" t="str">
        <f>VLOOKUP($B183,'Standards Crosswalk'!$A:$H,8,FALSE)</f>
        <v>CA-5, PM-1</v>
      </c>
      <c r="S183" s="66">
        <f>VLOOKUP($B183,'Standards Crosswalk'!$A:$I,9,FALSE)</f>
        <v>6.3</v>
      </c>
    </row>
    <row r="184" spans="1:19" ht="409.6" thickBot="1" x14ac:dyDescent="0.2">
      <c r="A184" s="65">
        <f t="shared" si="5"/>
        <v>182</v>
      </c>
      <c r="B184" s="71" t="s">
        <v>348</v>
      </c>
      <c r="C184" s="72" t="str">
        <f>VLOOKUP(B184,'HECVAT - Full'!A:E,2,FALSE)</f>
        <v>Do you subject your code to static code analysis and/or static application security testing prior to release?</v>
      </c>
      <c r="D184" s="65" t="str">
        <f>VLOOKUP(B184,'HECVAT - Full'!A:E,4,FALSE)</f>
        <v xml:space="preserve">Portfolium uses PHP STAN (https://github.com/phpstan/phpstan), CodeSniffer (https://github.com/squizlabs/PHP_CodeSniffer), and JS Lint  (https://www.jslint.com/) to perform static code analysis.
We run every single commit to feature branches against these tools, and if it doesn't pass, we reject the build.
Additional security is ensured through QA, standards, practices integrated into our development process.
</v>
      </c>
      <c r="E184" s="73" t="b">
        <f>IF(Table1[[#This Row],[Column11]]&gt;20,TRUE,FALSE)</f>
        <v>1</v>
      </c>
      <c r="F184" s="73" t="s">
        <v>2040</v>
      </c>
      <c r="G184" s="74" t="s">
        <v>17</v>
      </c>
      <c r="H184" s="75">
        <v>1</v>
      </c>
      <c r="I184" s="65" t="str">
        <f>VLOOKUP(B184,'HECVAT - Full'!A:E,3,FALSE)</f>
        <v>Yes</v>
      </c>
      <c r="J184" s="65">
        <f>IF(Table1[[#This Row],[Column7]]=Table1[[#This Row],[Column9]],1,0)</f>
        <v>1</v>
      </c>
      <c r="K184" s="65">
        <f>IF(Table1[[#This Row],[Column8]]=1,25,"")</f>
        <v>25</v>
      </c>
      <c r="L184" s="65">
        <f>IF(Table1[[#This Row],[Column8]]=1,J184*K184,"")</f>
        <v>25</v>
      </c>
      <c r="M184" s="66" t="str">
        <f>VLOOKUP($B184,'Standards Crosswalk'!$A:$H,3,FALSE)</f>
        <v>CSC 4</v>
      </c>
      <c r="N184" s="66">
        <f>VLOOKUP($B184,'Standards Crosswalk'!$A:$H,4,FALSE)</f>
        <v>0</v>
      </c>
      <c r="O184" s="66" t="str">
        <f>VLOOKUP($B184,'Standards Crosswalk'!$A:$H,5,FALSE)</f>
        <v>14.2.1, 14.2.5, 14.2.8</v>
      </c>
      <c r="P184" s="66" t="str">
        <f>VLOOKUP($B184,'Standards Crosswalk'!$A:$H,6,FALSE)</f>
        <v>DE.CM-8, RS.MI-3</v>
      </c>
      <c r="Q184" s="66">
        <f>VLOOKUP($B184,'Standards Crosswalk'!$A:$H,7,FALSE)</f>
        <v>0</v>
      </c>
      <c r="R184" s="66" t="str">
        <f>VLOOKUP($B184,'Standards Crosswalk'!$A:$H,8,FALSE)</f>
        <v>CA-5, PM-1</v>
      </c>
      <c r="S184" s="66" t="str">
        <f>VLOOKUP($B184,'Standards Crosswalk'!$A:$I,9,FALSE)</f>
        <v>6.3.2</v>
      </c>
    </row>
    <row r="185" spans="1:19" ht="301" thickBot="1" x14ac:dyDescent="0.2">
      <c r="A185" s="65">
        <f t="shared" si="5"/>
        <v>183</v>
      </c>
      <c r="B185" s="71" t="s">
        <v>349</v>
      </c>
      <c r="C185" s="72" t="str">
        <f>VLOOKUP(B185,'HECVAT - Full'!A:E,2,FALSE)</f>
        <v>Do you have software testing processes (dynamic or static) that are established and followed?</v>
      </c>
      <c r="D185" s="65" t="str">
        <f>VLOOKUP(B185,'HECVAT - Full'!A:E,4,FALSE)</f>
        <v xml:space="preserve">As described above in item PPPR-06, we utilize tools, policies, and standards to develop and test our software.
</v>
      </c>
      <c r="E185" s="73" t="b">
        <f>IF(Table1[[#This Row],[Column11]]&gt;20,TRUE,FALSE)</f>
        <v>0</v>
      </c>
      <c r="F185" s="73" t="s">
        <v>2040</v>
      </c>
      <c r="G185" s="74" t="s">
        <v>17</v>
      </c>
      <c r="H185" s="75">
        <v>1</v>
      </c>
      <c r="I185" s="65" t="str">
        <f>VLOOKUP(B185,'HECVAT - Full'!A:E,3,FALSE)</f>
        <v>Yes</v>
      </c>
      <c r="J185" s="65">
        <f>IF(Table1[[#This Row],[Column7]]=Table1[[#This Row],[Column9]],1,0)</f>
        <v>1</v>
      </c>
      <c r="K185" s="65">
        <f>IF(Table1[[#This Row],[Column8]]=1,20,"")</f>
        <v>20</v>
      </c>
      <c r="L185" s="65">
        <f>IF(Table1[[#This Row],[Column8]]=1,J185*K185,"")</f>
        <v>20</v>
      </c>
      <c r="M185" s="66"/>
      <c r="N185" s="66"/>
      <c r="O185" s="66"/>
      <c r="P185" s="66"/>
      <c r="Q185" s="66"/>
      <c r="R185" s="66"/>
      <c r="S185" s="66" t="str">
        <f>VLOOKUP($B185,'Standards Crosswalk'!$A:$I,9,FALSE)</f>
        <v>6.3.2, 6.4.5.3</v>
      </c>
    </row>
    <row r="186" spans="1:19" ht="409.6" thickBot="1" x14ac:dyDescent="0.2">
      <c r="A186" s="65">
        <f t="shared" si="5"/>
        <v>184</v>
      </c>
      <c r="B186" s="71" t="s">
        <v>350</v>
      </c>
      <c r="C186" s="72" t="str">
        <f>VLOOKUP(B186,'HECVAT - Full'!A:E,2,FALSE)</f>
        <v>Are information security principles designed into the product lifecycle?</v>
      </c>
      <c r="D186" s="65" t="str">
        <f>VLOOKUP(B186,'HECVAT - Full'!A:E,4,FALSE)</f>
        <v xml:space="preserve">The code review during the product lifecycle which includes security auditing are based on the Open Web Application Security Project (OWASP) secure coding and code review documents and other community sources on best security practices.
</v>
      </c>
      <c r="E186" s="73" t="b">
        <f>IF(Table1[[#This Row],[Column11]]&gt;20,TRUE,FALSE)</f>
        <v>0</v>
      </c>
      <c r="F186" s="73" t="s">
        <v>2040</v>
      </c>
      <c r="G186" s="74" t="s">
        <v>17</v>
      </c>
      <c r="H186" s="75">
        <v>1</v>
      </c>
      <c r="I186" s="65" t="str">
        <f>VLOOKUP(B186,'HECVAT - Full'!A:E,3,FALSE)</f>
        <v>Yes</v>
      </c>
      <c r="J186" s="65">
        <f>IF(Table1[[#This Row],[Column7]]=Table1[[#This Row],[Column9]],1,0)</f>
        <v>1</v>
      </c>
      <c r="K186" s="65">
        <f>IF(Table1[[#This Row],[Column8]]=1,20,"")</f>
        <v>20</v>
      </c>
      <c r="L186" s="65">
        <f>IF(Table1[[#This Row],[Column8]]=1,J186*K186,"")</f>
        <v>20</v>
      </c>
      <c r="M186" s="66" t="str">
        <f>VLOOKUP($B186,'Standards Crosswalk'!$A:$H,3,FALSE)</f>
        <v>CSC 4</v>
      </c>
      <c r="N186" s="66">
        <f>VLOOKUP($B186,'Standards Crosswalk'!$A:$H,4,FALSE)</f>
        <v>0</v>
      </c>
      <c r="O186" s="66" t="str">
        <f>VLOOKUP($B186,'Standards Crosswalk'!$A:$H,5,FALSE)</f>
        <v>14.2.1</v>
      </c>
      <c r="P186" s="66">
        <f>VLOOKUP($B186,'Standards Crosswalk'!$A:$H,6,FALSE)</f>
        <v>0</v>
      </c>
      <c r="Q186" s="66" t="str">
        <f>VLOOKUP($B186,'Standards Crosswalk'!$A:$H,7,FALSE)</f>
        <v>3.13.2</v>
      </c>
      <c r="R186" s="66" t="str">
        <f>VLOOKUP($B186,'Standards Crosswalk'!$A:$H,8,FALSE)</f>
        <v>CA-5, PM-1</v>
      </c>
      <c r="S186" s="66" t="str">
        <f>VLOOKUP($B186,'Standards Crosswalk'!$A:$I,9,FALSE)</f>
        <v>6.3, 6.3.1</v>
      </c>
    </row>
    <row r="187" spans="1:19" ht="409.6" thickBot="1" x14ac:dyDescent="0.2">
      <c r="A187" s="65">
        <f t="shared" si="5"/>
        <v>185</v>
      </c>
      <c r="B187" s="71" t="s">
        <v>351</v>
      </c>
      <c r="C187" s="72" t="str">
        <f>VLOOKUP(B187,'HECVAT - Full'!A:E,2,FALSE)</f>
        <v>Do you have a documented systems development life cycle (SDLC)?</v>
      </c>
      <c r="D187" s="65" t="str">
        <f>VLOOKUP(B187,'HECVAT - Full'!A:E,4,FALSE)</f>
        <v xml:space="preserve">Portfolium has a documented SDLC, based on the Agile methodology, which incorporates industry best-practices. Portfolium software is developed with strict security in mind and utilizes various techniques and procedures to maintain a safe environment, ie; CSRF, XSS Filtering, ActiveRecord sanitization; all servers and instances are mirrored from AWS images which have been validated for security and the latest patches. All code developed by Portfolium developers is Reviewed and spun through a complete CI/CD pipeline for adherence before being posted to Quality Assurance. Portfolium also utilizes Cobalt for frequent penetration testing and security monitoring.
</v>
      </c>
      <c r="E187" s="73" t="b">
        <f>IF(Table1[[#This Row],[Column11]]&gt;20,TRUE,FALSE)</f>
        <v>0</v>
      </c>
      <c r="F187" s="73" t="s">
        <v>2040</v>
      </c>
      <c r="G187" s="74" t="s">
        <v>17</v>
      </c>
      <c r="H187" s="75">
        <v>1</v>
      </c>
      <c r="I187" s="65" t="str">
        <f>VLOOKUP(B187,'HECVAT - Full'!A:E,3,FALSE)</f>
        <v>Yes</v>
      </c>
      <c r="J187" s="65">
        <f>IF(Table1[[#This Row],[Column7]]=Table1[[#This Row],[Column9]],1,0)</f>
        <v>1</v>
      </c>
      <c r="K187" s="65">
        <f>IF(Table1[[#This Row],[Column8]]=1,20,"")</f>
        <v>20</v>
      </c>
      <c r="L187" s="65">
        <f>IF(Table1[[#This Row],[Column8]]=1,J187*K187,"")</f>
        <v>20</v>
      </c>
      <c r="M187" s="66" t="str">
        <f>VLOOKUP($B187,'Standards Crosswalk'!$A:$H,3,FALSE)</f>
        <v>CSC 4</v>
      </c>
      <c r="N187" s="66">
        <f>VLOOKUP($B187,'Standards Crosswalk'!$A:$H,4,FALSE)</f>
        <v>0</v>
      </c>
      <c r="O187" s="66" t="str">
        <f>VLOOKUP($B187,'Standards Crosswalk'!$A:$H,5,FALSE)</f>
        <v>14.2.1</v>
      </c>
      <c r="P187" s="66" t="str">
        <f>VLOOKUP($B187,'Standards Crosswalk'!$A:$H,6,FALSE)</f>
        <v>PR.IP-2</v>
      </c>
      <c r="Q187" s="66">
        <f>VLOOKUP($B187,'Standards Crosswalk'!$A:$H,7,FALSE)</f>
        <v>0</v>
      </c>
      <c r="R187" s="66" t="str">
        <f>VLOOKUP($B187,'Standards Crosswalk'!$A:$H,8,FALSE)</f>
        <v>CM-3, SA-15, SA-3, SA-8, SC-2, CA-5, PM-1</v>
      </c>
      <c r="S187" s="66" t="str">
        <f>VLOOKUP($B187,'Standards Crosswalk'!$A:$I,9,FALSE)</f>
        <v>6.3.2</v>
      </c>
    </row>
    <row r="188" spans="1:19" ht="409.6" thickBot="1" x14ac:dyDescent="0.2">
      <c r="A188" s="65">
        <f t="shared" si="5"/>
        <v>186</v>
      </c>
      <c r="B188" s="71" t="s">
        <v>352</v>
      </c>
      <c r="C188" s="72" t="str">
        <f>VLOOKUP(B188,'HECVAT - Full'!A:E,2,FALSE)</f>
        <v>Do you have a formal incident response plan?</v>
      </c>
      <c r="D188" s="65" t="str">
        <f>VLOOKUP(B188,'HECVAT - Full'!A:E,4,FALSE)</f>
        <v>Portfolium's Incident Response Plan is designed to provide a quick, effective, and orderly response to potential threats to Portfolium systems and data, as well as taking appropriate action in response to incidents such as virus infections, hacker attempts, improper disclosure of confidential information, breach of personal information, and other events with serious information security implications.
The Incident Response Team’s mission is to prevent a serious loss of profits, client confidence or information assets by providing an immediate, effective and skillful response to any unexpected event involving computer information systems, networks or databases.
The goals of the Portfolium Incident Response Plan are:
    • To minimize interruptions to our normal operations
    • To limit the extent of disruption and damage
    • To minimize the economic impact of a potential interruption
    • To establish an alternative means of operation in advance of an incident
    • To ensure a smooth and rapid restoration of service after an incident occur</v>
      </c>
      <c r="E188" s="73" t="b">
        <f>IF(Table1[[#This Row],[Column11]]&gt;20,TRUE,FALSE)</f>
        <v>1</v>
      </c>
      <c r="F188" s="73" t="s">
        <v>2040</v>
      </c>
      <c r="G188" s="74" t="s">
        <v>17</v>
      </c>
      <c r="H188" s="75">
        <v>1</v>
      </c>
      <c r="I188" s="65" t="str">
        <f>VLOOKUP(B188,'HECVAT - Full'!A:E,3,FALSE)</f>
        <v>Yes</v>
      </c>
      <c r="J188" s="65">
        <f>IF(Table1[[#This Row],[Column7]]=Table1[[#This Row],[Column9]],1,0)</f>
        <v>1</v>
      </c>
      <c r="K188" s="65">
        <f>IF(Table1[[#This Row],[Column8]]=1,25,"")</f>
        <v>25</v>
      </c>
      <c r="L188" s="65">
        <f>IF(Table1[[#This Row],[Column8]]=1,J188*K188,"")</f>
        <v>25</v>
      </c>
      <c r="M188" s="66" t="str">
        <f>VLOOKUP($B188,'Standards Crosswalk'!$A:$H,3,FALSE)</f>
        <v>CSC 19</v>
      </c>
      <c r="N188" s="66">
        <f>VLOOKUP($B188,'Standards Crosswalk'!$A:$H,4,FALSE)</f>
        <v>0</v>
      </c>
      <c r="O188" s="66" t="str">
        <f>VLOOKUP($B188,'Standards Crosswalk'!$A:$H,5,FALSE)</f>
        <v>16.1.5</v>
      </c>
      <c r="P188" s="66" t="str">
        <f>VLOOKUP($B188,'Standards Crosswalk'!$A:$H,6,FALSE)</f>
        <v>PR.IP-9</v>
      </c>
      <c r="Q188" s="66" t="str">
        <f>VLOOKUP($B188,'Standards Crosswalk'!$A:$H,7,FALSE)</f>
        <v>3.6.1, 3.12.2</v>
      </c>
      <c r="R188" s="66" t="str">
        <f>VLOOKUP($B188,'Standards Crosswalk'!$A:$H,8,FALSE)</f>
        <v>CA-5, PM-1, IR-4, IR-5, IR-7, IR-8</v>
      </c>
      <c r="S188" s="66" t="str">
        <f>VLOOKUP($B188,'Standards Crosswalk'!$A:$I,9,FALSE)</f>
        <v>12.10, 12.8, 12.9</v>
      </c>
    </row>
    <row r="189" spans="1:19" ht="409.6" thickBot="1" x14ac:dyDescent="0.2">
      <c r="A189" s="65">
        <f t="shared" si="5"/>
        <v>187</v>
      </c>
      <c r="B189" s="71" t="s">
        <v>353</v>
      </c>
      <c r="C189" s="72" t="str">
        <f>VLOOKUP(B189,'HECVAT - Full'!A:E,2,FALSE)</f>
        <v>Will you comply with applicable breach notification laws?</v>
      </c>
      <c r="D189" s="65" t="str">
        <f>VLOOKUP(B189,'HECVAT - Full'!A:E,4,FALSE)</f>
        <v xml:space="preserve">Instructure has not experienced a breach to date. Should a breach occur, Instructure would notify clients as soon as possible, and no longer than 24 hours in the case of a FERPA violation, and no longer than 48 hours in the case of any other breach.
</v>
      </c>
      <c r="E189" s="73" t="b">
        <f>IF(Table1[[#This Row],[Column11]]&gt;20,TRUE,FALSE)</f>
        <v>1</v>
      </c>
      <c r="F189" s="73" t="s">
        <v>2040</v>
      </c>
      <c r="G189" s="74" t="s">
        <v>17</v>
      </c>
      <c r="H189" s="75">
        <v>1</v>
      </c>
      <c r="I189" s="65" t="str">
        <f>VLOOKUP(B189,'HECVAT - Full'!A:E,3,FALSE)</f>
        <v>Yes</v>
      </c>
      <c r="J189" s="65">
        <f>IF(Table1[[#This Row],[Column7]]=Table1[[#This Row],[Column9]],1,0)</f>
        <v>1</v>
      </c>
      <c r="K189" s="65">
        <f>IF(Table1[[#This Row],[Column8]]=1,25,"")</f>
        <v>25</v>
      </c>
      <c r="L189" s="65">
        <f>IF(Table1[[#This Row],[Column8]]=1,J189*K189,"")</f>
        <v>25</v>
      </c>
      <c r="M189" s="66" t="str">
        <f>VLOOKUP($B189,'Standards Crosswalk'!$A:$H,3,FALSE)</f>
        <v>CSC 19</v>
      </c>
      <c r="N189" s="66">
        <f>VLOOKUP($B189,'Standards Crosswalk'!$A:$H,4,FALSE)</f>
        <v>0</v>
      </c>
      <c r="O189" s="66" t="str">
        <f>VLOOKUP($B189,'Standards Crosswalk'!$A:$H,5,FALSE)</f>
        <v>18.1.1</v>
      </c>
      <c r="P189" s="66" t="str">
        <f>VLOOKUP($B189,'Standards Crosswalk'!$A:$H,6,FALSE)</f>
        <v>ID.GV-3</v>
      </c>
      <c r="Q189" s="66" t="str">
        <f>VLOOKUP($B189,'Standards Crosswalk'!$A:$H,7,FALSE)</f>
        <v>3.6.2,</v>
      </c>
      <c r="R189" s="66" t="str">
        <f>VLOOKUP($B189,'Standards Crosswalk'!$A:$H,8,FALSE)</f>
        <v>CA-5, PM-1, IR-4, IR-5, IR-6, IR-7, IR-8</v>
      </c>
      <c r="S189" s="66">
        <f>VLOOKUP($B189,'Standards Crosswalk'!$A:$I,9,FALSE)</f>
        <v>12.8</v>
      </c>
    </row>
    <row r="190" spans="1:19" ht="409.6" thickBot="1" x14ac:dyDescent="0.2">
      <c r="A190" s="65">
        <f t="shared" si="5"/>
        <v>188</v>
      </c>
      <c r="B190" s="71" t="s">
        <v>354</v>
      </c>
      <c r="C190" s="72" t="str">
        <f>VLOOKUP(B190,'HECVAT - Full'!A:E,2,FALSE)</f>
        <v>Will you comply with the Institution's IT policies with regards to user privacy and data protection?</v>
      </c>
      <c r="D190" s="65" t="str">
        <f>VLOOKUP(B190,'HECVAT - Full'!A:E,4,FALSE)</f>
        <v xml:space="preserve">Instructure will abide by all applicable laws and regulations. Should the institution have policy compliance requirements beyond Instructure's current policies, we will negotiate in good faith once a contract is awarded.
</v>
      </c>
      <c r="E190" s="73" t="b">
        <f>IF(Table1[[#This Row],[Column11]]&gt;20,TRUE,FALSE)</f>
        <v>0</v>
      </c>
      <c r="F190" s="73" t="s">
        <v>2040</v>
      </c>
      <c r="G190" s="74" t="s">
        <v>17</v>
      </c>
      <c r="H190" s="75">
        <v>1</v>
      </c>
      <c r="I190" s="65" t="str">
        <f>VLOOKUP(B190,'HECVAT - Full'!A:E,3,FALSE)</f>
        <v>Yes</v>
      </c>
      <c r="J190" s="65">
        <f>IF(Table1[[#This Row],[Column7]]=Table1[[#This Row],[Column9]],1,0)</f>
        <v>1</v>
      </c>
      <c r="K190" s="65">
        <f>IF(Table1[[#This Row],[Column8]]=1,15,"")</f>
        <v>15</v>
      </c>
      <c r="L190" s="65">
        <f>IF(Table1[[#This Row],[Column8]]=1,J190*K190,"")</f>
        <v>15</v>
      </c>
      <c r="M190" s="66" t="str">
        <f>VLOOKUP($B190,'Standards Crosswalk'!$A:$H,3,FALSE)</f>
        <v>CSC 13</v>
      </c>
      <c r="N190" s="66">
        <f>VLOOKUP($B190,'Standards Crosswalk'!$A:$H,4,FALSE)</f>
        <v>0</v>
      </c>
      <c r="O190" s="66" t="str">
        <f>VLOOKUP($B190,'Standards Crosswalk'!$A:$H,5,FALSE)</f>
        <v>18.1.1</v>
      </c>
      <c r="P190" s="66">
        <f>VLOOKUP($B190,'Standards Crosswalk'!$A:$H,6,FALSE)</f>
        <v>0</v>
      </c>
      <c r="Q190" s="66" t="str">
        <f>VLOOKUP($B190,'Standards Crosswalk'!$A:$H,7,FALSE)</f>
        <v>3.6.2</v>
      </c>
      <c r="R190" s="66" t="str">
        <f>VLOOKUP($B190,'Standards Crosswalk'!$A:$H,8,FALSE)</f>
        <v>CA-2, SA-15, CA-5, PM-1, IR-4, IR-5, IR-6, R-7, IR-8</v>
      </c>
      <c r="S190" s="66">
        <f>VLOOKUP($B190,'Standards Crosswalk'!$A:$I,9,FALSE)</f>
        <v>12.8</v>
      </c>
    </row>
    <row r="191" spans="1:19" ht="409.6" thickBot="1" x14ac:dyDescent="0.2">
      <c r="A191" s="65">
        <f t="shared" si="5"/>
        <v>189</v>
      </c>
      <c r="B191" s="71" t="s">
        <v>355</v>
      </c>
      <c r="C191" s="72" t="str">
        <f>VLOOKUP(B191,'HECVAT - Full'!A:E,2,FALSE)</f>
        <v>Is your company subject to Institution's Data Zone laws and regulations?</v>
      </c>
      <c r="D191" s="65" t="str">
        <f>VLOOKUP(B191,'HECVAT - Full'!A:E,4,FALSE)</f>
        <v xml:space="preserve">As mentioned in PPPR-12, Instructure will abide by all applicable laws and regulations and will review the relevant sections of institution's IT policies when provided to us. Institution data for U.S.-based customers will never leave the institutional data zone (U.S.A.). For customers outside of the U.S., our security policies and practices ensure that data is protected according to applicable laws and regulations at all times. Specific regulatory compliance can be provided for the appropriate region upon request.
</v>
      </c>
      <c r="E191" s="73" t="b">
        <f>IF(Table1[[#This Row],[Column11]]&gt;20,TRUE,FALSE)</f>
        <v>0</v>
      </c>
      <c r="F191" s="73" t="s">
        <v>2040</v>
      </c>
      <c r="G191" s="74" t="s">
        <v>17</v>
      </c>
      <c r="H191" s="75">
        <v>1</v>
      </c>
      <c r="I191" s="65" t="str">
        <f>VLOOKUP(B191,'HECVAT - Full'!A:E,3,FALSE)</f>
        <v>Yes</v>
      </c>
      <c r="J191" s="65">
        <f>IF(Table1[[#This Row],[Column7]]=Table1[[#This Row],[Column9]],1,0)</f>
        <v>1</v>
      </c>
      <c r="K191" s="65">
        <f>IF(Table1[[#This Row],[Column8]]=1,20,"")</f>
        <v>20</v>
      </c>
      <c r="L191" s="65">
        <f>IF(Table1[[#This Row],[Column8]]=1,J191*K191,"")</f>
        <v>20</v>
      </c>
      <c r="M191" s="66" t="str">
        <f>VLOOKUP($B191,'Standards Crosswalk'!$A:$H,3,FALSE)</f>
        <v>CSC 19</v>
      </c>
      <c r="N191" s="66">
        <f>VLOOKUP($B191,'Standards Crosswalk'!$A:$H,4,FALSE)</f>
        <v>0</v>
      </c>
      <c r="O191" s="66" t="str">
        <f>VLOOKUP($B191,'Standards Crosswalk'!$A:$H,5,FALSE)</f>
        <v>18.1.1</v>
      </c>
      <c r="P191" s="66" t="str">
        <f>VLOOKUP($B191,'Standards Crosswalk'!$A:$H,6,FALSE)</f>
        <v>ID.GV-3</v>
      </c>
      <c r="Q191" s="66">
        <f>VLOOKUP($B191,'Standards Crosswalk'!$A:$H,7,FALSE)</f>
        <v>0</v>
      </c>
      <c r="R191" s="66" t="str">
        <f>VLOOKUP($B191,'Standards Crosswalk'!$A:$H,8,FALSE)</f>
        <v>CA-5, PM-1</v>
      </c>
      <c r="S191" s="66">
        <f>VLOOKUP($B191,'Standards Crosswalk'!$A:$I,9,FALSE)</f>
        <v>0</v>
      </c>
    </row>
    <row r="192" spans="1:19" ht="399" thickBot="1" x14ac:dyDescent="0.2">
      <c r="A192" s="65">
        <f t="shared" si="5"/>
        <v>190</v>
      </c>
      <c r="B192" s="71" t="s">
        <v>356</v>
      </c>
      <c r="C192" s="72" t="str">
        <f>VLOOKUP(B192,'HECVAT - Full'!A:E,2,FALSE)</f>
        <v>Do you perform background screenings or multi-state background checks on all employees prior to their first day of work?</v>
      </c>
      <c r="D192" s="65" t="str">
        <f>VLOOKUP(B192,'HECVAT - Full'!A:E,4,FALSE)</f>
        <v xml:space="preserve">Instructure performs criminal background checks on all employees. Additional credit background checks are performed on key financial employees.
</v>
      </c>
      <c r="E192" s="73" t="b">
        <f>IF(Table1[[#This Row],[Column11]]&gt;20,TRUE,FALSE)</f>
        <v>0</v>
      </c>
      <c r="F192" s="73" t="s">
        <v>2040</v>
      </c>
      <c r="G192" s="74" t="s">
        <v>17</v>
      </c>
      <c r="H192" s="75">
        <v>1</v>
      </c>
      <c r="I192" s="65" t="str">
        <f>VLOOKUP(B192,'HECVAT - Full'!A:E,3,FALSE)</f>
        <v>Yes</v>
      </c>
      <c r="J192" s="65">
        <f>IF(Table1[[#This Row],[Column7]]=Table1[[#This Row],[Column9]],1,0)</f>
        <v>1</v>
      </c>
      <c r="K192" s="65">
        <f>IF(Table1[[#This Row],[Column8]]=1,15,"")</f>
        <v>15</v>
      </c>
      <c r="L192" s="65">
        <f>IF(Table1[[#This Row],[Column8]]=1,J192*K192,"")</f>
        <v>15</v>
      </c>
      <c r="M192" s="66" t="str">
        <f>VLOOKUP($B192,'Standards Crosswalk'!$A:$H,3,FALSE)</f>
        <v>CSC 5</v>
      </c>
      <c r="N192" s="66">
        <f>VLOOKUP($B192,'Standards Crosswalk'!$A:$H,4,FALSE)</f>
        <v>0</v>
      </c>
      <c r="O192" s="66" t="str">
        <f>VLOOKUP($B192,'Standards Crosswalk'!$A:$H,5,FALSE)</f>
        <v>7.1.1</v>
      </c>
      <c r="P192" s="66" t="str">
        <f>VLOOKUP($B192,'Standards Crosswalk'!$A:$H,6,FALSE)</f>
        <v>PR.IP-11</v>
      </c>
      <c r="Q192" s="66" t="str">
        <f>VLOOKUP($B192,'Standards Crosswalk'!$A:$H,7,FALSE)</f>
        <v>3.9.1</v>
      </c>
      <c r="R192" s="66" t="str">
        <f>VLOOKUP($B192,'Standards Crosswalk'!$A:$H,8,FALSE)</f>
        <v>CA-5, PM-1, PS-3</v>
      </c>
      <c r="S192" s="66">
        <f>VLOOKUP($B192,'Standards Crosswalk'!$A:$I,9,FALSE)</f>
        <v>12.7</v>
      </c>
    </row>
    <row r="193" spans="1:19" ht="409.6" thickBot="1" x14ac:dyDescent="0.2">
      <c r="A193" s="65">
        <f t="shared" si="5"/>
        <v>191</v>
      </c>
      <c r="B193" s="71" t="s">
        <v>357</v>
      </c>
      <c r="C193" s="72" t="str">
        <f>VLOOKUP(B193,'HECVAT - Full'!A:E,2,FALSE)</f>
        <v xml:space="preserve">Do you require new employees to fill out agreements and review policies?  </v>
      </c>
      <c r="D193" s="65" t="str">
        <f>VLOOKUP(B193,'HECVAT - Full'!A:E,4,FALSE)</f>
        <v xml:space="preserve">All of our employees sign contracts that include clauses on confidentiality of information. Additionally, all on-boarded Instructure employees are required to read, understand, and sign FERPA and COPPA compliance forms.
</v>
      </c>
      <c r="E193" s="73" t="b">
        <f>IF(Table1[[#This Row],[Column11]]&gt;20,TRUE,FALSE)</f>
        <v>0</v>
      </c>
      <c r="F193" s="73" t="s">
        <v>2040</v>
      </c>
      <c r="G193" s="74" t="s">
        <v>17</v>
      </c>
      <c r="H193" s="75">
        <v>1</v>
      </c>
      <c r="I193" s="65" t="str">
        <f>VLOOKUP(B193,'HECVAT - Full'!A:E,3,FALSE)</f>
        <v>Yes</v>
      </c>
      <c r="J193" s="65">
        <f>IF(Table1[[#This Row],[Column7]]=Table1[[#This Row],[Column9]],1,0)</f>
        <v>1</v>
      </c>
      <c r="K193" s="65">
        <f>IF(Table1[[#This Row],[Column8]]=1,15,"")</f>
        <v>15</v>
      </c>
      <c r="L193" s="65">
        <f>IF(Table1[[#This Row],[Column8]]=1,J193*K193,"")</f>
        <v>15</v>
      </c>
      <c r="M193" s="66" t="str">
        <f>VLOOKUP($B193,'Standards Crosswalk'!$A:$H,3,FALSE)</f>
        <v>CSC 17</v>
      </c>
      <c r="N193" s="66">
        <f>VLOOKUP($B193,'Standards Crosswalk'!$A:$H,4,FALSE)</f>
        <v>0</v>
      </c>
      <c r="O193" s="66" t="str">
        <f>VLOOKUP($B193,'Standards Crosswalk'!$A:$H,5,FALSE)</f>
        <v>7.1.2</v>
      </c>
      <c r="P193" s="66" t="str">
        <f>VLOOKUP($B193,'Standards Crosswalk'!$A:$H,6,FALSE)</f>
        <v>PR.IP-11</v>
      </c>
      <c r="Q193" s="66">
        <f>VLOOKUP($B193,'Standards Crosswalk'!$A:$H,7,FALSE)</f>
        <v>0</v>
      </c>
      <c r="R193" s="66" t="str">
        <f>VLOOKUP($B193,'Standards Crosswalk'!$A:$H,8,FALSE)</f>
        <v>CA-5, PM-1</v>
      </c>
      <c r="S193" s="66" t="str">
        <f>VLOOKUP($B193,'Standards Crosswalk'!$A:$I,9,FALSE)</f>
        <v>12.6, 7.x, 8.x, 9.x</v>
      </c>
    </row>
    <row r="194" spans="1:19" ht="409.6" thickBot="1" x14ac:dyDescent="0.2">
      <c r="A194" s="65">
        <f t="shared" si="5"/>
        <v>192</v>
      </c>
      <c r="B194" s="71" t="s">
        <v>358</v>
      </c>
      <c r="C194" s="72" t="str">
        <f>VLOOKUP(B194,'HECVAT - Full'!A:E,2,FALSE)</f>
        <v>Do you have documented information security policy?</v>
      </c>
      <c r="D194" s="65" t="str">
        <f>VLOOKUP(B194,'HECVAT - Full'!A:E,4,FALSE)</f>
        <v xml:space="preserve">Portfolium has an internal Security Patching Policy and Process document which provides requirements for any changes to the infrastructure. This document can be made available upon request.
</v>
      </c>
      <c r="E194" s="73" t="b">
        <f>IF(Table1[[#This Row],[Column11]]&gt;20,TRUE,FALSE)</f>
        <v>1</v>
      </c>
      <c r="F194" s="73" t="s">
        <v>2040</v>
      </c>
      <c r="G194" s="74" t="s">
        <v>17</v>
      </c>
      <c r="H194" s="75">
        <v>1</v>
      </c>
      <c r="I194" s="65" t="str">
        <f>VLOOKUP(B194,'HECVAT - Full'!A:E,3,FALSE)</f>
        <v>Yes</v>
      </c>
      <c r="J194" s="65">
        <f>IF(Table1[[#This Row],[Column7]]=Table1[[#This Row],[Column9]],1,0)</f>
        <v>1</v>
      </c>
      <c r="K194" s="65">
        <f>IF(Table1[[#This Row],[Column8]]=1,25,"")</f>
        <v>25</v>
      </c>
      <c r="L194" s="65">
        <f>IF(Table1[[#This Row],[Column8]]=1,J194*K194,"")</f>
        <v>25</v>
      </c>
      <c r="M194" s="66" t="str">
        <f>VLOOKUP($B194,'Standards Crosswalk'!$A:$H,3,FALSE)</f>
        <v>CSC 17</v>
      </c>
      <c r="N194" s="66" t="str">
        <f>VLOOKUP($B194,'Standards Crosswalk'!$A:$H,4,FALSE)</f>
        <v>§164.308(a)(1)(i)</v>
      </c>
      <c r="O194" s="66" t="str">
        <f>VLOOKUP($B194,'Standards Crosswalk'!$A:$H,5,FALSE)</f>
        <v>5.1.1</v>
      </c>
      <c r="P194" s="66" t="str">
        <f>VLOOKUP($B194,'Standards Crosswalk'!$A:$H,6,FALSE)</f>
        <v>ID.GV-3</v>
      </c>
      <c r="Q194" s="66">
        <f>VLOOKUP($B194,'Standards Crosswalk'!$A:$H,7,FALSE)</f>
        <v>0</v>
      </c>
      <c r="R194" s="66" t="str">
        <f>VLOOKUP($B194,'Standards Crosswalk'!$A:$H,8,FALSE)</f>
        <v>CA-5, PM-1</v>
      </c>
      <c r="S194" s="66" t="str">
        <f>VLOOKUP($B194,'Standards Crosswalk'!$A:$I,9,FALSE)</f>
        <v>12.1, 5.4 (?)</v>
      </c>
    </row>
    <row r="195" spans="1:19" ht="409.6" thickBot="1" x14ac:dyDescent="0.2">
      <c r="A195" s="65">
        <f t="shared" si="5"/>
        <v>193</v>
      </c>
      <c r="B195" s="71" t="s">
        <v>359</v>
      </c>
      <c r="C195" s="72" t="str">
        <f>VLOOKUP(B195,'HECVAT - Full'!A:E,2,FALSE)</f>
        <v>Do you have an information security awareness program?</v>
      </c>
      <c r="D195" s="65" t="str">
        <f>VLOOKUP(B195,'HECVAT - Full'!A:E,4,FALSE)</f>
        <v xml:space="preserve">Instructure's security awareness program consists of in-person training for new-hires and annual computer-based training for all employees. As detailed in PPPR-18, employees are trained on privacy laws and various areas of security (online, mobile, physical, etc.).
</v>
      </c>
      <c r="E195" s="73" t="b">
        <f>IF(Table1[[#This Row],[Column11]]&gt;20,TRUE,FALSE)</f>
        <v>1</v>
      </c>
      <c r="F195" s="73" t="s">
        <v>2040</v>
      </c>
      <c r="G195" s="74" t="s">
        <v>17</v>
      </c>
      <c r="H195" s="75">
        <v>1</v>
      </c>
      <c r="I195" s="65" t="str">
        <f>VLOOKUP(B195,'HECVAT - Full'!A:E,3,FALSE)</f>
        <v>Yes</v>
      </c>
      <c r="J195" s="65">
        <f>IF(Table1[[#This Row],[Column7]]=Table1[[#This Row],[Column9]],1,0)</f>
        <v>1</v>
      </c>
      <c r="K195" s="65">
        <f>IF(Table1[[#This Row],[Column8]]=1,25,"")</f>
        <v>25</v>
      </c>
      <c r="L195" s="65">
        <f>IF(Table1[[#This Row],[Column8]]=1,J195*K195,"")</f>
        <v>25</v>
      </c>
      <c r="M195" s="66" t="str">
        <f>VLOOKUP($B195,'Standards Crosswalk'!$A:$H,3,FALSE)</f>
        <v>CSC 17</v>
      </c>
      <c r="N195" s="66" t="str">
        <f>VLOOKUP($B195,'Standards Crosswalk'!$A:$H,4,FALSE)</f>
        <v>§164.308(a)(5)(i)</v>
      </c>
      <c r="O195" s="66" t="str">
        <f>VLOOKUP($B195,'Standards Crosswalk'!$A:$H,5,FALSE)</f>
        <v>7.2.2</v>
      </c>
      <c r="P195" s="66" t="str">
        <f>VLOOKUP($B195,'Standards Crosswalk'!$A:$H,6,FALSE)</f>
        <v>PR.AT-1</v>
      </c>
      <c r="Q195" s="66" t="str">
        <f>VLOOKUP($B195,'Standards Crosswalk'!$A:$H,7,FALSE)</f>
        <v>3.2.1</v>
      </c>
      <c r="R195" s="66" t="str">
        <f>VLOOKUP($B195,'Standards Crosswalk'!$A:$H,8,FALSE)</f>
        <v>AT-2, CA-5, PM-1</v>
      </c>
      <c r="S195" s="66">
        <f>VLOOKUP($B195,'Standards Crosswalk'!$A:$I,9,FALSE)</f>
        <v>12.6</v>
      </c>
    </row>
    <row r="196" spans="1:19" ht="409.6" thickBot="1" x14ac:dyDescent="0.2">
      <c r="A196" s="65">
        <f t="shared" ref="A196:A259" si="6">A195+1</f>
        <v>194</v>
      </c>
      <c r="B196" s="71" t="s">
        <v>360</v>
      </c>
      <c r="C196" s="72" t="str">
        <f>VLOOKUP(B196,'HECVAT - Full'!A:E,2,FALSE)</f>
        <v>Is security awareness training mandatory for all employees?</v>
      </c>
      <c r="D196" s="65" t="str">
        <f>VLOOKUP(B196,'HECVAT - Full'!A:E,4,FALSE)</f>
        <v xml:space="preserve">All employees regardless of position are required to undertake annual security awareness training.
Instructure's annual security training covers several topics including (but not limited to) privacy laws and regulations (PII, FERPA, GDPR, COPPA etc.), data breaches, social engineering, account security, social media, physical security, online security, mobile security, software licensing, and clean desk policies.
</v>
      </c>
      <c r="E196" s="73" t="b">
        <f>IF(Table1[[#This Row],[Column11]]&gt;20,TRUE,FALSE)</f>
        <v>0</v>
      </c>
      <c r="F196" s="73" t="s">
        <v>2040</v>
      </c>
      <c r="G196" s="74" t="s">
        <v>17</v>
      </c>
      <c r="H196" s="75">
        <v>1</v>
      </c>
      <c r="I196" s="65" t="str">
        <f>VLOOKUP(B196,'HECVAT - Full'!A:E,3,FALSE)</f>
        <v>Yes</v>
      </c>
      <c r="J196" s="65">
        <f>IF(Table1[[#This Row],[Column7]]=Table1[[#This Row],[Column9]],1,0)</f>
        <v>1</v>
      </c>
      <c r="K196" s="65">
        <f>IF(Table1[[#This Row],[Column8]]=1,20,"")</f>
        <v>20</v>
      </c>
      <c r="L196" s="65">
        <f>IF(Table1[[#This Row],[Column8]]=1,J196*K196,"")</f>
        <v>20</v>
      </c>
      <c r="M196" s="66" t="str">
        <f>VLOOKUP($B196,'Standards Crosswalk'!$A:$H,3,FALSE)</f>
        <v>CSC 17</v>
      </c>
      <c r="N196" s="66" t="str">
        <f>VLOOKUP($B196,'Standards Crosswalk'!$A:$H,4,FALSE)</f>
        <v>§164.308(a)(5)(i)</v>
      </c>
      <c r="O196" s="66" t="str">
        <f>VLOOKUP($B196,'Standards Crosswalk'!$A:$H,5,FALSE)</f>
        <v>7.2.2</v>
      </c>
      <c r="P196" s="66" t="str">
        <f>VLOOKUP($B196,'Standards Crosswalk'!$A:$H,6,FALSE)</f>
        <v>PR.AT-1</v>
      </c>
      <c r="Q196" s="66" t="str">
        <f>VLOOKUP($B196,'Standards Crosswalk'!$A:$H,7,FALSE)</f>
        <v>3.2.1, 3.2.2, 3.2.3</v>
      </c>
      <c r="R196" s="66" t="str">
        <f>VLOOKUP($B196,'Standards Crosswalk'!$A:$H,8,FALSE)</f>
        <v>AT-2, AT-3, CA-5, PM-1</v>
      </c>
      <c r="S196" s="66">
        <f>VLOOKUP($B196,'Standards Crosswalk'!$A:$I,9,FALSE)</f>
        <v>12.6</v>
      </c>
    </row>
    <row r="197" spans="1:19" ht="409.6" thickBot="1" x14ac:dyDescent="0.2">
      <c r="A197" s="65">
        <f t="shared" si="6"/>
        <v>195</v>
      </c>
      <c r="B197" s="71" t="s">
        <v>361</v>
      </c>
      <c r="C197" s="72" t="str">
        <f>VLOOKUP(B197,'HECVAT - Full'!A:E,2,FALSE)</f>
        <v>Do you have process and procedure(s) documented, and currently followed, that require a review and update of the access-list(s) for privileged accounts?</v>
      </c>
      <c r="D197" s="65" t="str">
        <f>VLOOKUP(B197,'HECVAT - Full'!A:E,4,FALSE)</f>
        <v xml:space="preserve">Instructure's internal IT department regularly reviews user access based on the needs of their role. Access to Instructure is provided on a needs-only basis. Permissions are audited and updated to ensure internal systems security. Clear, valid, and necessary business justification must be provided before access is granted to any employee.
</v>
      </c>
      <c r="E197" s="73" t="b">
        <f>IF(Table1[[#This Row],[Column11]]&gt;20,TRUE,FALSE)</f>
        <v>0</v>
      </c>
      <c r="F197" s="73" t="s">
        <v>2040</v>
      </c>
      <c r="G197" s="74" t="s">
        <v>17</v>
      </c>
      <c r="H197" s="75">
        <v>1</v>
      </c>
      <c r="I197" s="65" t="str">
        <f>VLOOKUP(B197,'HECVAT - Full'!A:E,3,FALSE)</f>
        <v>Yes</v>
      </c>
      <c r="J197" s="65">
        <f>IF(Table1[[#This Row],[Column7]]=Table1[[#This Row],[Column9]],1,0)</f>
        <v>1</v>
      </c>
      <c r="K197" s="65">
        <f>IF(Table1[[#This Row],[Column8]]=1,20,"")</f>
        <v>20</v>
      </c>
      <c r="L197" s="65">
        <f>IF(Table1[[#This Row],[Column8]]=1,J197*K197,"")</f>
        <v>20</v>
      </c>
      <c r="M197" s="66" t="str">
        <f>VLOOKUP($B197,'Standards Crosswalk'!$A:$H,3,FALSE)</f>
        <v>CSC 17</v>
      </c>
      <c r="N197" s="66">
        <f>VLOOKUP($B197,'Standards Crosswalk'!$A:$H,4,FALSE)</f>
        <v>0</v>
      </c>
      <c r="O197" s="66" t="str">
        <f>VLOOKUP($B197,'Standards Crosswalk'!$A:$H,5,FALSE)</f>
        <v>9.2.5</v>
      </c>
      <c r="P197" s="66" t="str">
        <f>VLOOKUP($B197,'Standards Crosswalk'!$A:$H,6,FALSE)</f>
        <v>PR.AC-4, PR.PT-3</v>
      </c>
      <c r="Q197" s="66" t="str">
        <f>VLOOKUP($B197,'Standards Crosswalk'!$A:$H,7,FALSE)</f>
        <v>3.1.7</v>
      </c>
      <c r="R197" s="66" t="str">
        <f>VLOOKUP($B197,'Standards Crosswalk'!$A:$H,8,FALSE)</f>
        <v>CA-5, PM-1</v>
      </c>
      <c r="S197" s="66" t="str">
        <f>VLOOKUP($B197,'Standards Crosswalk'!$A:$I,9,FALSE)</f>
        <v>12.1, 12.5, 12.6</v>
      </c>
    </row>
    <row r="198" spans="1:19" ht="93.75" customHeight="1" thickBot="1" x14ac:dyDescent="0.2">
      <c r="A198" s="65">
        <f t="shared" si="6"/>
        <v>196</v>
      </c>
      <c r="B198" s="71" t="s">
        <v>362</v>
      </c>
      <c r="C198" s="72" t="str">
        <f>VLOOKUP(B198,'HECVAT - Full'!A:E,2,FALSE)</f>
        <v>Do you have documented, and currently implemented, internal audit processes and procedures?</v>
      </c>
      <c r="D198" s="65" t="str">
        <f>VLOOKUP(B198,'HECVAT - Full'!A:E,4,FALSE)</f>
        <v xml:space="preserve">Portfolium's various department policies include provisions for regular auditing. Policies, processes, and procedures, have owners who are responsible for conducting reviews of existing policies and practices. 
</v>
      </c>
      <c r="E198" s="73" t="b">
        <f>IF(Table1[[#This Row],[Column11]]&gt;20,TRUE,FALSE)</f>
        <v>0</v>
      </c>
      <c r="F198" s="73" t="s">
        <v>2040</v>
      </c>
      <c r="G198" s="74" t="s">
        <v>17</v>
      </c>
      <c r="H198" s="75">
        <v>1</v>
      </c>
      <c r="I198" s="65" t="str">
        <f>VLOOKUP(B198,'HECVAT - Full'!A:E,3,FALSE)</f>
        <v>Yes</v>
      </c>
      <c r="J198" s="65">
        <f>IF(Table1[[#This Row],[Column7]]=Table1[[#This Row],[Column9]],1,0)</f>
        <v>1</v>
      </c>
      <c r="K198" s="65">
        <f>IF(Table1[[#This Row],[Column8]]=1,20,"")</f>
        <v>20</v>
      </c>
      <c r="L198" s="65">
        <f>IF(Table1[[#This Row],[Column8]]=1,J198*K198,"")</f>
        <v>20</v>
      </c>
      <c r="M198" s="66">
        <f>VLOOKUP($B198,'Standards Crosswalk'!$A:$H,3,FALSE)</f>
        <v>0</v>
      </c>
      <c r="N198" s="66">
        <f>VLOOKUP($B198,'Standards Crosswalk'!$A:$H,4,FALSE)</f>
        <v>0</v>
      </c>
      <c r="O198" s="66" t="str">
        <f>VLOOKUP($B198,'Standards Crosswalk'!$A:$H,5,FALSE)</f>
        <v>12.7.1</v>
      </c>
      <c r="P198" s="66">
        <f>VLOOKUP($B198,'Standards Crosswalk'!$A:$H,6,FALSE)</f>
        <v>0</v>
      </c>
      <c r="Q198" s="66">
        <f>VLOOKUP($B198,'Standards Crosswalk'!$A:$H,7,FALSE)</f>
        <v>0</v>
      </c>
      <c r="R198" s="66" t="str">
        <f>VLOOKUP($B198,'Standards Crosswalk'!$A:$H,8,FALSE)</f>
        <v>CA-5, PM-1, PS-4, PS-5, PE-2, PE-3, PE-5, AC-6, RA-3, SA-8, CA-2, NIST SP 800-37; NIST SP 800-39; NIST SP 800-115; NIST SP 800-137</v>
      </c>
      <c r="S198" s="66">
        <f>VLOOKUP($B198,'Standards Crosswalk'!$A:$I,9,FALSE)</f>
        <v>0</v>
      </c>
    </row>
    <row r="199" spans="1:19" ht="409.6" thickBot="1" x14ac:dyDescent="0.2">
      <c r="A199" s="65">
        <f t="shared" si="6"/>
        <v>197</v>
      </c>
      <c r="B199" s="71" t="s">
        <v>363</v>
      </c>
      <c r="C199" s="72" t="str">
        <f>VLOOKUP(B199,'HECVAT - Full'!A:E,2,FALSE)</f>
        <v>Do you incorporate customer feedback into security feature requests?</v>
      </c>
      <c r="D199" s="65" t="str">
        <f>VLOOKUP(B199,'HECVAT - Full'!A:E,4,FALSE)</f>
        <v xml:space="preserve">We have an open communication policy with our customers, and encourage product requests. We also invite customers to participate in the Portfolium Product Advisory Committee for continual product enhancements. 
Our product management team uses a RICE scoring method for prioritization. RICE is an acronym for the four factors we use to evaluate each future enhancement idea: reach, impact, confidence and effort. Reach measures the number of customers a feature will affect across a given period of time. Impact refers to the estimate of maximizing customer delight with this new enhancement. Confidence is a score that allows us to factor in our confidence in the data we have on impact and reach. Effort is and score we use to estimate the time required by our team to plan, design and develop the enhancement. This scoring method allows us to prioritize and plan our product roadmap.
</v>
      </c>
      <c r="E199" s="73" t="b">
        <f>IF(Table1[[#This Row],[Column11]]&gt;20,TRUE,FALSE)</f>
        <v>0</v>
      </c>
      <c r="F199" s="73" t="s">
        <v>2041</v>
      </c>
      <c r="G199" s="74" t="s">
        <v>17</v>
      </c>
      <c r="H199" s="75">
        <v>1</v>
      </c>
      <c r="I199" s="65" t="str">
        <f>VLOOKUP(B199,'HECVAT - Full'!A:E,3,FALSE)</f>
        <v>Yes</v>
      </c>
      <c r="J199" s="65">
        <f>IF(Table1[[#This Row],[Column7]]=Table1[[#This Row],[Column9]],1,0)</f>
        <v>1</v>
      </c>
      <c r="K199" s="65">
        <f>IF(Table1[[#This Row],[Column8]]=1,15,"")</f>
        <v>15</v>
      </c>
      <c r="L199" s="65">
        <f>IF(Table1[[#This Row],[Column8]]=1,J199*K199,"")</f>
        <v>15</v>
      </c>
      <c r="M199" s="66">
        <f>VLOOKUP($B199,'Standards Crosswalk'!$A:$H,3,FALSE)</f>
        <v>0</v>
      </c>
      <c r="N199" s="66">
        <f>VLOOKUP($B199,'Standards Crosswalk'!$A:$H,4,FALSE)</f>
        <v>0</v>
      </c>
      <c r="O199" s="66">
        <f>VLOOKUP($B199,'Standards Crosswalk'!$A:$H,5,FALSE)</f>
        <v>0</v>
      </c>
      <c r="P199" s="66">
        <f>VLOOKUP($B199,'Standards Crosswalk'!$A:$H,6,FALSE)</f>
        <v>0</v>
      </c>
      <c r="Q199" s="66">
        <f>VLOOKUP($B199,'Standards Crosswalk'!$A:$H,7,FALSE)</f>
        <v>0</v>
      </c>
      <c r="R199" s="66">
        <f>VLOOKUP($B199,'Standards Crosswalk'!$A:$H,8,FALSE)</f>
        <v>0</v>
      </c>
      <c r="S199" s="66">
        <f>VLOOKUP($B199,'Standards Crosswalk'!$A:$I,9,FALSE)</f>
        <v>0</v>
      </c>
    </row>
    <row r="200" spans="1:19" ht="256" thickBot="1" x14ac:dyDescent="0.2">
      <c r="A200" s="65">
        <f t="shared" si="6"/>
        <v>198</v>
      </c>
      <c r="B200" s="71" t="s">
        <v>364</v>
      </c>
      <c r="C200" s="72" t="str">
        <f>VLOOKUP(B200,'HECVAT - Full'!A:E,2,FALSE)</f>
        <v>Can you provide an evaluation site to the institution for testing?</v>
      </c>
      <c r="D200" s="65" t="str">
        <f>VLOOKUP(B200,'HECVAT - Full'!A:E,4,FALSE)</f>
        <v xml:space="preserve">All users are give access to the Portfolium "demo" domain for testing at no additional cost.
</v>
      </c>
      <c r="E200" s="73" t="b">
        <f>IF(Table1[[#This Row],[Column11]]&gt;20,TRUE,FALSE)</f>
        <v>0</v>
      </c>
      <c r="F200" s="73" t="s">
        <v>2041</v>
      </c>
      <c r="G200" s="74" t="s">
        <v>17</v>
      </c>
      <c r="H200" s="75">
        <v>1</v>
      </c>
      <c r="I200" s="65" t="str">
        <f>VLOOKUP(B200,'HECVAT - Full'!A:E,3,FALSE)</f>
        <v>Yes</v>
      </c>
      <c r="J200" s="65">
        <f>IF(Table1[[#This Row],[Column7]]=Table1[[#This Row],[Column9]],1,0)</f>
        <v>1</v>
      </c>
      <c r="K200" s="65">
        <f>IF(Table1[[#This Row],[Column8]]=1,15,"")</f>
        <v>15</v>
      </c>
      <c r="L200" s="65">
        <f>IF(Table1[[#This Row],[Column8]]=1,J200*K200,"")</f>
        <v>15</v>
      </c>
      <c r="M200" s="66">
        <f>VLOOKUP($B200,'Standards Crosswalk'!$A:$H,3,FALSE)</f>
        <v>0</v>
      </c>
      <c r="N200" s="66">
        <f>VLOOKUP($B200,'Standards Crosswalk'!$A:$H,4,FALSE)</f>
        <v>0</v>
      </c>
      <c r="O200" s="66">
        <f>VLOOKUP($B200,'Standards Crosswalk'!$A:$H,5,FALSE)</f>
        <v>0</v>
      </c>
      <c r="P200" s="66" t="str">
        <f>VLOOKUP($B200,'Standards Crosswalk'!$A:$H,6,FALSE)</f>
        <v>PR.DS-7</v>
      </c>
      <c r="Q200" s="66">
        <f>VLOOKUP($B200,'Standards Crosswalk'!$A:$H,7,FALSE)</f>
        <v>0</v>
      </c>
      <c r="R200" s="66">
        <f>VLOOKUP($B200,'Standards Crosswalk'!$A:$H,8,FALSE)</f>
        <v>0</v>
      </c>
      <c r="S200" s="66">
        <f>VLOOKUP($B200,'Standards Crosswalk'!$A:$I,9,FALSE)</f>
        <v>0</v>
      </c>
    </row>
    <row r="201" spans="1:19" ht="409.6" thickBot="1" x14ac:dyDescent="0.2">
      <c r="A201" s="65">
        <f t="shared" si="6"/>
        <v>199</v>
      </c>
      <c r="B201" s="71" t="s">
        <v>365</v>
      </c>
      <c r="C201" s="72" t="str">
        <f>VLOOKUP(B201,'HECVAT - Full'!A:E,2,FALSE)</f>
        <v>Provide a general summary of your Quality Assurance program.</v>
      </c>
      <c r="D201" s="65">
        <f>VLOOKUP(B201,'HECVAT - Full'!A:E,4,FALSE)</f>
        <v>0</v>
      </c>
      <c r="E201" s="73" t="b">
        <f>IF(Table1[[#This Row],[Column11]]&gt;20,TRUE,FALSE)</f>
        <v>0</v>
      </c>
      <c r="F201" s="73" t="s">
        <v>2042</v>
      </c>
      <c r="G201" s="74" t="s">
        <v>17</v>
      </c>
      <c r="H201" s="75">
        <v>1</v>
      </c>
      <c r="I201" s="65" t="str">
        <f>VLOOKUP(B201,'HECVAT - Full'!A:E,3,FALSE)</f>
        <v xml:space="preserve">Portfolium applies an Agile methodology with an integrated Quality Assurance (QA) process to the design, development, and maintenance of Canvas. Engineers write automated unit and integration tests to cover all new code that is written. In addition, all code changes are run through the full Portfolium QA test suite before they can be accepted into the main product. Code changes are closely reviewed and must be peer-approved by other engineering team members before inclusion in the upgrade/update package.
</v>
      </c>
      <c r="J201" s="65">
        <f>IF(VLOOKUP(Table1[[#This Row],[Column2]],'Analyst Report'!$A$41:$G$88,7,FALSE)="Yes",1,0)</f>
        <v>0</v>
      </c>
      <c r="K201" s="65">
        <f>IF(Table1[[#This Row],[Column8]]=1,15,"")</f>
        <v>15</v>
      </c>
      <c r="L201" s="65">
        <f>IF(Table1[[#This Row],[Column8]]=1,J201*K201,"")</f>
        <v>0</v>
      </c>
      <c r="M201" s="66" t="str">
        <f>VLOOKUP($B201,'Standards Crosswalk'!$A:$H,3,FALSE)</f>
        <v>CSC 13</v>
      </c>
      <c r="N201" s="66">
        <f>VLOOKUP($B201,'Standards Crosswalk'!$A:$H,4,FALSE)</f>
        <v>0</v>
      </c>
      <c r="O201" s="66">
        <f>VLOOKUP($B201,'Standards Crosswalk'!$A:$H,5,FALSE)</f>
        <v>0</v>
      </c>
      <c r="P201" s="66">
        <f>VLOOKUP($B201,'Standards Crosswalk'!$A:$H,6,FALSE)</f>
        <v>0</v>
      </c>
      <c r="Q201" s="66">
        <f>VLOOKUP($B201,'Standards Crosswalk'!$A:$H,7,FALSE)</f>
        <v>0</v>
      </c>
      <c r="R201" s="66">
        <f>VLOOKUP($B201,'Standards Crosswalk'!$A:$H,8,FALSE)</f>
        <v>0</v>
      </c>
      <c r="S201" s="66">
        <f>VLOOKUP($B201,'Standards Crosswalk'!$A:$I,9,FALSE)</f>
        <v>0</v>
      </c>
    </row>
    <row r="202" spans="1:19" ht="409.6" thickBot="1" x14ac:dyDescent="0.2">
      <c r="A202" s="65">
        <f t="shared" si="6"/>
        <v>200</v>
      </c>
      <c r="B202" s="71" t="s">
        <v>366</v>
      </c>
      <c r="C202" s="72" t="str">
        <f>VLOOKUP(B202,'HECVAT - Full'!A:E,2,FALSE)</f>
        <v>Do you comply with ISO 9001?</v>
      </c>
      <c r="D202" s="65" t="str">
        <f>VLOOKUP(B202,'HECVAT - Full'!A:E,4,FALSE)</f>
        <v xml:space="preserve">Portfolium is a Cloud based system that is fully hosted by Amazon Web Services. Therefore Portfolium defers to Amazon's AWS certification, which is located online at: http://aws.amazon.com/compliance. AWS is certified in ISO 9001.
</v>
      </c>
      <c r="E202" s="73" t="b">
        <f>IF(Table1[[#This Row],[Column11]]&gt;20,TRUE,FALSE)</f>
        <v>0</v>
      </c>
      <c r="F202" s="73" t="s">
        <v>2042</v>
      </c>
      <c r="G202" s="74" t="s">
        <v>17</v>
      </c>
      <c r="H202" s="75">
        <v>1</v>
      </c>
      <c r="I202" s="65" t="str">
        <f>VLOOKUP(B202,'HECVAT - Full'!A:E,3,FALSE)</f>
        <v>No</v>
      </c>
      <c r="J202" s="65">
        <f>IF(Table1[[#This Row],[Column7]]=Table1[[#This Row],[Column9]],1,0)</f>
        <v>0</v>
      </c>
      <c r="K202" s="65">
        <f>IF(Table1[[#This Row],[Column8]]=1,15,"")</f>
        <v>15</v>
      </c>
      <c r="L202" s="65">
        <f>IF(Table1[[#This Row],[Column8]]=1,J202*K202,"")</f>
        <v>0</v>
      </c>
      <c r="M202" s="66" t="str">
        <f>VLOOKUP($B202,'Standards Crosswalk'!$A:$H,3,FALSE)</f>
        <v>CSC 13</v>
      </c>
      <c r="N202" s="66">
        <f>VLOOKUP($B202,'Standards Crosswalk'!$A:$H,4,FALSE)</f>
        <v>0</v>
      </c>
      <c r="O202" s="66" t="str">
        <f>VLOOKUP($B202,'Standards Crosswalk'!$A:$H,5,FALSE)</f>
        <v>18.1.1</v>
      </c>
      <c r="P202" s="66">
        <f>VLOOKUP($B202,'Standards Crosswalk'!$A:$H,6,FALSE)</f>
        <v>0</v>
      </c>
      <c r="Q202" s="66">
        <f>VLOOKUP($B202,'Standards Crosswalk'!$A:$H,7,FALSE)</f>
        <v>0</v>
      </c>
      <c r="R202" s="66">
        <f>VLOOKUP($B202,'Standards Crosswalk'!$A:$H,8,FALSE)</f>
        <v>0</v>
      </c>
      <c r="S202" s="66">
        <f>VLOOKUP($B202,'Standards Crosswalk'!$A:$I,9,FALSE)</f>
        <v>0</v>
      </c>
    </row>
    <row r="203" spans="1:19" ht="409.6" thickBot="1" x14ac:dyDescent="0.2">
      <c r="A203" s="65">
        <f t="shared" si="6"/>
        <v>201</v>
      </c>
      <c r="B203" s="71" t="s">
        <v>367</v>
      </c>
      <c r="C203" s="72" t="str">
        <f>VLOOKUP(B203,'HECVAT - Full'!A:E,2,FALSE)</f>
        <v>Will your company provide quality and performance metrics in relation to the scope of services and performance expectations for the services you are offering?</v>
      </c>
      <c r="D203" s="65" t="str">
        <f>VLOOKUP(B203,'HECVAT - Full'!A:E,4,FALSE)</f>
        <v>Portfolium uses an array of monitoring tools that are built into or integrate with AWS's VPC architecture. The AWS CloudWatch service enables our site reliability engineers to track and validate application performance. Status updates will be provided in accordance with the following until the issue is resolved:
    • Critical (Severity 1): Every 30 minutes until problem is resolved or severity level is changed
    • Urgent (Severity 2): Every 1 hour until problem is resolved or severity level is changed
    • Standard (Severity 3): Every 4 hours until problem is resolved or severity level is changed
    • Low (Severity 4): Every 24 hours until problem is resolved or severity level is changed</v>
      </c>
      <c r="E203" s="73" t="b">
        <f>IF(Table1[[#This Row],[Column11]]&gt;20,TRUE,FALSE)</f>
        <v>0</v>
      </c>
      <c r="F203" s="73" t="s">
        <v>2042</v>
      </c>
      <c r="G203" s="74" t="s">
        <v>17</v>
      </c>
      <c r="H203" s="75">
        <v>1</v>
      </c>
      <c r="I203" s="65" t="str">
        <f>VLOOKUP(B203,'HECVAT - Full'!A:E,3,FALSE)</f>
        <v>Yes</v>
      </c>
      <c r="J203" s="65">
        <f>IF(Table1[[#This Row],[Column7]]=Table1[[#This Row],[Column9]],1,0)</f>
        <v>1</v>
      </c>
      <c r="K203" s="65">
        <f>IF(Table1[[#This Row],[Column8]]=1,15,"")</f>
        <v>15</v>
      </c>
      <c r="L203" s="65">
        <f>IF(Table1[[#This Row],[Column8]]=1,J203*K203,"")</f>
        <v>15</v>
      </c>
      <c r="M203" s="66" t="str">
        <f>VLOOKUP($B203,'Standards Crosswalk'!$A:$H,3,FALSE)</f>
        <v>CSC 13</v>
      </c>
      <c r="N203" s="66">
        <f>VLOOKUP($B203,'Standards Crosswalk'!$A:$H,4,FALSE)</f>
        <v>0</v>
      </c>
      <c r="O203" s="66">
        <f>VLOOKUP($B203,'Standards Crosswalk'!$A:$H,5,FALSE)</f>
        <v>0</v>
      </c>
      <c r="P203" s="66">
        <f>VLOOKUP($B203,'Standards Crosswalk'!$A:$H,6,FALSE)</f>
        <v>0</v>
      </c>
      <c r="Q203" s="66">
        <f>VLOOKUP($B203,'Standards Crosswalk'!$A:$H,7,FALSE)</f>
        <v>0</v>
      </c>
      <c r="R203" s="66">
        <f>VLOOKUP($B203,'Standards Crosswalk'!$A:$H,8,FALSE)</f>
        <v>0</v>
      </c>
      <c r="S203" s="66">
        <f>VLOOKUP($B203,'Standards Crosswalk'!$A:$I,9,FALSE)</f>
        <v>0</v>
      </c>
    </row>
    <row r="204" spans="1:19" ht="409.6" thickBot="1" x14ac:dyDescent="0.2">
      <c r="A204" s="65">
        <f t="shared" si="6"/>
        <v>202</v>
      </c>
      <c r="B204" s="71" t="s">
        <v>368</v>
      </c>
      <c r="C204" s="72" t="str">
        <f>VLOOKUP(B204,'HECVAT - Full'!A:E,2,FALSE)</f>
        <v>Have you supplied products and/or services to the Institution (or its Campuses) in the last five years?</v>
      </c>
      <c r="D204" s="65" t="str">
        <f>VLOOKUP(B204,'HECVAT - Full'!A:E,4,FALSE)</f>
        <v xml:space="preserve">This information can be provided on request. For new clients, please reach out to contact@portfolium.com. We will put you in contact with the director for your region who can answer this for you. For existing clients, please reach out to your Customer Success Manager.
</v>
      </c>
      <c r="E204" s="73" t="b">
        <f>IF(Table1[[#This Row],[Column11]]&gt;20,TRUE,FALSE)</f>
        <v>0</v>
      </c>
      <c r="F204" s="73" t="s">
        <v>2042</v>
      </c>
      <c r="G204" s="74" t="s">
        <v>17</v>
      </c>
      <c r="H204" s="75">
        <v>1</v>
      </c>
      <c r="I204" s="65" t="str">
        <f>VLOOKUP(B204,'HECVAT - Full'!A:E,3,FALSE)</f>
        <v>No</v>
      </c>
      <c r="J204" s="65">
        <f>IF(Table1[[#This Row],[Column7]]=Table1[[#This Row],[Column9]],1,0)</f>
        <v>0</v>
      </c>
      <c r="K204" s="65">
        <f>IF(Table1[[#This Row],[Column8]]=1,15,"")</f>
        <v>15</v>
      </c>
      <c r="L204" s="65">
        <f>IF(Table1[[#This Row],[Column8]]=1,J204*K204,"")</f>
        <v>0</v>
      </c>
      <c r="M204" s="66">
        <f>VLOOKUP($B204,'Standards Crosswalk'!$A:$H,3,FALSE)</f>
        <v>0</v>
      </c>
      <c r="N204" s="66">
        <f>VLOOKUP($B204,'Standards Crosswalk'!$A:$H,4,FALSE)</f>
        <v>0</v>
      </c>
      <c r="O204" s="66">
        <f>VLOOKUP($B204,'Standards Crosswalk'!$A:$H,5,FALSE)</f>
        <v>0</v>
      </c>
      <c r="P204" s="66">
        <f>VLOOKUP($B204,'Standards Crosswalk'!$A:$H,6,FALSE)</f>
        <v>0</v>
      </c>
      <c r="Q204" s="66">
        <f>VLOOKUP($B204,'Standards Crosswalk'!$A:$H,7,FALSE)</f>
        <v>0</v>
      </c>
      <c r="R204" s="66">
        <f>VLOOKUP($B204,'Standards Crosswalk'!$A:$H,8,FALSE)</f>
        <v>0</v>
      </c>
      <c r="S204" s="66">
        <f>VLOOKUP($B204,'Standards Crosswalk'!$A:$I,9,FALSE)</f>
        <v>0</v>
      </c>
    </row>
    <row r="205" spans="1:19" ht="409.6" thickBot="1" x14ac:dyDescent="0.2">
      <c r="A205" s="65">
        <f t="shared" si="6"/>
        <v>203</v>
      </c>
      <c r="B205" s="71" t="s">
        <v>369</v>
      </c>
      <c r="C205" s="72" t="str">
        <f>VLOOKUP(B205,'HECVAT - Full'!A:E,2,FALSE)</f>
        <v>Do you have a program to keep your customers abreast of higher education and/or industry issues?</v>
      </c>
      <c r="D205" s="65" t="str">
        <f>VLOOKUP(B205,'HECVAT - Full'!A:E,4,FALSE)</f>
        <v xml:space="preserve">Instructure's Community is a space where institutions come together to discuss trends in education, issues, post feature ideas, form special interest groups, view release notes, and discover Guides. Market trends and adoption strategies are regular topics of discussions, and Portfolium has a dedicated group with helpful webinars, guides, and other resources: https://community.canvaslms.com/groups/portfolium.
Additionally, Instructure puts on an annual conference called InstructureCon (https://blog.canvaslms.com/news/instructurecon19) where active and prospective customers can sign up and attend seminars and classes on best practices and uses of our flagship product, Canvas, and other offerings like Portfolium. 
</v>
      </c>
      <c r="E205" s="73" t="b">
        <f>IF(Table1[[#This Row],[Column11]]&gt;20,TRUE,FALSE)</f>
        <v>0</v>
      </c>
      <c r="F205" s="73" t="s">
        <v>2042</v>
      </c>
      <c r="G205" s="74" t="s">
        <v>17</v>
      </c>
      <c r="H205" s="75">
        <v>1</v>
      </c>
      <c r="I205" s="65" t="str">
        <f>VLOOKUP(B205,'HECVAT - Full'!A:E,3,FALSE)</f>
        <v>Yes</v>
      </c>
      <c r="J205" s="65">
        <f>IF(Table1[[#This Row],[Column7]]=Table1[[#This Row],[Column9]],1,0)</f>
        <v>1</v>
      </c>
      <c r="K205" s="65">
        <f>IF(Table1[[#This Row],[Column8]]=1,15,"")</f>
        <v>15</v>
      </c>
      <c r="L205" s="65">
        <f>IF(Table1[[#This Row],[Column8]]=1,J205*K205,"")</f>
        <v>15</v>
      </c>
      <c r="M205" s="66" t="str">
        <f>VLOOKUP($B205,'Standards Crosswalk'!$A:$H,3,FALSE)</f>
        <v>CSC 17</v>
      </c>
      <c r="N205" s="66">
        <f>VLOOKUP($B205,'Standards Crosswalk'!$A:$H,4,FALSE)</f>
        <v>0</v>
      </c>
      <c r="O205" s="66">
        <f>VLOOKUP($B205,'Standards Crosswalk'!$A:$H,5,FALSE)</f>
        <v>0</v>
      </c>
      <c r="P205" s="66">
        <f>VLOOKUP($B205,'Standards Crosswalk'!$A:$H,6,FALSE)</f>
        <v>0</v>
      </c>
      <c r="Q205" s="66">
        <f>VLOOKUP($B205,'Standards Crosswalk'!$A:$H,7,FALSE)</f>
        <v>0</v>
      </c>
      <c r="R205" s="66">
        <f>VLOOKUP($B205,'Standards Crosswalk'!$A:$H,8,FALSE)</f>
        <v>0</v>
      </c>
      <c r="S205" s="66">
        <f>VLOOKUP($B205,'Standards Crosswalk'!$A:$I,9,FALSE)</f>
        <v>0</v>
      </c>
    </row>
    <row r="206" spans="1:19" ht="409.6" thickBot="1" x14ac:dyDescent="0.2">
      <c r="A206" s="65">
        <f t="shared" si="6"/>
        <v>204</v>
      </c>
      <c r="B206" s="71" t="s">
        <v>370</v>
      </c>
      <c r="C206" s="72" t="str">
        <f>VLOOKUP(B206,'HECVAT - Full'!A:E,2,FALSE)</f>
        <v>Are systems that support this service managed via a separate management network?</v>
      </c>
      <c r="D206" s="65" t="str">
        <f>VLOOKUP(B206,'HECVAT - Full'!A:E,4,FALSE)</f>
        <v xml:space="preserve">The systems that support the Canvas service are managed via a Virtual Private Cloud hosted by Amazon Web Services. Only Portfolium's Operations team has access to configure and manage these systems. Physical servers and architecture components are managed by AWS.
</v>
      </c>
      <c r="E206" s="73" t="b">
        <f>IF(Table1[[#This Row],[Column11]]&gt;20,TRUE,FALSE)</f>
        <v>1</v>
      </c>
      <c r="F206" s="73" t="s">
        <v>2043</v>
      </c>
      <c r="G206" s="74" t="s">
        <v>17</v>
      </c>
      <c r="H206" s="75">
        <v>1</v>
      </c>
      <c r="I206" s="65" t="str">
        <f>VLOOKUP(B206,'HECVAT - Full'!A:E,3,FALSE)</f>
        <v>Yes</v>
      </c>
      <c r="J206" s="65">
        <f>IF(Table1[[#This Row],[Column7]]=Table1[[#This Row],[Column9]],1,0)</f>
        <v>1</v>
      </c>
      <c r="K206" s="65">
        <f>IF(Table1[[#This Row],[Column8]]=1,25,"")</f>
        <v>25</v>
      </c>
      <c r="L206" s="65">
        <f>IF(Table1[[#This Row],[Column8]]=1,J206*K206,"")</f>
        <v>25</v>
      </c>
      <c r="M206" s="66" t="str">
        <f>VLOOKUP($B206,'Standards Crosswalk'!$A:$H,3,FALSE)</f>
        <v>CSC 12</v>
      </c>
      <c r="N206" s="66">
        <f>VLOOKUP($B206,'Standards Crosswalk'!$A:$H,4,FALSE)</f>
        <v>0</v>
      </c>
      <c r="O206" s="66" t="str">
        <f>VLOOKUP($B206,'Standards Crosswalk'!$A:$H,5,FALSE)</f>
        <v>13.1.1</v>
      </c>
      <c r="P206" s="66" t="str">
        <f>VLOOKUP($B206,'Standards Crosswalk'!$A:$H,6,FALSE)</f>
        <v>PR.PT-4</v>
      </c>
      <c r="Q206" s="66" t="str">
        <f>VLOOKUP($B206,'Standards Crosswalk'!$A:$H,7,FALSE)</f>
        <v>3.1.3</v>
      </c>
      <c r="R206" s="66" t="str">
        <f>VLOOKUP($B206,'Standards Crosswalk'!$A:$H,8,FALSE)</f>
        <v>AC-4</v>
      </c>
      <c r="S206" s="66">
        <f>VLOOKUP($B206,'Standards Crosswalk'!$A:$I,9,FALSE)</f>
        <v>0</v>
      </c>
    </row>
    <row r="207" spans="1:19" ht="409.6" thickBot="1" x14ac:dyDescent="0.2">
      <c r="A207" s="65">
        <f t="shared" si="6"/>
        <v>205</v>
      </c>
      <c r="B207" s="71" t="s">
        <v>371</v>
      </c>
      <c r="C207" s="72" t="str">
        <f>VLOOKUP(B207,'HECVAT - Full'!A:E,2,FALSE)</f>
        <v>Do you have an implemented system configuration management process? (e.g. secure "gold" images, etc.)</v>
      </c>
      <c r="D207" s="65" t="str">
        <f>VLOOKUP(B207,'HECVAT - Full'!A:E,4,FALSE)</f>
        <v xml:space="preserve">Portfolium's Operations and Engineering team uses proprietary and third-party tools to programmatically (and securely) launch new instances of the Portfolium application. Tools leveraged include Chef and Amazon Machine Images. As a cloud-native service hosted on AWS, configuring a new "gold" image of Portfolium is quick and efficient. Servers and other architecture components are physically located in AWS data centers, but the VPC is managed by Instructure. 
Moreover, Instructure owned devices, such as laptops, that are used to access applications and deliver support are setup using a "gold" image from Instructure's IT staff. Our IT department utilizes system management software for managing and securing company devices.
</v>
      </c>
      <c r="E207" s="73" t="b">
        <f>IF(Table1[[#This Row],[Column11]]&gt;20,TRUE,FALSE)</f>
        <v>0</v>
      </c>
      <c r="F207" s="73" t="s">
        <v>2043</v>
      </c>
      <c r="G207" s="74" t="s">
        <v>17</v>
      </c>
      <c r="H207" s="75">
        <v>1</v>
      </c>
      <c r="I207" s="65" t="str">
        <f>VLOOKUP(B207,'HECVAT - Full'!A:E,3,FALSE)</f>
        <v>Yes</v>
      </c>
      <c r="J207" s="65">
        <f>IF(Table1[[#This Row],[Column7]]=Table1[[#This Row],[Column9]],1,0)</f>
        <v>1</v>
      </c>
      <c r="K207" s="65">
        <f>IF(Table1[[#This Row],[Column8]]=1,10,"")</f>
        <v>10</v>
      </c>
      <c r="L207" s="65">
        <f>IF(Table1[[#This Row],[Column8]]=1,J207*K207,"")</f>
        <v>10</v>
      </c>
      <c r="M207" s="66" t="str">
        <f>VLOOKUP($B207,'Standards Crosswalk'!$A:$H,3,FALSE)</f>
        <v>CSC 3</v>
      </c>
      <c r="N207" s="66">
        <f>VLOOKUP($B207,'Standards Crosswalk'!$A:$H,4,FALSE)</f>
        <v>0</v>
      </c>
      <c r="O207" s="66">
        <f>VLOOKUP($B207,'Standards Crosswalk'!$A:$H,5,FALSE)</f>
        <v>0</v>
      </c>
      <c r="P207" s="66" t="str">
        <f>VLOOKUP($B207,'Standards Crosswalk'!$A:$H,6,FALSE)</f>
        <v>PR.IP-1</v>
      </c>
      <c r="Q207" s="66" t="str">
        <f>VLOOKUP($B207,'Standards Crosswalk'!$A:$H,7,FALSE)</f>
        <v>3.4.1, 3.4.2, 3.4.3</v>
      </c>
      <c r="R207" s="66" t="str">
        <f>VLOOKUP($B207,'Standards Crosswalk'!$A:$H,8,FALSE)</f>
        <v>CM-2, CM-3, CM-6, CM-8</v>
      </c>
      <c r="S207" s="66">
        <f>VLOOKUP($B207,'Standards Crosswalk'!$A:$I,9,FALSE)</f>
        <v>0</v>
      </c>
    </row>
    <row r="208" spans="1:19" ht="409.6" thickBot="1" x14ac:dyDescent="0.2">
      <c r="A208" s="65">
        <f t="shared" si="6"/>
        <v>206</v>
      </c>
      <c r="B208" s="71" t="s">
        <v>372</v>
      </c>
      <c r="C208" s="72" t="str">
        <f>VLOOKUP(B208,'HECVAT - Full'!A:E,2,FALSE)</f>
        <v>Are employee mobile devices managed by your company's Mobile Device Management (MDM) platform?</v>
      </c>
      <c r="D208" s="65" t="str">
        <f>VLOOKUP(B208,'HECVAT - Full'!A:E,4,FALSE)</f>
        <v xml:space="preserve">Instructure owned Mobile devices are managed via an MDM platform. Instructure has dedicated IT staff who are responsible for servicing, managing, and securing mobile devices.
</v>
      </c>
      <c r="E208" s="73" t="b">
        <f>IF(Table1[[#This Row],[Column11]]&gt;20,TRUE,FALSE)</f>
        <v>0</v>
      </c>
      <c r="F208" s="73" t="s">
        <v>2043</v>
      </c>
      <c r="G208" s="74" t="s">
        <v>17</v>
      </c>
      <c r="H208" s="75">
        <v>1</v>
      </c>
      <c r="I208" s="65" t="str">
        <f>VLOOKUP(B208,'HECVAT - Full'!A:E,3,FALSE)</f>
        <v>Yes</v>
      </c>
      <c r="J208" s="65">
        <f>IF(Table1[[#This Row],[Column7]]=Table1[[#This Row],[Column9]],1,0)</f>
        <v>1</v>
      </c>
      <c r="K208" s="65">
        <f>IF(Table1[[#This Row],[Column8]]=1,15,"")</f>
        <v>15</v>
      </c>
      <c r="L208" s="65">
        <f>IF(Table1[[#This Row],[Column8]]=1,J208*K208,"")</f>
        <v>15</v>
      </c>
      <c r="M208" s="66" t="str">
        <f>VLOOKUP($B208,'Standards Crosswalk'!$A:$H,3,FALSE)</f>
        <v>CSC 3</v>
      </c>
      <c r="N208" s="66">
        <f>VLOOKUP($B208,'Standards Crosswalk'!$A:$H,4,FALSE)</f>
        <v>0</v>
      </c>
      <c r="O208" s="66" t="str">
        <f>VLOOKUP($B208,'Standards Crosswalk'!$A:$H,5,FALSE)</f>
        <v>6.2.1</v>
      </c>
      <c r="P208" s="66">
        <f>VLOOKUP($B208,'Standards Crosswalk'!$A:$H,6,FALSE)</f>
        <v>0</v>
      </c>
      <c r="Q208" s="66" t="str">
        <f>VLOOKUP($B208,'Standards Crosswalk'!$A:$H,7,FALSE)</f>
        <v>3.13.13</v>
      </c>
      <c r="R208" s="66">
        <f>VLOOKUP($B208,'Standards Crosswalk'!$A:$H,8,FALSE)</f>
        <v>0</v>
      </c>
      <c r="S208" s="66">
        <f>VLOOKUP($B208,'Standards Crosswalk'!$A:$I,9,FALSE)</f>
        <v>0</v>
      </c>
    </row>
    <row r="209" spans="1:19" ht="409.6" thickBot="1" x14ac:dyDescent="0.2">
      <c r="A209" s="65">
        <f t="shared" si="6"/>
        <v>207</v>
      </c>
      <c r="B209" s="71" t="s">
        <v>373</v>
      </c>
      <c r="C209" s="72" t="str">
        <f>VLOOKUP(B209,'HECVAT - Full'!A:E,2,FALSE)</f>
        <v>Do you have a systems management and configuration strategy that encompasses servers, appliances, and mobile devices (company and employee owned)?</v>
      </c>
      <c r="D209" s="65" t="str">
        <f>VLOOKUP(B209,'HECVAT - Full'!A:E,4,FALSE)</f>
        <v xml:space="preserve">All IT equipment owned by Instructure (servers, appliances, laptops, mobile devices, etc.) is immediately re-configured upon purchase. This includes removal of default credentials (including guest accounts) and requiring users to establish new passwords upon initial login. Additionally, Instructure only enables accounts for the employee assigned to the machine and an administrator account for internal IT use.
When Instructure’s IT team provisions new hardware (such as laptop or mobile device) for an employee, no vendor-supplied applications are installed on these systems.
Instructure’s IT team has processes and configurations in place to help ensure that devices are configured with only the software and applications required for use by the employee.
Additional considerations for employee equipment include turning file-sharing off by default, purchasing equipment without CD/DVD drives and installing anti-virus software.
</v>
      </c>
      <c r="E209" s="73" t="b">
        <f>IF(Table1[[#This Row],[Column11]]&gt;20,TRUE,FALSE)</f>
        <v>0</v>
      </c>
      <c r="F209" s="73" t="s">
        <v>2043</v>
      </c>
      <c r="G209" s="74" t="s">
        <v>17</v>
      </c>
      <c r="H209" s="75">
        <v>1</v>
      </c>
      <c r="I209" s="65" t="str">
        <f>VLOOKUP(B209,'HECVAT - Full'!A:E,3,FALSE)</f>
        <v>Yes</v>
      </c>
      <c r="J209" s="65">
        <f>IF(Table1[[#This Row],[Column7]]=Table1[[#This Row],[Column9]],1,0)</f>
        <v>1</v>
      </c>
      <c r="K209" s="65">
        <f>IF(Table1[[#This Row],[Column8]]=1,20,"")</f>
        <v>20</v>
      </c>
      <c r="L209" s="65">
        <f>IF(Table1[[#This Row],[Column8]]=1,J209*K209,"")</f>
        <v>20</v>
      </c>
      <c r="M209" s="66" t="str">
        <f>VLOOKUP($B209,'Standards Crosswalk'!$A:$H,3,FALSE)</f>
        <v>CSC 3</v>
      </c>
      <c r="N209" s="66">
        <f>VLOOKUP($B209,'Standards Crosswalk'!$A:$H,4,FALSE)</f>
        <v>0</v>
      </c>
      <c r="O209" s="66" t="str">
        <f>VLOOKUP($B209,'Standards Crosswalk'!$A:$H,5,FALSE)</f>
        <v>12.1.1</v>
      </c>
      <c r="P209" s="66" t="str">
        <f>VLOOKUP($B209,'Standards Crosswalk'!$A:$H,6,FALSE)</f>
        <v>PR.IP-1, PR.IP-2</v>
      </c>
      <c r="Q209" s="66" t="str">
        <f>VLOOKUP($B209,'Standards Crosswalk'!$A:$H,7,FALSE)</f>
        <v>3.1.18, 3.7.1, 3.13.13</v>
      </c>
      <c r="R209" s="66" t="str">
        <f>VLOOKUP($B209,'Standards Crosswalk'!$A:$H,8,FALSE)</f>
        <v>CM-2, CM-6, CM-3, AC-19, MA-2</v>
      </c>
      <c r="S209" s="66">
        <f>VLOOKUP($B209,'Standards Crosswalk'!$A:$I,9,FALSE)</f>
        <v>0</v>
      </c>
    </row>
    <row r="210" spans="1:19" ht="409.6" thickBot="1" x14ac:dyDescent="0.2">
      <c r="A210" s="65">
        <f t="shared" si="6"/>
        <v>208</v>
      </c>
      <c r="B210" s="71" t="s">
        <v>374</v>
      </c>
      <c r="C210" s="72" t="str">
        <f>VLOOKUP(B210,'HECVAT - Full'!A:E,2,FALSE)</f>
        <v>Are your applications scanned externally for vulnerabilities?</v>
      </c>
      <c r="D210" s="65" t="str">
        <f>VLOOKUP(B210,'HECVAT - Full'!A:E,4,FALSE)</f>
        <v xml:space="preserve">Instructure performs quarterly scans of Portfolium's code. All code developed by Portfolium developers is reviewed and put through a complete Continuous Integration/Continuous Deployment (CI/CD) pipeline for adherence before being posted to Quality Assurance. Portfolium also utilizes Cobalt for frequent penetration testing and security monitoring.
</v>
      </c>
      <c r="E210" s="73" t="b">
        <f>IF(Table1[[#This Row],[Column11]]&gt;20,TRUE,FALSE)</f>
        <v>1</v>
      </c>
      <c r="F210" s="73" t="s">
        <v>2044</v>
      </c>
      <c r="G210" s="74" t="s">
        <v>17</v>
      </c>
      <c r="H210" s="75">
        <v>1</v>
      </c>
      <c r="I210" s="65" t="str">
        <f>VLOOKUP(B210,'HECVAT - Full'!A:E,3,FALSE)</f>
        <v>Yes</v>
      </c>
      <c r="J210" s="65">
        <f>IF(Table1[[#This Row],[Column7]]=Table1[[#This Row],[Column9]],1,0)</f>
        <v>1</v>
      </c>
      <c r="K210" s="65">
        <f>IF(Table1[[#This Row],[Column8]]=1,25,"")</f>
        <v>25</v>
      </c>
      <c r="L210" s="65">
        <f>IF(Table1[[#This Row],[Column8]]=1,J210*K210,"")</f>
        <v>25</v>
      </c>
      <c r="M210" s="66" t="str">
        <f>VLOOKUP($B210,'Standards Crosswalk'!$A:$H,3,FALSE)</f>
        <v>CSC 4</v>
      </c>
      <c r="N210" s="66">
        <f>VLOOKUP($B210,'Standards Crosswalk'!$A:$H,4,FALSE)</f>
        <v>0</v>
      </c>
      <c r="O210" s="66" t="str">
        <f>VLOOKUP($B210,'Standards Crosswalk'!$A:$H,5,FALSE)</f>
        <v>12.6.1</v>
      </c>
      <c r="P210" s="66" t="str">
        <f>VLOOKUP($B210,'Standards Crosswalk'!$A:$H,6,FALSE)</f>
        <v>DE.CM-8</v>
      </c>
      <c r="Q210" s="66" t="str">
        <f>VLOOKUP($B210,'Standards Crosswalk'!$A:$H,7,FALSE)</f>
        <v>3.11.1, 3.11.2, 3.11.3</v>
      </c>
      <c r="R210" s="66" t="str">
        <f>VLOOKUP($B210,'Standards Crosswalk'!$A:$H,8,FALSE)</f>
        <v>SI-2</v>
      </c>
      <c r="S210" s="66">
        <f>VLOOKUP($B210,'Standards Crosswalk'!$A:$I,9,FALSE)</f>
        <v>11.2</v>
      </c>
    </row>
    <row r="211" spans="1:19" ht="166" thickBot="1" x14ac:dyDescent="0.2">
      <c r="A211" s="65">
        <f t="shared" si="6"/>
        <v>209</v>
      </c>
      <c r="B211" s="71" t="s">
        <v>375</v>
      </c>
      <c r="C211" s="72" t="str">
        <f>VLOOKUP(B211,'HECVAT - Full'!A:E,2,FALSE)</f>
        <v>Have your applications had an external vulnerability assessment in the last year?</v>
      </c>
      <c r="D211" s="65" t="str">
        <f>VLOOKUP(B211,'HECVAT - Full'!A:E,4,FALSE)</f>
        <v xml:space="preserve">Portfolium's most recent assessment took place in June 2019.
</v>
      </c>
      <c r="E211" s="73" t="b">
        <f>IF(Table1[[#This Row],[Column11]]&gt;20,TRUE,FALSE)</f>
        <v>1</v>
      </c>
      <c r="F211" s="73" t="s">
        <v>2044</v>
      </c>
      <c r="G211" s="74" t="s">
        <v>17</v>
      </c>
      <c r="H211" s="75">
        <f>IF(I210="Yes",1,0)</f>
        <v>1</v>
      </c>
      <c r="I211" s="65" t="str">
        <f>VLOOKUP(B211,'HECVAT - Full'!A:E,3,FALSE)</f>
        <v>Yes</v>
      </c>
      <c r="J211" s="65">
        <f>IF(Table1[[#This Row],[Column7]]=Table1[[#This Row],[Column9]],1,0)</f>
        <v>1</v>
      </c>
      <c r="K211" s="65">
        <f>IF(Table1[[#This Row],[Column8]]=1,25,"")</f>
        <v>25</v>
      </c>
      <c r="L211" s="65">
        <f>IF(Table1[[#This Row],[Column8]]=1,J211*K211,"")</f>
        <v>25</v>
      </c>
      <c r="M211" s="66" t="str">
        <f>VLOOKUP($B211,'Standards Crosswalk'!$A:$H,3,FALSE)</f>
        <v>CSC 4</v>
      </c>
      <c r="N211" s="66">
        <f>VLOOKUP($B211,'Standards Crosswalk'!$A:$H,4,FALSE)</f>
        <v>0</v>
      </c>
      <c r="O211" s="66" t="str">
        <f>VLOOKUP($B211,'Standards Crosswalk'!$A:$H,5,FALSE)</f>
        <v>12.6.1</v>
      </c>
      <c r="P211" s="66" t="str">
        <f>VLOOKUP($B211,'Standards Crosswalk'!$A:$H,6,FALSE)</f>
        <v>DE.CM-8</v>
      </c>
      <c r="Q211" s="66" t="str">
        <f>VLOOKUP($B211,'Standards Crosswalk'!$A:$H,7,FALSE)</f>
        <v>3.11.1, 3.11.2, 3.11.3</v>
      </c>
      <c r="R211" s="66" t="str">
        <f>VLOOKUP($B211,'Standards Crosswalk'!$A:$H,8,FALSE)</f>
        <v>SI-2</v>
      </c>
      <c r="S211" s="66">
        <f>VLOOKUP($B211,'Standards Crosswalk'!$A:$I,9,FALSE)</f>
        <v>11.2</v>
      </c>
    </row>
    <row r="212" spans="1:19" ht="409.6" thickBot="1" x14ac:dyDescent="0.2">
      <c r="A212" s="65">
        <f t="shared" si="6"/>
        <v>210</v>
      </c>
      <c r="B212" s="71" t="s">
        <v>376</v>
      </c>
      <c r="C212" s="72" t="str">
        <f>VLOOKUP(B212,'HECVAT - Full'!A:E,2,FALSE)</f>
        <v>Are your applications scanned for vulnerabilities prior to new releases?</v>
      </c>
      <c r="D212" s="65" t="str">
        <f>VLOOKUP(B212,'HECVAT - Full'!A:E,4,FALSE)</f>
        <v xml:space="preserve">Engineers write automated unit and integration tests to scan all new code that is written. In addition, all code changes are run through a full QA test suite before they can be accepted into the main product. Code changes are closely reviewed and must be peer-approved by other Engineering team members before inclusion in the upgrade/update package.
</v>
      </c>
      <c r="E212" s="73" t="b">
        <f>IF(Table1[[#This Row],[Column11]]&gt;20,TRUE,FALSE)</f>
        <v>0</v>
      </c>
      <c r="F212" s="73" t="s">
        <v>2044</v>
      </c>
      <c r="G212" s="74" t="s">
        <v>17</v>
      </c>
      <c r="H212" s="75">
        <v>1</v>
      </c>
      <c r="I212" s="65" t="str">
        <f>VLOOKUP(B212,'HECVAT - Full'!A:E,3,FALSE)</f>
        <v>Yes</v>
      </c>
      <c r="J212" s="65">
        <f>IF(Table1[[#This Row],[Column7]]=Table1[[#This Row],[Column9]],1,0)</f>
        <v>1</v>
      </c>
      <c r="K212" s="65">
        <f>IF(Table1[[#This Row],[Column8]]=1,20,"")</f>
        <v>20</v>
      </c>
      <c r="L212" s="65">
        <f>IF(Table1[[#This Row],[Column8]]=1,J212*K212,"")</f>
        <v>20</v>
      </c>
      <c r="M212" s="66" t="str">
        <f>VLOOKUP($B212,'Standards Crosswalk'!$A:$H,3,FALSE)</f>
        <v>CSC 4</v>
      </c>
      <c r="N212" s="66">
        <f>VLOOKUP($B212,'Standards Crosswalk'!$A:$H,4,FALSE)</f>
        <v>0</v>
      </c>
      <c r="O212" s="66">
        <f>VLOOKUP($B212,'Standards Crosswalk'!$A:$H,5,FALSE)</f>
        <v>0</v>
      </c>
      <c r="P212" s="66" t="str">
        <f>VLOOKUP($B212,'Standards Crosswalk'!$A:$H,6,FALSE)</f>
        <v>DE.CM-8</v>
      </c>
      <c r="Q212" s="66" t="str">
        <f>VLOOKUP($B212,'Standards Crosswalk'!$A:$H,7,FALSE)</f>
        <v>3.11.1, 3.11.2, 3.11.3</v>
      </c>
      <c r="R212" s="66" t="str">
        <f>VLOOKUP($B212,'Standards Crosswalk'!$A:$H,8,FALSE)</f>
        <v>SI-2</v>
      </c>
      <c r="S212" s="66">
        <f>VLOOKUP($B212,'Standards Crosswalk'!$A:$I,9,FALSE)</f>
        <v>11.2</v>
      </c>
    </row>
    <row r="213" spans="1:19" ht="196" thickBot="1" x14ac:dyDescent="0.2">
      <c r="A213" s="65">
        <f t="shared" si="6"/>
        <v>211</v>
      </c>
      <c r="B213" s="71" t="s">
        <v>377</v>
      </c>
      <c r="C213" s="72" t="str">
        <f>VLOOKUP(B213,'HECVAT - Full'!A:E,2,FALSE)</f>
        <v>Are your systems scanned externally for vulnerabilities?</v>
      </c>
      <c r="D213" s="65" t="str">
        <f>VLOOKUP(B213,'HECVAT - Full'!A:E,4,FALSE)</f>
        <v xml:space="preserve">We partner with Cobalt.io to perform external security scans.
</v>
      </c>
      <c r="E213" s="73" t="b">
        <f>IF(Table1[[#This Row],[Column11]]&gt;20,TRUE,FALSE)</f>
        <v>1</v>
      </c>
      <c r="F213" s="73" t="s">
        <v>2044</v>
      </c>
      <c r="G213" s="74" t="s">
        <v>17</v>
      </c>
      <c r="H213" s="75">
        <v>1</v>
      </c>
      <c r="I213" s="65" t="str">
        <f>VLOOKUP(B213,'HECVAT - Full'!A:E,3,FALSE)</f>
        <v>Yes</v>
      </c>
      <c r="J213" s="65">
        <f>IF(Table1[[#This Row],[Column7]]=Table1[[#This Row],[Column9]],1,0)</f>
        <v>1</v>
      </c>
      <c r="K213" s="65">
        <f>IF(Table1[[#This Row],[Column8]]=1,25,"")</f>
        <v>25</v>
      </c>
      <c r="L213" s="65">
        <f>IF(Table1[[#This Row],[Column8]]=1,J213*K213,"")</f>
        <v>25</v>
      </c>
      <c r="M213" s="66" t="str">
        <f>VLOOKUP($B213,'Standards Crosswalk'!$A:$H,3,FALSE)</f>
        <v>CSC 4</v>
      </c>
      <c r="N213" s="66">
        <f>VLOOKUP($B213,'Standards Crosswalk'!$A:$H,4,FALSE)</f>
        <v>0</v>
      </c>
      <c r="O213" s="66">
        <f>VLOOKUP($B213,'Standards Crosswalk'!$A:$H,5,FALSE)</f>
        <v>0</v>
      </c>
      <c r="P213" s="66" t="str">
        <f>VLOOKUP($B213,'Standards Crosswalk'!$A:$H,6,FALSE)</f>
        <v>DE.CM-8</v>
      </c>
      <c r="Q213" s="66" t="str">
        <f>VLOOKUP($B213,'Standards Crosswalk'!$A:$H,7,FALSE)</f>
        <v>3.11.1, 3.11.2, 3.11.3</v>
      </c>
      <c r="R213" s="66" t="str">
        <f>VLOOKUP($B213,'Standards Crosswalk'!$A:$H,8,FALSE)</f>
        <v>SI-2</v>
      </c>
      <c r="S213" s="66">
        <f>VLOOKUP($B213,'Standards Crosswalk'!$A:$I,9,FALSE)</f>
        <v>11.2</v>
      </c>
    </row>
    <row r="214" spans="1:19" ht="166" thickBot="1" x14ac:dyDescent="0.2">
      <c r="A214" s="65">
        <f t="shared" si="6"/>
        <v>212</v>
      </c>
      <c r="B214" s="71" t="s">
        <v>378</v>
      </c>
      <c r="C214" s="72" t="str">
        <f>VLOOKUP(B214,'HECVAT - Full'!A:E,2,FALSE)</f>
        <v>Have your systems had an external vulnerability assessment in the last year?</v>
      </c>
      <c r="D214" s="65" t="str">
        <f>VLOOKUP(B214,'HECVAT - Full'!A:E,4,FALSE)</f>
        <v xml:space="preserve">Portfolium's most recent assessment took place in June 2019.
</v>
      </c>
      <c r="E214" s="73" t="b">
        <f>IF(Table1[[#This Row],[Column11]]&gt;20,TRUE,FALSE)</f>
        <v>1</v>
      </c>
      <c r="F214" s="73" t="s">
        <v>2044</v>
      </c>
      <c r="G214" s="74" t="s">
        <v>17</v>
      </c>
      <c r="H214" s="75">
        <v>1</v>
      </c>
      <c r="I214" s="65" t="str">
        <f>VLOOKUP(B214,'HECVAT - Full'!A:E,3,FALSE)</f>
        <v>Yes</v>
      </c>
      <c r="J214" s="65">
        <f>IF(Table1[[#This Row],[Column7]]=Table1[[#This Row],[Column9]],1,0)</f>
        <v>1</v>
      </c>
      <c r="K214" s="65">
        <f>IF(Table1[[#This Row],[Column8]]=1,25,"")</f>
        <v>25</v>
      </c>
      <c r="L214" s="65">
        <f>IF(Table1[[#This Row],[Column8]]=1,J214*K214,"")</f>
        <v>25</v>
      </c>
      <c r="M214" s="66" t="str">
        <f>VLOOKUP($B214,'Standards Crosswalk'!$A:$H,3,FALSE)</f>
        <v>CSC 4</v>
      </c>
      <c r="N214" s="66">
        <f>VLOOKUP($B214,'Standards Crosswalk'!$A:$H,4,FALSE)</f>
        <v>0</v>
      </c>
      <c r="O214" s="66">
        <f>VLOOKUP($B214,'Standards Crosswalk'!$A:$H,5,FALSE)</f>
        <v>0</v>
      </c>
      <c r="P214" s="66" t="str">
        <f>VLOOKUP($B214,'Standards Crosswalk'!$A:$H,6,FALSE)</f>
        <v>DE.CM-8</v>
      </c>
      <c r="Q214" s="66">
        <f>VLOOKUP($B214,'Standards Crosswalk'!$A:$H,7,FALSE)</f>
        <v>0</v>
      </c>
      <c r="R214" s="66" t="str">
        <f>VLOOKUP($B214,'Standards Crosswalk'!$A:$H,8,FALSE)</f>
        <v>SI-2</v>
      </c>
      <c r="S214" s="66">
        <f>VLOOKUP($B214,'Standards Crosswalk'!$A:$I,9,FALSE)</f>
        <v>11.2</v>
      </c>
    </row>
    <row r="215" spans="1:19" ht="409.6" thickBot="1" x14ac:dyDescent="0.2">
      <c r="A215" s="65">
        <f t="shared" si="6"/>
        <v>213</v>
      </c>
      <c r="B215" s="71" t="s">
        <v>379</v>
      </c>
      <c r="C215" s="72" t="str">
        <f>VLOOKUP(B215,'HECVAT - Full'!A:E,2,FALSE)</f>
        <v>Describe or provide a reference to the tool(s) used to scan for vulnerabilities in your applications and systems.</v>
      </c>
      <c r="D215" s="65">
        <f>VLOOKUP(B215,'HECVAT - Full'!A:E,4,FALSE)</f>
        <v>0</v>
      </c>
      <c r="E215" s="73" t="b">
        <f>IF(Table1[[#This Row],[Column11]]&gt;20,TRUE,FALSE)</f>
        <v>0</v>
      </c>
      <c r="F215" s="73" t="s">
        <v>2044</v>
      </c>
      <c r="G215" s="74" t="s">
        <v>17</v>
      </c>
      <c r="H215" s="75">
        <v>1</v>
      </c>
      <c r="I215" s="65" t="str">
        <f>VLOOKUP(B215,'HECVAT - Full'!A:E,3,FALSE)</f>
        <v xml:space="preserve">Portfolium leverages cobalt.io to perform annual external vulnerability scanning and penetration testing. 
</v>
      </c>
      <c r="J215" s="65">
        <f>IF(VLOOKUP(Table1[[#This Row],[Column2]],'Analyst Report'!$A$41:$G$88,7,FALSE)="Yes",1,0)</f>
        <v>0</v>
      </c>
      <c r="K215" s="65">
        <f>IF(Table1[[#This Row],[Column8]]=1,15,"")</f>
        <v>15</v>
      </c>
      <c r="L215" s="65">
        <f>IF(Table1[[#This Row],[Column8]]=1,J215*K215,"")</f>
        <v>0</v>
      </c>
      <c r="M215" s="66" t="str">
        <f>VLOOKUP($B215,'Standards Crosswalk'!$A:$H,3,FALSE)</f>
        <v>CSC 4</v>
      </c>
      <c r="N215" s="66">
        <f>VLOOKUP($B215,'Standards Crosswalk'!$A:$H,4,FALSE)</f>
        <v>0</v>
      </c>
      <c r="O215" s="66">
        <f>VLOOKUP($B215,'Standards Crosswalk'!$A:$H,5,FALSE)</f>
        <v>0</v>
      </c>
      <c r="P215" s="66" t="str">
        <f>VLOOKUP($B215,'Standards Crosswalk'!$A:$H,6,FALSE)</f>
        <v>DE.CM-8</v>
      </c>
      <c r="Q215" s="66" t="str">
        <f>VLOOKUP($B215,'Standards Crosswalk'!$A:$H,7,FALSE)</f>
        <v>3.11.1, 3.11.2, 3.11.3</v>
      </c>
      <c r="R215" s="66" t="str">
        <f>VLOOKUP($B215,'Standards Crosswalk'!$A:$H,8,FALSE)</f>
        <v>SI-2</v>
      </c>
      <c r="S215" s="66">
        <f>VLOOKUP($B215,'Standards Crosswalk'!$A:$I,9,FALSE)</f>
        <v>11.2</v>
      </c>
    </row>
    <row r="216" spans="1:19" ht="241" thickBot="1" x14ac:dyDescent="0.2">
      <c r="A216" s="65">
        <f t="shared" si="6"/>
        <v>214</v>
      </c>
      <c r="B216" s="71" t="s">
        <v>380</v>
      </c>
      <c r="C216" s="72" t="str">
        <f>VLOOKUP(B216,'HECVAT - Full'!A:E,2,FALSE)</f>
        <v>Will you provide results of security scans to the Institution?</v>
      </c>
      <c r="D216" s="65" t="str">
        <f>VLOOKUP(B216,'HECVAT - Full'!A:E,4,FALSE)</f>
        <v xml:space="preserve">Instructure can provide results of external security scans and audits upon request. 
</v>
      </c>
      <c r="E216" s="73" t="b">
        <f>IF(Table1[[#This Row],[Column11]]&gt;20,TRUE,FALSE)</f>
        <v>0</v>
      </c>
      <c r="F216" s="73" t="s">
        <v>2044</v>
      </c>
      <c r="G216" s="74" t="s">
        <v>17</v>
      </c>
      <c r="H216" s="75">
        <v>1</v>
      </c>
      <c r="I216" s="65" t="str">
        <f>VLOOKUP(B216,'HECVAT - Full'!A:E,3,FALSE)</f>
        <v>Yes</v>
      </c>
      <c r="J216" s="65">
        <f>IF(Table1[[#This Row],[Column7]]=Table1[[#This Row],[Column9]],1,0)</f>
        <v>1</v>
      </c>
      <c r="K216" s="65">
        <f>IF(Table1[[#This Row],[Column8]]=1,15,"")</f>
        <v>15</v>
      </c>
      <c r="L216" s="65">
        <f>IF(Table1[[#This Row],[Column8]]=1,J216*K216,"")</f>
        <v>15</v>
      </c>
      <c r="M216" s="66" t="str">
        <f>VLOOKUP($B216,'Standards Crosswalk'!$A:$H,3,FALSE)</f>
        <v>CSC 4</v>
      </c>
      <c r="N216" s="66">
        <f>VLOOKUP($B216,'Standards Crosswalk'!$A:$H,4,FALSE)</f>
        <v>0</v>
      </c>
      <c r="O216" s="66">
        <f>VLOOKUP($B216,'Standards Crosswalk'!$A:$H,5,FALSE)</f>
        <v>0</v>
      </c>
      <c r="P216" s="66" t="str">
        <f>VLOOKUP($B216,'Standards Crosswalk'!$A:$H,6,FALSE)</f>
        <v>DE.CM-8</v>
      </c>
      <c r="Q216" s="66">
        <f>VLOOKUP($B216,'Standards Crosswalk'!$A:$H,7,FALSE)</f>
        <v>0</v>
      </c>
      <c r="R216" s="66" t="str">
        <f>VLOOKUP($B216,'Standards Crosswalk'!$A:$H,8,FALSE)</f>
        <v>SI-2</v>
      </c>
      <c r="S216" s="66">
        <f>VLOOKUP($B216,'Standards Crosswalk'!$A:$I,9,FALSE)</f>
        <v>11.2</v>
      </c>
    </row>
    <row r="217" spans="1:19" ht="409.6" thickBot="1" x14ac:dyDescent="0.2">
      <c r="A217" s="65">
        <f t="shared" si="6"/>
        <v>215</v>
      </c>
      <c r="B217" s="71" t="s">
        <v>381</v>
      </c>
      <c r="C217" s="72" t="str">
        <f>VLOOKUP(B217,'HECVAT - Full'!A:E,2,FALSE)</f>
        <v>Describe or provide a reference to how you monitor for and protect against common web application security vulnerabilities (e.g. SQL injection, XSS, XSRF, etc.).</v>
      </c>
      <c r="D217" s="65">
        <f>VLOOKUP(B217,'HECVAT - Full'!A:E,4,FALSE)</f>
        <v>0</v>
      </c>
      <c r="E217" s="73" t="b">
        <f>IF(Table1[[#This Row],[Column11]]&gt;20,TRUE,FALSE)</f>
        <v>0</v>
      </c>
      <c r="F217" s="73" t="s">
        <v>2044</v>
      </c>
      <c r="G217" s="74" t="s">
        <v>17</v>
      </c>
      <c r="H217" s="75">
        <v>1</v>
      </c>
      <c r="I217" s="65" t="str">
        <f>VLOOKUP(B217,'HECVAT - Full'!A:E,3,FALSE)</f>
        <v xml:space="preserve">Portfolium uses Cloudflare, built-in web app framework securities, standard and best coding practices, and third-party audits to ensure protection against vulnerabilities. 
</v>
      </c>
      <c r="J217" s="65">
        <f>IF(VLOOKUP(Table1[[#This Row],[Column2]],'Analyst Report'!$A$41:$G$88,7,FALSE)="Yes",1,0)</f>
        <v>0</v>
      </c>
      <c r="K217" s="65">
        <f>IF(Table1[[#This Row],[Column8]]=1,20,"")</f>
        <v>20</v>
      </c>
      <c r="L217" s="65">
        <f>IF(Table1[[#This Row],[Column8]]=1,J217*K217,"")</f>
        <v>0</v>
      </c>
      <c r="M217" s="66" t="str">
        <f>VLOOKUP($B217,'Standards Crosswalk'!$A:$H,3,FALSE)</f>
        <v>CSC 7, CSC 18</v>
      </c>
      <c r="N217" s="66">
        <f>VLOOKUP($B217,'Standards Crosswalk'!$A:$H,4,FALSE)</f>
        <v>0</v>
      </c>
      <c r="O217" s="66" t="str">
        <f>VLOOKUP($B217,'Standards Crosswalk'!$A:$H,5,FALSE)</f>
        <v>12.6.1</v>
      </c>
      <c r="P217" s="66" t="str">
        <f>VLOOKUP($B217,'Standards Crosswalk'!$A:$H,6,FALSE)</f>
        <v>ID.RA-1, DE.CM-8, PR.IP-12</v>
      </c>
      <c r="Q217" s="66" t="str">
        <f>VLOOKUP($B217,'Standards Crosswalk'!$A:$H,7,FALSE)</f>
        <v>3.11.1, 3.11.2, 3.11.3, 3.14.2</v>
      </c>
      <c r="R217" s="66" t="str">
        <f>VLOOKUP($B217,'Standards Crosswalk'!$A:$H,8,FALSE)</f>
        <v>SI-2</v>
      </c>
      <c r="S217" s="66" t="str">
        <f>VLOOKUP($B217,'Standards Crosswalk'!$A:$I,9,FALSE)</f>
        <v>11.2, 11.3</v>
      </c>
    </row>
    <row r="218" spans="1:19" ht="399" thickBot="1" x14ac:dyDescent="0.2">
      <c r="A218" s="65">
        <f t="shared" si="6"/>
        <v>216</v>
      </c>
      <c r="B218" s="71" t="s">
        <v>382</v>
      </c>
      <c r="C218" s="72" t="str">
        <f>VLOOKUP(B218,'HECVAT - Full'!A:E,2,FALSE)</f>
        <v>Will you allow the institution to perform its own security testing of your systems and/or application provided that testing is performed at a mutually agreed upon time and date?</v>
      </c>
      <c r="D218" s="65" t="str">
        <f>VLOOKUP(B218,'HECVAT - Full'!A:E,4,FALSE)</f>
        <v xml:space="preserve">You may perform your own security testing on Portfolium systems. We do ask that you work with our engineering team to coordinate the test. 
</v>
      </c>
      <c r="E218" s="73" t="b">
        <f>IF(Table1[[#This Row],[Column11]]&gt;20,TRUE,FALSE)</f>
        <v>1</v>
      </c>
      <c r="F218" s="73" t="s">
        <v>2044</v>
      </c>
      <c r="G218" s="74" t="s">
        <v>17</v>
      </c>
      <c r="H218" s="75">
        <v>1</v>
      </c>
      <c r="I218" s="65" t="str">
        <f>VLOOKUP(B218,'HECVAT - Full'!A:E,3,FALSE)</f>
        <v>Yes</v>
      </c>
      <c r="J218" s="65">
        <f>IF(Table1[[#This Row],[Column7]]=Table1[[#This Row],[Column9]],1,0)</f>
        <v>1</v>
      </c>
      <c r="K218" s="65">
        <f>IF(Table1[[#This Row],[Column8]]=1,25,"")</f>
        <v>25</v>
      </c>
      <c r="L218" s="65">
        <f>IF(Table1[[#This Row],[Column8]]=1,J218*K218,"")</f>
        <v>25</v>
      </c>
      <c r="M218" s="66" t="str">
        <f>VLOOKUP($B218,'Standards Crosswalk'!$A:$H,3,FALSE)</f>
        <v>CSC 20</v>
      </c>
      <c r="N218" s="66">
        <f>VLOOKUP($B218,'Standards Crosswalk'!$A:$H,4,FALSE)</f>
        <v>0</v>
      </c>
      <c r="O218" s="66" t="str">
        <f>VLOOKUP($B218,'Standards Crosswalk'!$A:$H,5,FALSE)</f>
        <v>18.2.1</v>
      </c>
      <c r="P218" s="66" t="str">
        <f>VLOOKUP($B218,'Standards Crosswalk'!$A:$H,6,FALSE)</f>
        <v>DE.CM-8</v>
      </c>
      <c r="Q218" s="66" t="str">
        <f>VLOOKUP($B218,'Standards Crosswalk'!$A:$H,7,FALSE)</f>
        <v>3.11.1, 3.11.2, 3.11.3</v>
      </c>
      <c r="R218" s="66" t="str">
        <f>VLOOKUP($B218,'Standards Crosswalk'!$A:$H,8,FALSE)</f>
        <v>SI-2</v>
      </c>
      <c r="S218" s="66" t="str">
        <f>VLOOKUP($B218,'Standards Crosswalk'!$A:$I,9,FALSE)</f>
        <v>11.2, 12.8</v>
      </c>
    </row>
    <row r="219" spans="1:19" ht="61" thickBot="1" x14ac:dyDescent="0.2">
      <c r="A219" s="65">
        <f t="shared" si="6"/>
        <v>217</v>
      </c>
      <c r="B219" s="71" t="s">
        <v>383</v>
      </c>
      <c r="C219" s="72" t="str">
        <f>VLOOKUP(B219,'HECVAT - Full'!A:E,2,FALSE)</f>
        <v>Do your workforce members receive regular training related to the HIPAA Privacy and Security Rules and the HITECH Act?</v>
      </c>
      <c r="D219" s="65">
        <f>VLOOKUP(B219,'HECVAT - Full'!A:E,4,FALSE)</f>
        <v>0</v>
      </c>
      <c r="E219" s="73" t="b">
        <f>IF(Table1[[#This Row],[Column11]]&gt;20,TRUE,FALSE)</f>
        <v>0</v>
      </c>
      <c r="F219" s="73" t="s">
        <v>562</v>
      </c>
      <c r="G219" s="74" t="s">
        <v>17</v>
      </c>
      <c r="H219" s="75">
        <v>1</v>
      </c>
      <c r="I219" s="65">
        <f>VLOOKUP(B219,'HECVAT - Full'!A:E,3,FALSE)</f>
        <v>0</v>
      </c>
      <c r="J219" s="65">
        <f>IF(Table1[[#This Row],[Column7]]=Table1[[#This Row],[Column9]],1,0)</f>
        <v>0</v>
      </c>
      <c r="K219" s="65">
        <f>IF(Table1[[#This Row],[Column8]]=1,20,"")</f>
        <v>20</v>
      </c>
      <c r="L219" s="65">
        <f>IF(Table1[[#This Row],[Column8]]=1,J219*K219,"")</f>
        <v>0</v>
      </c>
      <c r="M219" s="66" t="str">
        <f>VLOOKUP($B219,'Standards Crosswalk'!$A:$H,3,FALSE)</f>
        <v>CSC 17</v>
      </c>
      <c r="N219" s="66" t="str">
        <f>VLOOKUP($B219,'Standards Crosswalk'!$A:$H,4,FALSE)</f>
        <v>§164.308(a)(5)(i)</v>
      </c>
      <c r="O219" s="66" t="str">
        <f>VLOOKUP($B219,'Standards Crosswalk'!$A:$H,5,FALSE)</f>
        <v>18.1.1, 7.2.2</v>
      </c>
      <c r="P219" s="66" t="str">
        <f>VLOOKUP($B219,'Standards Crosswalk'!$A:$H,6,FALSE)</f>
        <v>ID.GV-3</v>
      </c>
      <c r="Q219" s="66" t="str">
        <f>VLOOKUP($B219,'Standards Crosswalk'!$A:$H,7,FALSE)</f>
        <v>3.2.2</v>
      </c>
      <c r="R219" s="66" t="str">
        <f>VLOOKUP($B219,'Standards Crosswalk'!$A:$H,8,FALSE)</f>
        <v>AT-3</v>
      </c>
      <c r="S219" s="66">
        <f>VLOOKUP($B219,'Standards Crosswalk'!$A:$I,9,FALSE)</f>
        <v>0</v>
      </c>
    </row>
    <row r="220" spans="1:19" ht="46" thickBot="1" x14ac:dyDescent="0.2">
      <c r="A220" s="65">
        <f t="shared" si="6"/>
        <v>218</v>
      </c>
      <c r="B220" s="71" t="s">
        <v>384</v>
      </c>
      <c r="C220" s="72" t="str">
        <f>VLOOKUP(B220,'HECVAT - Full'!A:E,2,FALSE)</f>
        <v>Do you monitor or receive information regarding changes in HIPAA regulations?</v>
      </c>
      <c r="D220" s="65">
        <f>VLOOKUP(B220,'HECVAT - Full'!A:E,4,FALSE)</f>
        <v>0</v>
      </c>
      <c r="E220" s="73" t="b">
        <f>IF(Table1[[#This Row],[Column11]]&gt;20,TRUE,FALSE)</f>
        <v>0</v>
      </c>
      <c r="F220" s="73" t="s">
        <v>562</v>
      </c>
      <c r="G220" s="74" t="s">
        <v>17</v>
      </c>
      <c r="H220" s="75">
        <v>1</v>
      </c>
      <c r="I220" s="65">
        <f>VLOOKUP(B220,'HECVAT - Full'!A:E,3,FALSE)</f>
        <v>0</v>
      </c>
      <c r="J220" s="65">
        <f>IF(Table1[[#This Row],[Column7]]=Table1[[#This Row],[Column9]],1,0)</f>
        <v>0</v>
      </c>
      <c r="K220" s="65">
        <f>IF(Table1[[#This Row],[Column8]]=1,20,"")</f>
        <v>20</v>
      </c>
      <c r="L220" s="65">
        <f>IF(Table1[[#This Row],[Column8]]=1,J220*K220,"")</f>
        <v>0</v>
      </c>
      <c r="M220" s="66" t="str">
        <f>VLOOKUP($B220,'Standards Crosswalk'!$A:$H,3,FALSE)</f>
        <v>CSC 13</v>
      </c>
      <c r="N220" s="66" t="str">
        <f>VLOOKUP($B220,'Standards Crosswalk'!$A:$H,4,FALSE)</f>
        <v>§164.316(b)(2)(iii)</v>
      </c>
      <c r="O220" s="66" t="str">
        <f>VLOOKUP($B220,'Standards Crosswalk'!$A:$H,5,FALSE)</f>
        <v>18.1.1</v>
      </c>
      <c r="P220" s="66" t="str">
        <f>VLOOKUP($B220,'Standards Crosswalk'!$A:$H,6,FALSE)</f>
        <v>ID.GV-3</v>
      </c>
      <c r="Q220" s="66">
        <f>VLOOKUP($B220,'Standards Crosswalk'!$A:$H,7,FALSE)</f>
        <v>0</v>
      </c>
      <c r="R220" s="66">
        <f>VLOOKUP($B220,'Standards Crosswalk'!$A:$H,8,FALSE)</f>
        <v>0</v>
      </c>
      <c r="S220" s="66">
        <f>VLOOKUP($B220,'Standards Crosswalk'!$A:$I,9,FALSE)</f>
        <v>0</v>
      </c>
    </row>
    <row r="221" spans="1:19" ht="46" thickBot="1" x14ac:dyDescent="0.2">
      <c r="A221" s="65">
        <f t="shared" si="6"/>
        <v>219</v>
      </c>
      <c r="B221" s="71" t="s">
        <v>385</v>
      </c>
      <c r="C221" s="72" t="str">
        <f>VLOOKUP(B221,'HECVAT - Full'!A:E,2,FALSE)</f>
        <v>Has your organization designated HIPAA Privacy and Security officers as required by the Rules?</v>
      </c>
      <c r="D221" s="65">
        <f>VLOOKUP(B221,'HECVAT - Full'!A:E,4,FALSE)</f>
        <v>0</v>
      </c>
      <c r="E221" s="73" t="b">
        <f>IF(Table1[[#This Row],[Column11]]&gt;20,TRUE,FALSE)</f>
        <v>1</v>
      </c>
      <c r="F221" s="73" t="s">
        <v>562</v>
      </c>
      <c r="G221" s="74" t="s">
        <v>17</v>
      </c>
      <c r="H221" s="75">
        <v>1</v>
      </c>
      <c r="I221" s="65">
        <f>VLOOKUP(B221,'HECVAT - Full'!A:E,3,FALSE)</f>
        <v>0</v>
      </c>
      <c r="J221" s="65">
        <f>IF(Table1[[#This Row],[Column7]]=Table1[[#This Row],[Column9]],1,0)</f>
        <v>0</v>
      </c>
      <c r="K221" s="65">
        <f>IF(Table1[[#This Row],[Column8]]=1,25,"")</f>
        <v>25</v>
      </c>
      <c r="L221" s="65">
        <f>IF(Table1[[#This Row],[Column8]]=1,J221*K221,"")</f>
        <v>0</v>
      </c>
      <c r="M221" s="66" t="str">
        <f>VLOOKUP($B221,'Standards Crosswalk'!$A:$H,3,FALSE)</f>
        <v>CSC 17</v>
      </c>
      <c r="N221" s="66" t="str">
        <f>VLOOKUP($B221,'Standards Crosswalk'!$A:$H,4,FALSE)</f>
        <v>§164.308(a)(2)</v>
      </c>
      <c r="O221" s="66" t="str">
        <f>VLOOKUP($B221,'Standards Crosswalk'!$A:$H,5,FALSE)</f>
        <v>18.1.1</v>
      </c>
      <c r="P221" s="66" t="str">
        <f>VLOOKUP($B221,'Standards Crosswalk'!$A:$H,6,FALSE)</f>
        <v>ID.GV-3</v>
      </c>
      <c r="Q221" s="66">
        <f>VLOOKUP($B221,'Standards Crosswalk'!$A:$H,7,FALSE)</f>
        <v>0</v>
      </c>
      <c r="R221" s="66">
        <f>VLOOKUP($B221,'Standards Crosswalk'!$A:$H,8,FALSE)</f>
        <v>0</v>
      </c>
      <c r="S221" s="66">
        <f>VLOOKUP($B221,'Standards Crosswalk'!$A:$I,9,FALSE)</f>
        <v>0</v>
      </c>
    </row>
    <row r="222" spans="1:19" ht="61" thickBot="1" x14ac:dyDescent="0.2">
      <c r="A222" s="65">
        <f t="shared" si="6"/>
        <v>220</v>
      </c>
      <c r="B222" s="71" t="s">
        <v>386</v>
      </c>
      <c r="C222" s="72" t="str">
        <f>VLOOKUP(B222,'HECVAT - Full'!A:E,2,FALSE)</f>
        <v>Do you comply with the requirements of the Health Information Technology for Economic and Clinical Health Act (HITECH)?</v>
      </c>
      <c r="D222" s="65">
        <f>VLOOKUP(B222,'HECVAT - Full'!A:E,4,FALSE)</f>
        <v>0</v>
      </c>
      <c r="E222" s="73" t="b">
        <f>IF(Table1[[#This Row],[Column11]]&gt;20,TRUE,FALSE)</f>
        <v>1</v>
      </c>
      <c r="F222" s="73" t="s">
        <v>562</v>
      </c>
      <c r="G222" s="74" t="s">
        <v>17</v>
      </c>
      <c r="H222" s="75">
        <v>1</v>
      </c>
      <c r="I222" s="65">
        <f>VLOOKUP(B222,'HECVAT - Full'!A:E,3,FALSE)</f>
        <v>0</v>
      </c>
      <c r="J222" s="65">
        <f>IF(Table1[[#This Row],[Column7]]=Table1[[#This Row],[Column9]],1,0)</f>
        <v>0</v>
      </c>
      <c r="K222" s="65">
        <f>IF(Table1[[#This Row],[Column8]]=1,25,"")</f>
        <v>25</v>
      </c>
      <c r="L222" s="65">
        <f>IF(Table1[[#This Row],[Column8]]=1,J222*K222,"")</f>
        <v>0</v>
      </c>
      <c r="M222" s="66" t="str">
        <f>VLOOKUP($B222,'Standards Crosswalk'!$A:$H,3,FALSE)</f>
        <v>CSC 13</v>
      </c>
      <c r="N222" s="66">
        <f>VLOOKUP($B222,'Standards Crosswalk'!$A:$H,4,FALSE)</f>
        <v>0</v>
      </c>
      <c r="O222" s="66" t="str">
        <f>VLOOKUP($B222,'Standards Crosswalk'!$A:$H,5,FALSE)</f>
        <v>18.1.1</v>
      </c>
      <c r="P222" s="66" t="str">
        <f>VLOOKUP($B222,'Standards Crosswalk'!$A:$H,6,FALSE)</f>
        <v>ID.GV-3</v>
      </c>
      <c r="Q222" s="66">
        <f>VLOOKUP($B222,'Standards Crosswalk'!$A:$H,7,FALSE)</f>
        <v>0</v>
      </c>
      <c r="R222" s="66">
        <f>VLOOKUP($B222,'Standards Crosswalk'!$A:$H,8,FALSE)</f>
        <v>0</v>
      </c>
      <c r="S222" s="66">
        <f>VLOOKUP($B222,'Standards Crosswalk'!$A:$I,9,FALSE)</f>
        <v>0</v>
      </c>
    </row>
    <row r="223" spans="1:19" ht="61" thickBot="1" x14ac:dyDescent="0.2">
      <c r="A223" s="65">
        <f t="shared" si="6"/>
        <v>221</v>
      </c>
      <c r="B223" s="71" t="s">
        <v>387</v>
      </c>
      <c r="C223" s="72" t="str">
        <f>VLOOKUP(B223,'HECVAT - Full'!A:E,2,FALSE)</f>
        <v>Do you have an incident response process and reporting in place to investigate any potential incidents and report actual incidents?</v>
      </c>
      <c r="D223" s="65">
        <f>VLOOKUP(B223,'HECVAT - Full'!A:E,4,FALSE)</f>
        <v>0</v>
      </c>
      <c r="E223" s="73" t="b">
        <f>IF(Table1[[#This Row],[Column11]]&gt;20,TRUE,FALSE)</f>
        <v>0</v>
      </c>
      <c r="F223" s="73" t="s">
        <v>562</v>
      </c>
      <c r="G223" s="74" t="s">
        <v>17</v>
      </c>
      <c r="H223" s="75">
        <v>1</v>
      </c>
      <c r="I223" s="65">
        <f>VLOOKUP(B223,'HECVAT - Full'!A:E,3,FALSE)</f>
        <v>0</v>
      </c>
      <c r="J223" s="65">
        <f>IF(Table1[[#This Row],[Column7]]=Table1[[#This Row],[Column9]],1,0)</f>
        <v>0</v>
      </c>
      <c r="K223" s="65">
        <f>IF(Table1[[#This Row],[Column8]]=1,20,"")</f>
        <v>20</v>
      </c>
      <c r="L223" s="65">
        <f>IF(Table1[[#This Row],[Column8]]=1,J223*K223,"")</f>
        <v>0</v>
      </c>
      <c r="M223" s="66" t="str">
        <f>VLOOKUP($B223,'Standards Crosswalk'!$A:$H,3,FALSE)</f>
        <v>CSC 19</v>
      </c>
      <c r="N223" s="66" t="str">
        <f>VLOOKUP($B223,'Standards Crosswalk'!$A:$H,4,FALSE)</f>
        <v>§164.308(a)(6)(i)</v>
      </c>
      <c r="O223" s="66" t="str">
        <f>VLOOKUP($B223,'Standards Crosswalk'!$A:$H,5,FALSE)</f>
        <v>16.1.1</v>
      </c>
      <c r="P223" s="66" t="str">
        <f>VLOOKUP($B223,'Standards Crosswalk'!$A:$H,6,FALSE)</f>
        <v>ID.GV-3</v>
      </c>
      <c r="Q223" s="66" t="str">
        <f>VLOOKUP($B223,'Standards Crosswalk'!$A:$H,7,FALSE)</f>
        <v>3.6.1, 3.14.1</v>
      </c>
      <c r="R223" s="66" t="str">
        <f>VLOOKUP($B223,'Standards Crosswalk'!$A:$H,8,FALSE)</f>
        <v>IR-2, IR-4, IR-5, IR-7</v>
      </c>
      <c r="S223" s="66" t="str">
        <f>VLOOKUP($B223,'Standards Crosswalk'!$A:$I,9,FALSE)</f>
        <v>12.10, 10.10</v>
      </c>
    </row>
    <row r="224" spans="1:19" ht="46" thickBot="1" x14ac:dyDescent="0.2">
      <c r="A224" s="65">
        <f t="shared" si="6"/>
        <v>222</v>
      </c>
      <c r="B224" s="71" t="s">
        <v>388</v>
      </c>
      <c r="C224" s="72" t="str">
        <f>VLOOKUP(B224,'HECVAT - Full'!A:E,2,FALSE)</f>
        <v>Do you have a plan to comply with the Breach Notification requirements if there is a breach of data?</v>
      </c>
      <c r="D224" s="65">
        <f>VLOOKUP(B224,'HECVAT - Full'!A:E,4,FALSE)</f>
        <v>0</v>
      </c>
      <c r="E224" s="73" t="b">
        <f>IF(Table1[[#This Row],[Column11]]&gt;20,TRUE,FALSE)</f>
        <v>1</v>
      </c>
      <c r="F224" s="73" t="s">
        <v>562</v>
      </c>
      <c r="G224" s="74" t="s">
        <v>17</v>
      </c>
      <c r="H224" s="75">
        <v>1</v>
      </c>
      <c r="I224" s="65">
        <f>VLOOKUP(B224,'HECVAT - Full'!A:E,3,FALSE)</f>
        <v>0</v>
      </c>
      <c r="J224" s="65">
        <f>IF(Table1[[#This Row],[Column7]]=Table1[[#This Row],[Column9]],1,0)</f>
        <v>0</v>
      </c>
      <c r="K224" s="65">
        <f>IF(Table1[[#This Row],[Column8]]=1,25,"")</f>
        <v>25</v>
      </c>
      <c r="L224" s="65">
        <f>IF(Table1[[#This Row],[Column8]]=1,J224*K224,"")</f>
        <v>0</v>
      </c>
      <c r="M224" s="66" t="str">
        <f>VLOOKUP($B224,'Standards Crosswalk'!$A:$H,3,FALSE)</f>
        <v>CSC 19</v>
      </c>
      <c r="N224" s="66" t="str">
        <f>VLOOKUP($B224,'Standards Crosswalk'!$A:$H,4,FALSE)</f>
        <v>§164.308(a)(6)(ii)</v>
      </c>
      <c r="O224" s="66" t="str">
        <f>VLOOKUP($B224,'Standards Crosswalk'!$A:$H,5,FALSE)</f>
        <v>16.1.2, 16.1.5, 18.1.1</v>
      </c>
      <c r="P224" s="66" t="str">
        <f>VLOOKUP($B224,'Standards Crosswalk'!$A:$H,6,FALSE)</f>
        <v>ID.GV-3</v>
      </c>
      <c r="Q224" s="66" t="str">
        <f>VLOOKUP($B224,'Standards Crosswalk'!$A:$H,7,FALSE)</f>
        <v>3.6.2, 3.12.2</v>
      </c>
      <c r="R224" s="66" t="str">
        <f>VLOOKUP($B224,'Standards Crosswalk'!$A:$H,8,FALSE)</f>
        <v>IR-6</v>
      </c>
      <c r="S224" s="66">
        <f>VLOOKUP($B224,'Standards Crosswalk'!$A:$I,9,FALSE)</f>
        <v>12.8</v>
      </c>
    </row>
    <row r="225" spans="1:19" ht="31" thickBot="1" x14ac:dyDescent="0.2">
      <c r="A225" s="65">
        <f t="shared" si="6"/>
        <v>223</v>
      </c>
      <c r="B225" s="71" t="s">
        <v>389</v>
      </c>
      <c r="C225" s="72" t="str">
        <f>VLOOKUP(B225,'HECVAT - Full'!A:E,2,FALSE)</f>
        <v>Have you conducted a risk analysis as required under the Security Rule?</v>
      </c>
      <c r="D225" s="65">
        <f>VLOOKUP(B225,'HECVAT - Full'!A:E,4,FALSE)</f>
        <v>0</v>
      </c>
      <c r="E225" s="73" t="b">
        <f>IF(Table1[[#This Row],[Column11]]&gt;20,TRUE,FALSE)</f>
        <v>1</v>
      </c>
      <c r="F225" s="73" t="s">
        <v>562</v>
      </c>
      <c r="G225" s="74" t="s">
        <v>17</v>
      </c>
      <c r="H225" s="75">
        <v>1</v>
      </c>
      <c r="I225" s="65">
        <f>VLOOKUP(B225,'HECVAT - Full'!A:E,3,FALSE)</f>
        <v>0</v>
      </c>
      <c r="J225" s="65">
        <f>IF(Table1[[#This Row],[Column7]]=Table1[[#This Row],[Column9]],1,0)</f>
        <v>0</v>
      </c>
      <c r="K225" s="65">
        <f>IF(Table1[[#This Row],[Column8]]=1,25,"")</f>
        <v>25</v>
      </c>
      <c r="L225" s="65">
        <f>IF(Table1[[#This Row],[Column8]]=1,J225*K225,"")</f>
        <v>0</v>
      </c>
      <c r="M225" s="66" t="str">
        <f>VLOOKUP($B225,'Standards Crosswalk'!$A:$H,3,FALSE)</f>
        <v>CSC 13</v>
      </c>
      <c r="N225" s="66" t="str">
        <f>VLOOKUP($B225,'Standards Crosswalk'!$A:$H,4,FALSE)</f>
        <v>§164.308(a)(1)(i)</v>
      </c>
      <c r="O225" s="66">
        <f>VLOOKUP($B225,'Standards Crosswalk'!$A:$H,5,FALSE)</f>
        <v>0</v>
      </c>
      <c r="P225" s="66" t="str">
        <f>VLOOKUP($B225,'Standards Crosswalk'!$A:$H,6,FALSE)</f>
        <v>ID.GV-3</v>
      </c>
      <c r="Q225" s="66">
        <f>VLOOKUP($B225,'Standards Crosswalk'!$A:$H,7,FALSE)</f>
        <v>0</v>
      </c>
      <c r="R225" s="66">
        <f>VLOOKUP($B225,'Standards Crosswalk'!$A:$H,8,FALSE)</f>
        <v>0</v>
      </c>
      <c r="S225" s="66">
        <f>VLOOKUP($B225,'Standards Crosswalk'!$A:$I,9,FALSE)</f>
        <v>12.2</v>
      </c>
    </row>
    <row r="226" spans="1:19" ht="61" thickBot="1" x14ac:dyDescent="0.2">
      <c r="A226" s="65">
        <f t="shared" si="6"/>
        <v>224</v>
      </c>
      <c r="B226" s="71" t="s">
        <v>390</v>
      </c>
      <c r="C226" s="72" t="str">
        <f>VLOOKUP(B226,'HECVAT - Full'!A:E,2,FALSE)</f>
        <v>Have you identified areas of risks?</v>
      </c>
      <c r="D226" s="65">
        <f>VLOOKUP(B226,'HECVAT - Full'!A:E,4,FALSE)</f>
        <v>0</v>
      </c>
      <c r="E226" s="73" t="b">
        <f>IF(Table1[[#This Row],[Column11]]&gt;20,TRUE,FALSE)</f>
        <v>0</v>
      </c>
      <c r="F226" s="73" t="s">
        <v>562</v>
      </c>
      <c r="G226" s="74" t="s">
        <v>17</v>
      </c>
      <c r="H226" s="75">
        <v>1</v>
      </c>
      <c r="I226" s="65">
        <f>VLOOKUP(B226,'HECVAT - Full'!A:E,3,FALSE)</f>
        <v>0</v>
      </c>
      <c r="J226" s="65">
        <f>IF(Table1[[#This Row],[Column7]]=Table1[[#This Row],[Column9]],1,0)</f>
        <v>0</v>
      </c>
      <c r="K226" s="65">
        <f>IF(Table1[[#This Row],[Column8]]=1,20,"")</f>
        <v>20</v>
      </c>
      <c r="L226" s="65">
        <f>IF(Table1[[#This Row],[Column8]]=1,J226*K226,"")</f>
        <v>0</v>
      </c>
      <c r="M226" s="66" t="str">
        <f>VLOOKUP($B226,'Standards Crosswalk'!$A:$H,3,FALSE)</f>
        <v>CSC 4</v>
      </c>
      <c r="N226" s="66" t="str">
        <f>VLOOKUP($B226,'Standards Crosswalk'!$A:$H,4,FALSE)</f>
        <v>§164.308(a)(1)(i), §164.308(a)(1)(ii)(A)</v>
      </c>
      <c r="O226" s="66">
        <f>VLOOKUP($B226,'Standards Crosswalk'!$A:$H,5,FALSE)</f>
        <v>0</v>
      </c>
      <c r="P226" s="66" t="str">
        <f>VLOOKUP($B226,'Standards Crosswalk'!$A:$H,6,FALSE)</f>
        <v>ID.GV-3</v>
      </c>
      <c r="Q226" s="66">
        <f>VLOOKUP($B226,'Standards Crosswalk'!$A:$H,7,FALSE)</f>
        <v>0</v>
      </c>
      <c r="R226" s="66">
        <f>VLOOKUP($B226,'Standards Crosswalk'!$A:$H,8,FALSE)</f>
        <v>0</v>
      </c>
      <c r="S226" s="66">
        <f>VLOOKUP($B226,'Standards Crosswalk'!$A:$I,9,FALSE)</f>
        <v>12.2</v>
      </c>
    </row>
    <row r="227" spans="1:19" ht="31" thickBot="1" x14ac:dyDescent="0.2">
      <c r="A227" s="65">
        <f t="shared" si="6"/>
        <v>225</v>
      </c>
      <c r="B227" s="71" t="s">
        <v>391</v>
      </c>
      <c r="C227" s="72" t="str">
        <f>VLOOKUP(B227,'HECVAT - Full'!A:E,2,FALSE)</f>
        <v>Have you taken actions to mitigate the identified risks?</v>
      </c>
      <c r="D227" s="65">
        <f>VLOOKUP(B227,'HECVAT - Full'!A:E,4,FALSE)</f>
        <v>0</v>
      </c>
      <c r="E227" s="73" t="b">
        <f>IF(Table1[[#This Row],[Column11]]&gt;20,TRUE,FALSE)</f>
        <v>0</v>
      </c>
      <c r="F227" s="73" t="s">
        <v>562</v>
      </c>
      <c r="G227" s="74" t="s">
        <v>17</v>
      </c>
      <c r="H227" s="75">
        <v>1</v>
      </c>
      <c r="I227" s="65">
        <f>VLOOKUP(B227,'HECVAT - Full'!A:E,3,FALSE)</f>
        <v>0</v>
      </c>
      <c r="J227" s="65">
        <f>IF(Table1[[#This Row],[Column7]]=Table1[[#This Row],[Column9]],1,0)</f>
        <v>0</v>
      </c>
      <c r="K227" s="65">
        <f>IF(Table1[[#This Row],[Column8]]=1,20,"")</f>
        <v>20</v>
      </c>
      <c r="L227" s="65">
        <f>IF(Table1[[#This Row],[Column8]]=1,J227*K227,"")</f>
        <v>0</v>
      </c>
      <c r="M227" s="66" t="str">
        <f>VLOOKUP($B227,'Standards Crosswalk'!$A:$H,3,FALSE)</f>
        <v>CSC 4</v>
      </c>
      <c r="N227" s="66" t="str">
        <f>VLOOKUP($B227,'Standards Crosswalk'!$A:$H,4,FALSE)</f>
        <v>§164.308(a)(1)(ii)(B)</v>
      </c>
      <c r="O227" s="66">
        <f>VLOOKUP($B227,'Standards Crosswalk'!$A:$H,5,FALSE)</f>
        <v>0</v>
      </c>
      <c r="P227" s="66" t="str">
        <f>VLOOKUP($B227,'Standards Crosswalk'!$A:$H,6,FALSE)</f>
        <v>ID.GV-3</v>
      </c>
      <c r="Q227" s="66">
        <f>VLOOKUP($B227,'Standards Crosswalk'!$A:$H,7,FALSE)</f>
        <v>0</v>
      </c>
      <c r="R227" s="66">
        <f>VLOOKUP($B227,'Standards Crosswalk'!$A:$H,8,FALSE)</f>
        <v>0</v>
      </c>
      <c r="S227" s="66">
        <f>VLOOKUP($B227,'Standards Crosswalk'!$A:$I,9,FALSE)</f>
        <v>12.2</v>
      </c>
    </row>
    <row r="228" spans="1:19" ht="61" thickBot="1" x14ac:dyDescent="0.2">
      <c r="A228" s="65">
        <f t="shared" si="6"/>
        <v>226</v>
      </c>
      <c r="B228" s="71" t="s">
        <v>392</v>
      </c>
      <c r="C228" s="72" t="str">
        <f>VLOOKUP(B228,'HECVAT - Full'!A:E,2,FALSE)</f>
        <v>Does your application require user and system administrator password changes at a frequency no greater than 90 days?</v>
      </c>
      <c r="D228" s="65">
        <f>VLOOKUP(B228,'HECVAT - Full'!A:E,4,FALSE)</f>
        <v>0</v>
      </c>
      <c r="E228" s="73" t="b">
        <f>IF(Table1[[#This Row],[Column11]]&gt;20,TRUE,FALSE)</f>
        <v>0</v>
      </c>
      <c r="F228" s="73" t="s">
        <v>562</v>
      </c>
      <c r="G228" s="74" t="s">
        <v>17</v>
      </c>
      <c r="H228" s="75">
        <v>1</v>
      </c>
      <c r="I228" s="65">
        <f>VLOOKUP(B228,'HECVAT - Full'!A:E,3,FALSE)</f>
        <v>0</v>
      </c>
      <c r="J228" s="65">
        <f>IF(Table1[[#This Row],[Column7]]=Table1[[#This Row],[Column9]],1,0)</f>
        <v>0</v>
      </c>
      <c r="K228" s="65">
        <f>IF(Table1[[#This Row],[Column8]]=1,20,"")</f>
        <v>20</v>
      </c>
      <c r="L228" s="65">
        <f>IF(Table1[[#This Row],[Column8]]=1,J228*K228,"")</f>
        <v>0</v>
      </c>
      <c r="M228" s="66" t="str">
        <f>VLOOKUP($B228,'Standards Crosswalk'!$A:$H,3,FALSE)</f>
        <v>CSC 16</v>
      </c>
      <c r="N228" s="66" t="str">
        <f>VLOOKUP($B228,'Standards Crosswalk'!$A:$H,4,FALSE)</f>
        <v>§164.308(a)(5)(ii)(D)</v>
      </c>
      <c r="O228" s="66" t="str">
        <f>VLOOKUP($B228,'Standards Crosswalk'!$A:$H,5,FALSE)</f>
        <v>9.4.3</v>
      </c>
      <c r="P228" s="66" t="str">
        <f>VLOOKUP($B228,'Standards Crosswalk'!$A:$H,6,FALSE)</f>
        <v>ID.GV-3</v>
      </c>
      <c r="Q228" s="66" t="str">
        <f>VLOOKUP($B228,'Standards Crosswalk'!$A:$H,7,FALSE)</f>
        <v>3.5.6</v>
      </c>
      <c r="R228" s="66" t="str">
        <f>VLOOKUP($B228,'Standards Crosswalk'!$A:$H,8,FALSE)</f>
        <v>IA-4</v>
      </c>
      <c r="S228" s="66">
        <f>VLOOKUP($B228,'Standards Crosswalk'!$A:$I,9,FALSE)</f>
        <v>0</v>
      </c>
    </row>
    <row r="229" spans="1:19" ht="61" thickBot="1" x14ac:dyDescent="0.2">
      <c r="A229" s="65">
        <f t="shared" si="6"/>
        <v>227</v>
      </c>
      <c r="B229" s="71" t="s">
        <v>393</v>
      </c>
      <c r="C229" s="72" t="str">
        <f>VLOOKUP(B229,'HECVAT - Full'!A:E,2,FALSE)</f>
        <v>Does your application require a user to set their own password after an administrator reset or on first use of the account?</v>
      </c>
      <c r="D229" s="65">
        <f>VLOOKUP(B229,'HECVAT - Full'!A:E,4,FALSE)</f>
        <v>0</v>
      </c>
      <c r="E229" s="73" t="b">
        <f>IF(Table1[[#This Row],[Column11]]&gt;20,TRUE,FALSE)</f>
        <v>0</v>
      </c>
      <c r="F229" s="73" t="s">
        <v>562</v>
      </c>
      <c r="G229" s="74" t="s">
        <v>17</v>
      </c>
      <c r="H229" s="75">
        <v>1</v>
      </c>
      <c r="I229" s="65">
        <f>VLOOKUP(B229,'HECVAT - Full'!A:E,3,FALSE)</f>
        <v>0</v>
      </c>
      <c r="J229" s="65">
        <f>IF(Table1[[#This Row],[Column7]]=Table1[[#This Row],[Column9]],1,0)</f>
        <v>0</v>
      </c>
      <c r="K229" s="65">
        <f>IF(Table1[[#This Row],[Column8]]=1,20,"")</f>
        <v>20</v>
      </c>
      <c r="L229" s="65">
        <f>IF(Table1[[#This Row],[Column8]]=1,J229*K229,"")</f>
        <v>0</v>
      </c>
      <c r="M229" s="66" t="str">
        <f>VLOOKUP($B229,'Standards Crosswalk'!$A:$H,3,FALSE)</f>
        <v>CSC 16</v>
      </c>
      <c r="N229" s="66" t="str">
        <f>VLOOKUP($B229,'Standards Crosswalk'!$A:$H,4,FALSE)</f>
        <v>§164.308(a)(5)(ii)(D)</v>
      </c>
      <c r="O229" s="66" t="str">
        <f>VLOOKUP($B229,'Standards Crosswalk'!$A:$H,5,FALSE)</f>
        <v>9.4.3</v>
      </c>
      <c r="P229" s="66" t="str">
        <f>VLOOKUP($B229,'Standards Crosswalk'!$A:$H,6,FALSE)</f>
        <v>ID.GV-3</v>
      </c>
      <c r="Q229" s="66" t="str">
        <f>VLOOKUP($B229,'Standards Crosswalk'!$A:$H,7,FALSE)</f>
        <v>3.5.9</v>
      </c>
      <c r="R229" s="66" t="str">
        <f>VLOOKUP($B229,'Standards Crosswalk'!$A:$H,8,FALSE)</f>
        <v>IA-5(1)</v>
      </c>
      <c r="S229" s="66">
        <f>VLOOKUP($B229,'Standards Crosswalk'!$A:$I,9,FALSE)</f>
        <v>0</v>
      </c>
    </row>
    <row r="230" spans="1:19" ht="91" thickBot="1" x14ac:dyDescent="0.2">
      <c r="A230" s="65">
        <f t="shared" si="6"/>
        <v>228</v>
      </c>
      <c r="B230" s="71" t="s">
        <v>394</v>
      </c>
      <c r="C230" s="72" t="str">
        <f>VLOOKUP(B230,'HECVAT - Full'!A:E,2,FALSE)</f>
        <v xml:space="preserve">Does your application lock-out an account after a number of failed login attempts? </v>
      </c>
      <c r="D230" s="65">
        <f>VLOOKUP(B230,'HECVAT - Full'!A:E,4,FALSE)</f>
        <v>0</v>
      </c>
      <c r="E230" s="73" t="b">
        <f>IF(Table1[[#This Row],[Column11]]&gt;20,TRUE,FALSE)</f>
        <v>0</v>
      </c>
      <c r="F230" s="73" t="s">
        <v>562</v>
      </c>
      <c r="G230" s="74" t="s">
        <v>17</v>
      </c>
      <c r="H230" s="75">
        <v>1</v>
      </c>
      <c r="I230" s="65">
        <f>VLOOKUP(B230,'HECVAT - Full'!A:E,3,FALSE)</f>
        <v>0</v>
      </c>
      <c r="J230" s="65">
        <f>IF(Table1[[#This Row],[Column7]]=Table1[[#This Row],[Column9]],1,0)</f>
        <v>0</v>
      </c>
      <c r="K230" s="65">
        <f>IF(Table1[[#This Row],[Column8]]=1,20,"")</f>
        <v>20</v>
      </c>
      <c r="L230" s="65">
        <f>IF(Table1[[#This Row],[Column8]]=1,J230*K230,"")</f>
        <v>0</v>
      </c>
      <c r="M230" s="66" t="str">
        <f>VLOOKUP($B230,'Standards Crosswalk'!$A:$H,3,FALSE)</f>
        <v>CSC 16</v>
      </c>
      <c r="N230" s="66" t="str">
        <f>VLOOKUP($B230,'Standards Crosswalk'!$A:$H,4,FALSE)</f>
        <v>§164.308(a)(4), §164.312(a)(2)(ii),  
§164.312(a)(2)(iii)</v>
      </c>
      <c r="O230" s="66" t="str">
        <f>VLOOKUP($B230,'Standards Crosswalk'!$A:$H,5,FALSE)</f>
        <v>9.4.3</v>
      </c>
      <c r="P230" s="66" t="str">
        <f>VLOOKUP($B230,'Standards Crosswalk'!$A:$H,6,FALSE)</f>
        <v>ID.GV-3</v>
      </c>
      <c r="Q230" s="66" t="str">
        <f>VLOOKUP($B230,'Standards Crosswalk'!$A:$H,7,FALSE)</f>
        <v>3.1.8</v>
      </c>
      <c r="R230" s="66" t="str">
        <f>VLOOKUP($B230,'Standards Crosswalk'!$A:$H,8,FALSE)</f>
        <v>AC-7</v>
      </c>
      <c r="S230" s="66">
        <f>VLOOKUP($B230,'Standards Crosswalk'!$A:$I,9,FALSE)</f>
        <v>0</v>
      </c>
    </row>
    <row r="231" spans="1:19" ht="91" thickBot="1" x14ac:dyDescent="0.2">
      <c r="A231" s="65">
        <f t="shared" si="6"/>
        <v>229</v>
      </c>
      <c r="B231" s="71" t="s">
        <v>395</v>
      </c>
      <c r="C231" s="72" t="str">
        <f>VLOOKUP(B231,'HECVAT - Full'!A:E,2,FALSE)</f>
        <v>Does your application automatically lock or log-out an account after a period of inactivity?</v>
      </c>
      <c r="D231" s="65">
        <f>VLOOKUP(B231,'HECVAT - Full'!A:E,4,FALSE)</f>
        <v>0</v>
      </c>
      <c r="E231" s="73" t="b">
        <f>IF(Table1[[#This Row],[Column11]]&gt;20,TRUE,FALSE)</f>
        <v>0</v>
      </c>
      <c r="F231" s="73" t="s">
        <v>562</v>
      </c>
      <c r="G231" s="74" t="s">
        <v>17</v>
      </c>
      <c r="H231" s="75">
        <v>1</v>
      </c>
      <c r="I231" s="65">
        <f>VLOOKUP(B231,'HECVAT - Full'!A:E,3,FALSE)</f>
        <v>0</v>
      </c>
      <c r="J231" s="65">
        <f>IF(Table1[[#This Row],[Column7]]=Table1[[#This Row],[Column9]],1,0)</f>
        <v>0</v>
      </c>
      <c r="K231" s="65">
        <f>IF(Table1[[#This Row],[Column8]]=1,20,"")</f>
        <v>20</v>
      </c>
      <c r="L231" s="65">
        <f>IF(Table1[[#This Row],[Column8]]=1,J231*K231,"")</f>
        <v>0</v>
      </c>
      <c r="M231" s="66" t="str">
        <f>VLOOKUP($B231,'Standards Crosswalk'!$A:$H,3,FALSE)</f>
        <v>CSC 16</v>
      </c>
      <c r="N231" s="66" t="str">
        <f>VLOOKUP($B231,'Standards Crosswalk'!$A:$H,4,FALSE)</f>
        <v>§164.308(a)(4),
§164.312(a)(2)(ii), §164.312(a)(2)(iii)</v>
      </c>
      <c r="O231" s="66" t="str">
        <f>VLOOKUP($B231,'Standards Crosswalk'!$A:$H,5,FALSE)</f>
        <v>9.4.3</v>
      </c>
      <c r="P231" s="66" t="str">
        <f>VLOOKUP($B231,'Standards Crosswalk'!$A:$H,6,FALSE)</f>
        <v>ID.GV-3</v>
      </c>
      <c r="Q231" s="66" t="str">
        <f>VLOOKUP($B231,'Standards Crosswalk'!$A:$H,7,FALSE)</f>
        <v>3.1.10, 3.1.11</v>
      </c>
      <c r="R231" s="66" t="str">
        <f>VLOOKUP($B231,'Standards Crosswalk'!$A:$H,8,FALSE)</f>
        <v>AC-11, AC-11(1), AC-12</v>
      </c>
      <c r="S231" s="66" t="str">
        <f>VLOOKUP($B231,'Standards Crosswalk'!$A:$I,9,FALSE)</f>
        <v>8.x</v>
      </c>
    </row>
    <row r="232" spans="1:19" ht="61" thickBot="1" x14ac:dyDescent="0.2">
      <c r="A232" s="65">
        <f t="shared" si="6"/>
        <v>230</v>
      </c>
      <c r="B232" s="71" t="s">
        <v>396</v>
      </c>
      <c r="C232" s="72" t="str">
        <f>VLOOKUP(B232,'HECVAT - Full'!A:E,2,FALSE)</f>
        <v>Are passwords visible in plain text, whether when stored or entered, including service level accounts (i.e. database accounts, etc.)?</v>
      </c>
      <c r="D232" s="65">
        <f>VLOOKUP(B232,'HECVAT - Full'!A:E,4,FALSE)</f>
        <v>0</v>
      </c>
      <c r="E232" s="73" t="b">
        <f>IF(Table1[[#This Row],[Column11]]&gt;20,TRUE,FALSE)</f>
        <v>1</v>
      </c>
      <c r="F232" s="73" t="s">
        <v>562</v>
      </c>
      <c r="G232" s="74" t="s">
        <v>20</v>
      </c>
      <c r="H232" s="75">
        <v>1</v>
      </c>
      <c r="I232" s="65">
        <f>VLOOKUP(B232,'HECVAT - Full'!A:E,3,FALSE)</f>
        <v>0</v>
      </c>
      <c r="J232" s="65">
        <f>IF(Table1[[#This Row],[Column7]]=Table1[[#This Row],[Column9]],1,0)</f>
        <v>0</v>
      </c>
      <c r="K232" s="65">
        <f>IF(Table1[[#This Row],[Column8]]=1,25,"")</f>
        <v>25</v>
      </c>
      <c r="L232" s="65">
        <f>IF(Table1[[#This Row],[Column8]]=1,J232*K232,"")</f>
        <v>0</v>
      </c>
      <c r="M232" s="66" t="str">
        <f>VLOOKUP($B232,'Standards Crosswalk'!$A:$H,3,FALSE)</f>
        <v>CSC 16</v>
      </c>
      <c r="N232" s="66" t="str">
        <f>VLOOKUP($B232,'Standards Crosswalk'!$A:$H,4,FALSE)</f>
        <v>§164.308(a)(4), 
§164.312(d)</v>
      </c>
      <c r="O232" s="66" t="str">
        <f>VLOOKUP($B232,'Standards Crosswalk'!$A:$H,5,FALSE)</f>
        <v>9.4.3</v>
      </c>
      <c r="P232" s="66" t="str">
        <f>VLOOKUP($B232,'Standards Crosswalk'!$A:$H,6,FALSE)</f>
        <v>ID.GV-3</v>
      </c>
      <c r="Q232" s="66" t="str">
        <f>VLOOKUP($B232,'Standards Crosswalk'!$A:$H,7,FALSE)</f>
        <v>3.5.10</v>
      </c>
      <c r="R232" s="66" t="str">
        <f>VLOOKUP($B232,'Standards Crosswalk'!$A:$H,8,FALSE)</f>
        <v>IA-5(1)</v>
      </c>
      <c r="S232" s="66" t="str">
        <f>VLOOKUP($B232,'Standards Crosswalk'!$A:$I,9,FALSE)</f>
        <v>8.x</v>
      </c>
    </row>
    <row r="233" spans="1:19" ht="61" thickBot="1" x14ac:dyDescent="0.2">
      <c r="A233" s="65">
        <f t="shared" si="6"/>
        <v>231</v>
      </c>
      <c r="B233" s="71" t="s">
        <v>397</v>
      </c>
      <c r="C233" s="72" t="str">
        <f>VLOOKUP(B233,'HECVAT - Full'!A:E,2,FALSE)</f>
        <v>If the application is institution-hosted, can all service level and administrative account passwords be changed by the institution?</v>
      </c>
      <c r="D233" s="65">
        <f>VLOOKUP(B233,'HECVAT - Full'!A:E,4,FALSE)</f>
        <v>0</v>
      </c>
      <c r="E233" s="73" t="b">
        <f>IF(Table1[[#This Row],[Column11]]&gt;20,TRUE,FALSE)</f>
        <v>0</v>
      </c>
      <c r="F233" s="73" t="s">
        <v>562</v>
      </c>
      <c r="G233" s="74" t="s">
        <v>17</v>
      </c>
      <c r="H233" s="75">
        <v>1</v>
      </c>
      <c r="I233" s="65">
        <f>VLOOKUP(B233,'HECVAT - Full'!A:E,3,FALSE)</f>
        <v>0</v>
      </c>
      <c r="J233" s="65">
        <f>IF(Table1[[#This Row],[Column7]]=Table1[[#This Row],[Column9]],1,0)</f>
        <v>0</v>
      </c>
      <c r="K233" s="65">
        <f>IF(Table1[[#This Row],[Column8]]=1,20,"")</f>
        <v>20</v>
      </c>
      <c r="L233" s="65">
        <f>IF(Table1[[#This Row],[Column8]]=1,J233*K233,"")</f>
        <v>0</v>
      </c>
      <c r="M233" s="66" t="str">
        <f>VLOOKUP($B233,'Standards Crosswalk'!$A:$H,3,FALSE)</f>
        <v>CSC 16</v>
      </c>
      <c r="N233" s="66" t="str">
        <f>VLOOKUP($B233,'Standards Crosswalk'!$A:$H,4,FALSE)</f>
        <v>§164.308(a)(4), 
§164.312(d)</v>
      </c>
      <c r="O233" s="66">
        <f>VLOOKUP($B233,'Standards Crosswalk'!$A:$H,5,FALSE)</f>
        <v>0</v>
      </c>
      <c r="P233" s="66" t="str">
        <f>VLOOKUP($B233,'Standards Crosswalk'!$A:$H,6,FALSE)</f>
        <v>ID.GV-3</v>
      </c>
      <c r="Q233" s="66">
        <f>VLOOKUP($B233,'Standards Crosswalk'!$A:$H,7,FALSE)</f>
        <v>0</v>
      </c>
      <c r="R233" s="66">
        <f>VLOOKUP($B233,'Standards Crosswalk'!$A:$H,8,FALSE)</f>
        <v>0</v>
      </c>
      <c r="S233" s="66" t="str">
        <f>VLOOKUP($B233,'Standards Crosswalk'!$A:$I,9,FALSE)</f>
        <v>8.x</v>
      </c>
    </row>
    <row r="234" spans="1:19" ht="106" thickBot="1" x14ac:dyDescent="0.2">
      <c r="A234" s="65">
        <f t="shared" si="6"/>
        <v>232</v>
      </c>
      <c r="B234" s="71" t="s">
        <v>398</v>
      </c>
      <c r="C234" s="72" t="str">
        <f>VLOOKUP(B234,'HECVAT - Full'!A:E,2,FALSE)</f>
        <v>Does your application provide the ability to define user access levels?</v>
      </c>
      <c r="D234" s="65">
        <f>VLOOKUP(B234,'HECVAT - Full'!A:E,4,FALSE)</f>
        <v>0</v>
      </c>
      <c r="E234" s="73" t="b">
        <f>IF(Table1[[#This Row],[Column11]]&gt;20,TRUE,FALSE)</f>
        <v>0</v>
      </c>
      <c r="F234" s="73" t="s">
        <v>562</v>
      </c>
      <c r="G234" s="74" t="s">
        <v>17</v>
      </c>
      <c r="H234" s="75">
        <v>1</v>
      </c>
      <c r="I234" s="65">
        <f>VLOOKUP(B234,'HECVAT - Full'!A:E,3,FALSE)</f>
        <v>0</v>
      </c>
      <c r="J234" s="65">
        <f>IF(Table1[[#This Row],[Column7]]=Table1[[#This Row],[Column9]],1,0)</f>
        <v>0</v>
      </c>
      <c r="K234" s="65">
        <f>IF(Table1[[#This Row],[Column8]]=1,20,"")</f>
        <v>20</v>
      </c>
      <c r="L234" s="65">
        <f>IF(Table1[[#This Row],[Column8]]=1,J234*K234,"")</f>
        <v>0</v>
      </c>
      <c r="M234" s="66" t="str">
        <f>VLOOKUP($B234,'Standards Crosswalk'!$A:$H,3,FALSE)</f>
        <v>CSC 16</v>
      </c>
      <c r="N234" s="66" t="str">
        <f>VLOOKUP($B234,'Standards Crosswalk'!$A:$H,4,FALSE)</f>
        <v>§164.308(a)(4), 
§164.312(a)(1), §164.312(a)(2)(i), 
§164.312(d)</v>
      </c>
      <c r="O234" s="66">
        <f>VLOOKUP($B234,'Standards Crosswalk'!$A:$H,5,FALSE)</f>
        <v>0</v>
      </c>
      <c r="P234" s="66" t="str">
        <f>VLOOKUP($B234,'Standards Crosswalk'!$A:$H,6,FALSE)</f>
        <v>ID.GV-3</v>
      </c>
      <c r="Q234" s="66" t="str">
        <f>VLOOKUP($B234,'Standards Crosswalk'!$A:$H,7,FALSE)</f>
        <v>3.1.2</v>
      </c>
      <c r="R234" s="66">
        <f>VLOOKUP($B234,'Standards Crosswalk'!$A:$H,8,FALSE)</f>
        <v>0</v>
      </c>
      <c r="S234" s="66" t="str">
        <f>VLOOKUP($B234,'Standards Crosswalk'!$A:$I,9,FALSE)</f>
        <v>8.x</v>
      </c>
    </row>
    <row r="235" spans="1:19" ht="106" thickBot="1" x14ac:dyDescent="0.2">
      <c r="A235" s="65">
        <f t="shared" si="6"/>
        <v>233</v>
      </c>
      <c r="B235" s="71" t="s">
        <v>399</v>
      </c>
      <c r="C235" s="72" t="str">
        <f>VLOOKUP(B235,'HECVAT - Full'!A:E,2,FALSE)</f>
        <v>Does your application support varying levels of access to administrative tasks defined individually per user?</v>
      </c>
      <c r="D235" s="65">
        <f>VLOOKUP(B235,'HECVAT - Full'!A:E,4,FALSE)</f>
        <v>0</v>
      </c>
      <c r="E235" s="73" t="b">
        <f>IF(Table1[[#This Row],[Column11]]&gt;20,TRUE,FALSE)</f>
        <v>0</v>
      </c>
      <c r="F235" s="73" t="s">
        <v>562</v>
      </c>
      <c r="G235" s="74" t="s">
        <v>17</v>
      </c>
      <c r="H235" s="75">
        <v>1</v>
      </c>
      <c r="I235" s="65">
        <f>VLOOKUP(B235,'HECVAT - Full'!A:E,3,FALSE)</f>
        <v>0</v>
      </c>
      <c r="J235" s="65">
        <f>IF(Table1[[#This Row],[Column7]]=Table1[[#This Row],[Column9]],1,0)</f>
        <v>0</v>
      </c>
      <c r="K235" s="65">
        <f>IF(Table1[[#This Row],[Column8]]=1,20,"")</f>
        <v>20</v>
      </c>
      <c r="L235" s="65">
        <f>IF(Table1[[#This Row],[Column8]]=1,J235*K235,"")</f>
        <v>0</v>
      </c>
      <c r="M235" s="66" t="str">
        <f>VLOOKUP($B235,'Standards Crosswalk'!$A:$H,3,FALSE)</f>
        <v>CSC 16, 5</v>
      </c>
      <c r="N235" s="66" t="str">
        <f>VLOOKUP($B235,'Standards Crosswalk'!$A:$H,4,FALSE)</f>
        <v>§164.308(a)(4),
§164.312(a)(1), §164.312(a)(2)(i), 
§164.312(d)</v>
      </c>
      <c r="O235" s="66" t="str">
        <f>VLOOKUP($B235,'Standards Crosswalk'!$A:$H,5,FALSE)</f>
        <v>9.1.1</v>
      </c>
      <c r="P235" s="66" t="str">
        <f>VLOOKUP($B235,'Standards Crosswalk'!$A:$H,6,FALSE)</f>
        <v>ID.GV-3</v>
      </c>
      <c r="Q235" s="66" t="str">
        <f>VLOOKUP($B235,'Standards Crosswalk'!$A:$H,7,FALSE)</f>
        <v>3.1.2, 3.1.5</v>
      </c>
      <c r="R235" s="66">
        <f>VLOOKUP($B235,'Standards Crosswalk'!$A:$H,8,FALSE)</f>
        <v>0</v>
      </c>
      <c r="S235" s="66" t="str">
        <f>VLOOKUP($B235,'Standards Crosswalk'!$A:$I,9,FALSE)</f>
        <v>8.x</v>
      </c>
    </row>
    <row r="236" spans="1:19" ht="106" thickBot="1" x14ac:dyDescent="0.2">
      <c r="A236" s="65">
        <f t="shared" si="6"/>
        <v>234</v>
      </c>
      <c r="B236" s="71" t="s">
        <v>400</v>
      </c>
      <c r="C236" s="72" t="str">
        <f>VLOOKUP(B236,'HECVAT - Full'!A:E,2,FALSE)</f>
        <v>Does your application support varying levels of access to records based on user ID?</v>
      </c>
      <c r="D236" s="65">
        <f>VLOOKUP(B236,'HECVAT - Full'!A:E,4,FALSE)</f>
        <v>0</v>
      </c>
      <c r="E236" s="73" t="b">
        <f>IF(Table1[[#This Row],[Column11]]&gt;20,TRUE,FALSE)</f>
        <v>0</v>
      </c>
      <c r="F236" s="73" t="s">
        <v>562</v>
      </c>
      <c r="G236" s="74" t="s">
        <v>17</v>
      </c>
      <c r="H236" s="75">
        <v>1</v>
      </c>
      <c r="I236" s="65">
        <f>VLOOKUP(B236,'HECVAT - Full'!A:E,3,FALSE)</f>
        <v>0</v>
      </c>
      <c r="J236" s="65">
        <f>IF(Table1[[#This Row],[Column7]]=Table1[[#This Row],[Column9]],1,0)</f>
        <v>0</v>
      </c>
      <c r="K236" s="65">
        <f>IF(Table1[[#This Row],[Column8]]=1,20,"")</f>
        <v>20</v>
      </c>
      <c r="L236" s="65">
        <f>IF(Table1[[#This Row],[Column8]]=1,J236*K236,"")</f>
        <v>0</v>
      </c>
      <c r="M236" s="66" t="str">
        <f>VLOOKUP($B236,'Standards Crosswalk'!$A:$H,3,FALSE)</f>
        <v>CSC 16</v>
      </c>
      <c r="N236" s="66" t="str">
        <f>VLOOKUP($B236,'Standards Crosswalk'!$A:$H,4,FALSE)</f>
        <v>§164.308(a)(4), 
§164.312(a)(1), §164.312(a)(2)(i),
§164.312(d)</v>
      </c>
      <c r="O236" s="66" t="str">
        <f>VLOOKUP($B236,'Standards Crosswalk'!$A:$H,5,FALSE)</f>
        <v>9.2.3</v>
      </c>
      <c r="P236" s="66" t="str">
        <f>VLOOKUP($B236,'Standards Crosswalk'!$A:$H,6,FALSE)</f>
        <v>ID.GV-3</v>
      </c>
      <c r="Q236" s="66" t="str">
        <f>VLOOKUP($B236,'Standards Crosswalk'!$A:$H,7,FALSE)</f>
        <v>3.1.2</v>
      </c>
      <c r="R236" s="66">
        <f>VLOOKUP($B236,'Standards Crosswalk'!$A:$H,8,FALSE)</f>
        <v>0</v>
      </c>
      <c r="S236" s="66" t="str">
        <f>VLOOKUP($B236,'Standards Crosswalk'!$A:$I,9,FALSE)</f>
        <v>8.x</v>
      </c>
    </row>
    <row r="237" spans="1:19" ht="46" thickBot="1" x14ac:dyDescent="0.2">
      <c r="A237" s="65">
        <f t="shared" si="6"/>
        <v>235</v>
      </c>
      <c r="B237" s="71" t="s">
        <v>401</v>
      </c>
      <c r="C237" s="72" t="str">
        <f>VLOOKUP(B237,'HECVAT - Full'!A:E,2,FALSE)</f>
        <v>Is there a limit to the number of groups a user can be assigned?</v>
      </c>
      <c r="D237" s="65">
        <f>VLOOKUP(B237,'HECVAT - Full'!A:E,4,FALSE)</f>
        <v>0</v>
      </c>
      <c r="E237" s="73" t="b">
        <f>IF(Table1[[#This Row],[Column11]]&gt;20,TRUE,FALSE)</f>
        <v>0</v>
      </c>
      <c r="F237" s="73" t="s">
        <v>562</v>
      </c>
      <c r="G237" s="74" t="s">
        <v>20</v>
      </c>
      <c r="H237" s="75">
        <v>1</v>
      </c>
      <c r="I237" s="65">
        <f>VLOOKUP(B237,'HECVAT - Full'!A:E,3,FALSE)</f>
        <v>0</v>
      </c>
      <c r="J237" s="65">
        <f>IF(Table1[[#This Row],[Column7]]=Table1[[#This Row],[Column9]],1,0)</f>
        <v>0</v>
      </c>
      <c r="K237" s="65">
        <f>IF(Table1[[#This Row],[Column8]]=1,20,"")</f>
        <v>20</v>
      </c>
      <c r="L237" s="65">
        <f>IF(Table1[[#This Row],[Column8]]=1,J237*K237,"")</f>
        <v>0</v>
      </c>
      <c r="M237" s="66" t="str">
        <f>VLOOKUP($B237,'Standards Crosswalk'!$A:$H,3,FALSE)</f>
        <v>CSC 16</v>
      </c>
      <c r="N237" s="66" t="str">
        <f>VLOOKUP($B237,'Standards Crosswalk'!$A:$H,4,FALSE)</f>
        <v>§164.308(a)(4), 
§164.312(a)(1)</v>
      </c>
      <c r="O237" s="66" t="str">
        <f>VLOOKUP($B237,'Standards Crosswalk'!$A:$H,5,FALSE)</f>
        <v>9.2.3</v>
      </c>
      <c r="P237" s="66" t="str">
        <f>VLOOKUP($B237,'Standards Crosswalk'!$A:$H,6,FALSE)</f>
        <v>ID.GV-3</v>
      </c>
      <c r="Q237" s="66">
        <f>VLOOKUP($B237,'Standards Crosswalk'!$A:$H,7,FALSE)</f>
        <v>0</v>
      </c>
      <c r="R237" s="66">
        <f>VLOOKUP($B237,'Standards Crosswalk'!$A:$H,8,FALSE)</f>
        <v>0</v>
      </c>
      <c r="S237" s="66">
        <f>VLOOKUP($B237,'Standards Crosswalk'!$A:$I,9,FALSE)</f>
        <v>0</v>
      </c>
    </row>
    <row r="238" spans="1:19" ht="61" thickBot="1" x14ac:dyDescent="0.2">
      <c r="A238" s="65">
        <f t="shared" si="6"/>
        <v>236</v>
      </c>
      <c r="B238" s="71" t="s">
        <v>402</v>
      </c>
      <c r="C238" s="72" t="str">
        <f>VLOOKUP(B238,'HECVAT - Full'!A:E,2,FALSE)</f>
        <v>Do accounts used for vendor supplied remote support abide by the same authentication policies and access logging as the rest of the system?</v>
      </c>
      <c r="D238" s="65">
        <f>VLOOKUP(B238,'HECVAT - Full'!A:E,4,FALSE)</f>
        <v>0</v>
      </c>
      <c r="E238" s="73" t="b">
        <f>IF(Table1[[#This Row],[Column11]]&gt;20,TRUE,FALSE)</f>
        <v>0</v>
      </c>
      <c r="F238" s="73" t="s">
        <v>562</v>
      </c>
      <c r="G238" s="74" t="s">
        <v>17</v>
      </c>
      <c r="H238" s="75">
        <v>1</v>
      </c>
      <c r="I238" s="65">
        <f>VLOOKUP(B238,'HECVAT - Full'!A:E,3,FALSE)</f>
        <v>0</v>
      </c>
      <c r="J238" s="65">
        <f>IF(Table1[[#This Row],[Column7]]=Table1[[#This Row],[Column9]],1,0)</f>
        <v>0</v>
      </c>
      <c r="K238" s="65">
        <f>IF(Table1[[#This Row],[Column8]]=1,20,"")</f>
        <v>20</v>
      </c>
      <c r="L238" s="65">
        <f>IF(Table1[[#This Row],[Column8]]=1,J238*K238,"")</f>
        <v>0</v>
      </c>
      <c r="M238" s="66" t="str">
        <f>VLOOKUP($B238,'Standards Crosswalk'!$A:$H,3,FALSE)</f>
        <v>CSC 6, CSC 16</v>
      </c>
      <c r="N238" s="66" t="str">
        <f>VLOOKUP($B238,'Standards Crosswalk'!$A:$H,4,FALSE)</f>
        <v>§164.308(a)(4), 
§164.312(a)(1)</v>
      </c>
      <c r="O238" s="66">
        <f>VLOOKUP($B238,'Standards Crosswalk'!$A:$H,5,FALSE)</f>
        <v>0</v>
      </c>
      <c r="P238" s="66" t="str">
        <f>VLOOKUP($B238,'Standards Crosswalk'!$A:$H,6,FALSE)</f>
        <v>ID.GV-3</v>
      </c>
      <c r="Q238" s="66" t="str">
        <f>VLOOKUP($B238,'Standards Crosswalk'!$A:$H,7,FALSE)</f>
        <v>3.3.1</v>
      </c>
      <c r="R238" s="66" t="str">
        <f>VLOOKUP($B238,'Standards Crosswalk'!$A:$H,8,FALSE)</f>
        <v>AU-2, AU-6, AU-12</v>
      </c>
      <c r="S238" s="66" t="str">
        <f>VLOOKUP($B238,'Standards Crosswalk'!$A:$I,9,FALSE)</f>
        <v>8.x</v>
      </c>
    </row>
    <row r="239" spans="1:19" ht="61" thickBot="1" x14ac:dyDescent="0.2">
      <c r="A239" s="65">
        <f t="shared" si="6"/>
        <v>237</v>
      </c>
      <c r="B239" s="71" t="s">
        <v>403</v>
      </c>
      <c r="C239" s="72" t="str">
        <f>VLOOKUP(B239,'HECVAT - Full'!A:E,2,FALSE)</f>
        <v xml:space="preserve">Does the application log record access including specific user, date/time of access, and originating IP or device? </v>
      </c>
      <c r="D239" s="65">
        <f>VLOOKUP(B239,'HECVAT - Full'!A:E,4,FALSE)</f>
        <v>0</v>
      </c>
      <c r="E239" s="73" t="b">
        <f>IF(Table1[[#This Row],[Column11]]&gt;20,TRUE,FALSE)</f>
        <v>0</v>
      </c>
      <c r="F239" s="73" t="s">
        <v>562</v>
      </c>
      <c r="G239" s="74" t="s">
        <v>17</v>
      </c>
      <c r="H239" s="75">
        <v>1</v>
      </c>
      <c r="I239" s="65">
        <f>VLOOKUP(B239,'HECVAT - Full'!A:E,3,FALSE)</f>
        <v>0</v>
      </c>
      <c r="J239" s="65">
        <f>IF(Table1[[#This Row],[Column7]]=Table1[[#This Row],[Column9]],1,0)</f>
        <v>0</v>
      </c>
      <c r="K239" s="65">
        <f>IF(Table1[[#This Row],[Column8]]=1,20,"")</f>
        <v>20</v>
      </c>
      <c r="L239" s="65">
        <f>IF(Table1[[#This Row],[Column8]]=1,J239*K239,"")</f>
        <v>0</v>
      </c>
      <c r="M239" s="66" t="str">
        <f>VLOOKUP($B239,'Standards Crosswalk'!$A:$H,3,FALSE)</f>
        <v>CSC 6</v>
      </c>
      <c r="N239" s="66" t="str">
        <f>VLOOKUP($B239,'Standards Crosswalk'!$A:$H,4,FALSE)</f>
        <v>§ 164.308(a)(1)(ii)(D)</v>
      </c>
      <c r="O239" s="66" t="str">
        <f>VLOOKUP($B239,'Standards Crosswalk'!$A:$H,5,FALSE)</f>
        <v>12.4.1</v>
      </c>
      <c r="P239" s="66" t="str">
        <f>VLOOKUP($B239,'Standards Crosswalk'!$A:$H,6,FALSE)</f>
        <v>ID.GV-3</v>
      </c>
      <c r="Q239" s="66" t="str">
        <f>VLOOKUP($B239,'Standards Crosswalk'!$A:$H,7,FALSE)</f>
        <v>3.3.2</v>
      </c>
      <c r="R239" s="66" t="str">
        <f>VLOOKUP($B239,'Standards Crosswalk'!$A:$H,8,FALSE)</f>
        <v>AU-3</v>
      </c>
      <c r="S239" s="66">
        <f>VLOOKUP($B239,'Standards Crosswalk'!$A:$I,9,FALSE)</f>
        <v>10.7</v>
      </c>
    </row>
    <row r="240" spans="1:19" ht="91" thickBot="1" x14ac:dyDescent="0.2">
      <c r="A240" s="65">
        <f t="shared" si="6"/>
        <v>238</v>
      </c>
      <c r="B240" s="71" t="s">
        <v>404</v>
      </c>
      <c r="C240" s="72" t="str">
        <f>VLOOKUP(B240,'HECVAT - Full'!A:E,2,FALSE)</f>
        <v>Does the application log administrative activity, such user account access changes and password changes, including specific user, date/time of changes, and originating IP or device?</v>
      </c>
      <c r="D240" s="65">
        <f>VLOOKUP(B240,'HECVAT - Full'!A:E,4,FALSE)</f>
        <v>0</v>
      </c>
      <c r="E240" s="73" t="b">
        <f>IF(Table1[[#This Row],[Column11]]&gt;20,TRUE,FALSE)</f>
        <v>0</v>
      </c>
      <c r="F240" s="73" t="s">
        <v>562</v>
      </c>
      <c r="G240" s="74" t="s">
        <v>17</v>
      </c>
      <c r="H240" s="75">
        <v>1</v>
      </c>
      <c r="I240" s="65">
        <f>VLOOKUP(B240,'HECVAT - Full'!A:E,3,FALSE)</f>
        <v>0</v>
      </c>
      <c r="J240" s="65">
        <f>IF(Table1[[#This Row],[Column7]]=Table1[[#This Row],[Column9]],1,0)</f>
        <v>0</v>
      </c>
      <c r="K240" s="65">
        <f>IF(Table1[[#This Row],[Column8]]=1,20,"")</f>
        <v>20</v>
      </c>
      <c r="L240" s="65">
        <f>IF(Table1[[#This Row],[Column8]]=1,J240*K240,"")</f>
        <v>0</v>
      </c>
      <c r="M240" s="66" t="str">
        <f>VLOOKUP($B240,'Standards Crosswalk'!$A:$H,3,FALSE)</f>
        <v>CSC 6</v>
      </c>
      <c r="N240" s="66" t="str">
        <f>VLOOKUP($B240,'Standards Crosswalk'!$A:$H,4,FALSE)</f>
        <v>§164.312(b)</v>
      </c>
      <c r="O240" s="66" t="str">
        <f>VLOOKUP($B240,'Standards Crosswalk'!$A:$H,5,FALSE)</f>
        <v>12.4.1</v>
      </c>
      <c r="P240" s="66" t="str">
        <f>VLOOKUP($B240,'Standards Crosswalk'!$A:$H,6,FALSE)</f>
        <v>ID.GV-3</v>
      </c>
      <c r="Q240" s="66">
        <f>VLOOKUP($B240,'Standards Crosswalk'!$A:$H,7,FALSE)</f>
        <v>0</v>
      </c>
      <c r="R240" s="66">
        <f>VLOOKUP($B240,'Standards Crosswalk'!$A:$H,8,FALSE)</f>
        <v>0</v>
      </c>
      <c r="S240" s="66">
        <f>VLOOKUP($B240,'Standards Crosswalk'!$A:$I,9,FALSE)</f>
        <v>10.7</v>
      </c>
    </row>
    <row r="241" spans="1:19" ht="31" thickBot="1" x14ac:dyDescent="0.2">
      <c r="A241" s="65">
        <f t="shared" si="6"/>
        <v>239</v>
      </c>
      <c r="B241" s="71" t="s">
        <v>405</v>
      </c>
      <c r="C241" s="72" t="str">
        <f>VLOOKUP(B241,'HECVAT - Full'!A:E,2,FALSE)</f>
        <v>How long does the application keep access/change logs?</v>
      </c>
      <c r="D241" s="65">
        <f>VLOOKUP(B241,'HECVAT - Full'!A:E,4,FALSE)</f>
        <v>0</v>
      </c>
      <c r="E241" s="73" t="b">
        <f>IF(Table1[[#This Row],[Column11]]&gt;20,TRUE,FALSE)</f>
        <v>0</v>
      </c>
      <c r="F241" s="73" t="s">
        <v>562</v>
      </c>
      <c r="G241" s="74" t="s">
        <v>17</v>
      </c>
      <c r="H241" s="75">
        <v>1</v>
      </c>
      <c r="I241" s="65">
        <f>VLOOKUP(B241,'HECVAT - Full'!A:E,3,FALSE)</f>
        <v>0</v>
      </c>
      <c r="J241" s="65">
        <f>IF(VLOOKUP(Table1[[#This Row],[Column2]],'Analyst Report'!$A$41:$G$88,7,FALSE)="Yes",1,0)</f>
        <v>0</v>
      </c>
      <c r="K241" s="65">
        <f>IF(Table1[[#This Row],[Column8]]=1,20,"")</f>
        <v>20</v>
      </c>
      <c r="L241" s="65">
        <f>IF(Table1[[#This Row],[Column8]]=1,J241*K241,"")</f>
        <v>0</v>
      </c>
      <c r="M241" s="66" t="str">
        <f>VLOOKUP($B241,'Standards Crosswalk'!$A:$H,3,FALSE)</f>
        <v>CSC 6</v>
      </c>
      <c r="N241" s="66" t="str">
        <f>VLOOKUP($B241,'Standards Crosswalk'!$A:$H,4,FALSE)</f>
        <v>§164.312(b)</v>
      </c>
      <c r="O241" s="66" t="str">
        <f>VLOOKUP($B241,'Standards Crosswalk'!$A:$H,5,FALSE)</f>
        <v>12.4.1</v>
      </c>
      <c r="P241" s="66" t="str">
        <f>VLOOKUP($B241,'Standards Crosswalk'!$A:$H,6,FALSE)</f>
        <v>ID.GV-3</v>
      </c>
      <c r="Q241" s="66">
        <f>VLOOKUP($B241,'Standards Crosswalk'!$A:$H,7,FALSE)</f>
        <v>0</v>
      </c>
      <c r="R241" s="66">
        <f>VLOOKUP($B241,'Standards Crosswalk'!$A:$H,8,FALSE)</f>
        <v>0</v>
      </c>
      <c r="S241" s="66">
        <f>VLOOKUP($B241,'Standards Crosswalk'!$A:$I,9,FALSE)</f>
        <v>10.7</v>
      </c>
    </row>
    <row r="242" spans="1:19" ht="16" thickBot="1" x14ac:dyDescent="0.2">
      <c r="A242" s="65">
        <f t="shared" si="6"/>
        <v>240</v>
      </c>
      <c r="B242" s="71" t="s">
        <v>406</v>
      </c>
      <c r="C242" s="72" t="str">
        <f>VLOOKUP(B242,'HECVAT - Full'!A:E,2,FALSE)</f>
        <v xml:space="preserve">Can the application logs be archived? </v>
      </c>
      <c r="D242" s="65">
        <f>VLOOKUP(B242,'HECVAT - Full'!A:E,4,FALSE)</f>
        <v>0</v>
      </c>
      <c r="E242" s="73" t="b">
        <f>IF(Table1[[#This Row],[Column11]]&gt;20,TRUE,FALSE)</f>
        <v>0</v>
      </c>
      <c r="F242" s="73" t="s">
        <v>562</v>
      </c>
      <c r="G242" s="74" t="s">
        <v>17</v>
      </c>
      <c r="H242" s="75">
        <v>1</v>
      </c>
      <c r="I242" s="65">
        <f>VLOOKUP(B242,'HECVAT - Full'!A:E,3,FALSE)</f>
        <v>0</v>
      </c>
      <c r="J242" s="65">
        <f>IF(Table1[[#This Row],[Column7]]=Table1[[#This Row],[Column9]],1,0)</f>
        <v>0</v>
      </c>
      <c r="K242" s="65">
        <f>IF(Table1[[#This Row],[Column8]]=1,20,"")</f>
        <v>20</v>
      </c>
      <c r="L242" s="65">
        <f>IF(Table1[[#This Row],[Column8]]=1,J242*K242,"")</f>
        <v>0</v>
      </c>
      <c r="M242" s="66" t="str">
        <f>VLOOKUP($B242,'Standards Crosswalk'!$A:$H,3,FALSE)</f>
        <v>CSC 6</v>
      </c>
      <c r="N242" s="66" t="str">
        <f>VLOOKUP($B242,'Standards Crosswalk'!$A:$H,4,FALSE)</f>
        <v>§164.312(b)</v>
      </c>
      <c r="O242" s="66" t="str">
        <f>VLOOKUP($B242,'Standards Crosswalk'!$A:$H,5,FALSE)</f>
        <v>12.4.1</v>
      </c>
      <c r="P242" s="66" t="str">
        <f>VLOOKUP($B242,'Standards Crosswalk'!$A:$H,6,FALSE)</f>
        <v>ID.GV-3</v>
      </c>
      <c r="Q242" s="66">
        <f>VLOOKUP($B242,'Standards Crosswalk'!$A:$H,7,FALSE)</f>
        <v>0</v>
      </c>
      <c r="R242" s="66">
        <f>VLOOKUP($B242,'Standards Crosswalk'!$A:$H,8,FALSE)</f>
        <v>0</v>
      </c>
      <c r="S242" s="66">
        <f>VLOOKUP($B242,'Standards Crosswalk'!$A:$I,9,FALSE)</f>
        <v>10.7</v>
      </c>
    </row>
    <row r="243" spans="1:19" ht="31" thickBot="1" x14ac:dyDescent="0.2">
      <c r="A243" s="65">
        <f t="shared" si="6"/>
        <v>241</v>
      </c>
      <c r="B243" s="71" t="s">
        <v>407</v>
      </c>
      <c r="C243" s="72" t="str">
        <f>VLOOKUP(B243,'HECVAT - Full'!A:E,2,FALSE)</f>
        <v xml:space="preserve">Can the application logs be saved externally? </v>
      </c>
      <c r="D243" s="65">
        <f>VLOOKUP(B243,'HECVAT - Full'!A:E,4,FALSE)</f>
        <v>0</v>
      </c>
      <c r="E243" s="73" t="b">
        <f>IF(Table1[[#This Row],[Column11]]&gt;20,TRUE,FALSE)</f>
        <v>0</v>
      </c>
      <c r="F243" s="73" t="s">
        <v>562</v>
      </c>
      <c r="G243" s="74" t="s">
        <v>17</v>
      </c>
      <c r="H243" s="75">
        <v>1</v>
      </c>
      <c r="I243" s="65">
        <f>VLOOKUP(B243,'HECVAT - Full'!A:E,3,FALSE)</f>
        <v>0</v>
      </c>
      <c r="J243" s="65">
        <f>IF(Table1[[#This Row],[Column7]]=Table1[[#This Row],[Column9]],1,0)</f>
        <v>0</v>
      </c>
      <c r="K243" s="65">
        <f>IF(Table1[[#This Row],[Column8]]=1,20,"")</f>
        <v>20</v>
      </c>
      <c r="L243" s="65">
        <f>IF(Table1[[#This Row],[Column8]]=1,J243*K243,"")</f>
        <v>0</v>
      </c>
      <c r="M243" s="66" t="str">
        <f>VLOOKUP($B243,'Standards Crosswalk'!$A:$H,3,FALSE)</f>
        <v>CSC 6</v>
      </c>
      <c r="N243" s="66" t="str">
        <f>VLOOKUP($B243,'Standards Crosswalk'!$A:$H,4,FALSE)</f>
        <v>§164.312(b)</v>
      </c>
      <c r="O243" s="66" t="str">
        <f>VLOOKUP($B243,'Standards Crosswalk'!$A:$H,5,FALSE)</f>
        <v>12.4.1</v>
      </c>
      <c r="P243" s="66" t="str">
        <f>VLOOKUP($B243,'Standards Crosswalk'!$A:$H,6,FALSE)</f>
        <v>ID.GV-3</v>
      </c>
      <c r="Q243" s="66">
        <f>VLOOKUP($B243,'Standards Crosswalk'!$A:$H,7,FALSE)</f>
        <v>0</v>
      </c>
      <c r="R243" s="66">
        <f>VLOOKUP($B243,'Standards Crosswalk'!$A:$H,8,FALSE)</f>
        <v>0</v>
      </c>
      <c r="S243" s="66">
        <f>VLOOKUP($B243,'Standards Crosswalk'!$A:$I,9,FALSE)</f>
        <v>10.7</v>
      </c>
    </row>
    <row r="244" spans="1:19" ht="46" thickBot="1" x14ac:dyDescent="0.2">
      <c r="A244" s="65">
        <f t="shared" si="6"/>
        <v>242</v>
      </c>
      <c r="B244" s="71" t="s">
        <v>408</v>
      </c>
      <c r="C244" s="72" t="str">
        <f>VLOOKUP(B244,'HECVAT - Full'!A:E,2,FALSE)</f>
        <v>Does your data backup and retention policies and practices meet HIPAA requirements?</v>
      </c>
      <c r="D244" s="65">
        <f>VLOOKUP(B244,'HECVAT - Full'!A:E,4,FALSE)</f>
        <v>0</v>
      </c>
      <c r="E244" s="73" t="b">
        <f>IF(Table1[[#This Row],[Column11]]&gt;20,TRUE,FALSE)</f>
        <v>0</v>
      </c>
      <c r="F244" s="73" t="s">
        <v>562</v>
      </c>
      <c r="G244" s="74" t="s">
        <v>17</v>
      </c>
      <c r="H244" s="75">
        <v>1</v>
      </c>
      <c r="I244" s="65">
        <f>VLOOKUP(B244,'HECVAT - Full'!A:E,3,FALSE)</f>
        <v>0</v>
      </c>
      <c r="J244" s="65">
        <f>IF(Table1[[#This Row],[Column7]]=Table1[[#This Row],[Column9]],1,0)</f>
        <v>0</v>
      </c>
      <c r="K244" s="65">
        <f>IF(Table1[[#This Row],[Column8]]=1,20,"")</f>
        <v>20</v>
      </c>
      <c r="L244" s="65">
        <f>IF(Table1[[#This Row],[Column8]]=1,J244*K244,"")</f>
        <v>0</v>
      </c>
      <c r="M244" s="66" t="str">
        <f>VLOOKUP($B244,'Standards Crosswalk'!$A:$H,3,FALSE)</f>
        <v>CSC 10</v>
      </c>
      <c r="N244" s="66" t="str">
        <f>VLOOKUP($B244,'Standards Crosswalk'!$A:$H,4,FALSE)</f>
        <v>§164.312(a)(2)(ii)</v>
      </c>
      <c r="O244" s="66" t="str">
        <f>VLOOKUP($B244,'Standards Crosswalk'!$A:$H,5,FALSE)</f>
        <v>18.1.1</v>
      </c>
      <c r="P244" s="66" t="str">
        <f>VLOOKUP($B244,'Standards Crosswalk'!$A:$H,6,FALSE)</f>
        <v>ID.GV-3</v>
      </c>
      <c r="Q244" s="66">
        <f>VLOOKUP($B244,'Standards Crosswalk'!$A:$H,7,FALSE)</f>
        <v>0</v>
      </c>
      <c r="R244" s="66">
        <f>VLOOKUP($B244,'Standards Crosswalk'!$A:$H,8,FALSE)</f>
        <v>0</v>
      </c>
      <c r="S244" s="66">
        <f>VLOOKUP($B244,'Standards Crosswalk'!$A:$I,9,FALSE)</f>
        <v>10.7</v>
      </c>
    </row>
    <row r="245" spans="1:19" ht="31" thickBot="1" x14ac:dyDescent="0.2">
      <c r="A245" s="65">
        <f t="shared" si="6"/>
        <v>243</v>
      </c>
      <c r="B245" s="71" t="s">
        <v>409</v>
      </c>
      <c r="C245" s="72" t="str">
        <f>VLOOKUP(B245,'HECVAT - Full'!A:E,2,FALSE)</f>
        <v>Do you have a disaster recovery plan and emergency mode operation plan?</v>
      </c>
      <c r="D245" s="65">
        <f>VLOOKUP(B245,'HECVAT - Full'!A:E,4,FALSE)</f>
        <v>0</v>
      </c>
      <c r="E245" s="73" t="b">
        <f>IF(Table1[[#This Row],[Column11]]&gt;20,TRUE,FALSE)</f>
        <v>0</v>
      </c>
      <c r="F245" s="73" t="s">
        <v>562</v>
      </c>
      <c r="G245" s="74" t="s">
        <v>17</v>
      </c>
      <c r="H245" s="75">
        <v>1</v>
      </c>
      <c r="I245" s="65">
        <f>VLOOKUP(B245,'HECVAT - Full'!A:E,3,FALSE)</f>
        <v>0</v>
      </c>
      <c r="J245" s="65">
        <f>IF(Table1[[#This Row],[Column7]]=Table1[[#This Row],[Column9]],1,0)</f>
        <v>0</v>
      </c>
      <c r="K245" s="65">
        <f>IF(Table1[[#This Row],[Column8]]=1,20,"")</f>
        <v>20</v>
      </c>
      <c r="L245" s="65">
        <f>IF(Table1[[#This Row],[Column8]]=1,J245*K245,"")</f>
        <v>0</v>
      </c>
      <c r="M245" s="66" t="str">
        <f>VLOOKUP($B245,'Standards Crosswalk'!$A:$H,3,FALSE)</f>
        <v>CSC 10</v>
      </c>
      <c r="N245" s="66" t="str">
        <f>VLOOKUP($B245,'Standards Crosswalk'!$A:$H,4,FALSE)</f>
        <v>§164.308(a)(7)(i)</v>
      </c>
      <c r="O245" s="66" t="str">
        <f>VLOOKUP($B245,'Standards Crosswalk'!$A:$H,5,FALSE)</f>
        <v>17.1.1</v>
      </c>
      <c r="P245" s="66" t="str">
        <f>VLOOKUP($B245,'Standards Crosswalk'!$A:$H,6,FALSE)</f>
        <v>ID.GV-3</v>
      </c>
      <c r="Q245" s="66" t="str">
        <f>VLOOKUP($B245,'Standards Crosswalk'!$A:$H,7,FALSE)</f>
        <v>3.12.2</v>
      </c>
      <c r="R245" s="66">
        <f>VLOOKUP($B245,'Standards Crosswalk'!$A:$H,8,FALSE)</f>
        <v>0</v>
      </c>
      <c r="S245" s="66">
        <f>VLOOKUP($B245,'Standards Crosswalk'!$A:$I,9,FALSE)</f>
        <v>12.1</v>
      </c>
    </row>
    <row r="246" spans="1:19" ht="31" thickBot="1" x14ac:dyDescent="0.2">
      <c r="A246" s="65">
        <f t="shared" si="6"/>
        <v>244</v>
      </c>
      <c r="B246" s="71" t="s">
        <v>410</v>
      </c>
      <c r="C246" s="72" t="str">
        <f>VLOOKUP(B246,'HECVAT - Full'!A:E,2,FALSE)</f>
        <v>Have the policies/plans mentioned above been tested?</v>
      </c>
      <c r="D246" s="65">
        <f>VLOOKUP(B246,'HECVAT - Full'!A:E,4,FALSE)</f>
        <v>0</v>
      </c>
      <c r="E246" s="73" t="b">
        <f>IF(Table1[[#This Row],[Column11]]&gt;20,TRUE,FALSE)</f>
        <v>0</v>
      </c>
      <c r="F246" s="73" t="s">
        <v>562</v>
      </c>
      <c r="G246" s="74" t="s">
        <v>17</v>
      </c>
      <c r="H246" s="75">
        <v>1</v>
      </c>
      <c r="I246" s="65">
        <f>VLOOKUP(B246,'HECVAT - Full'!A:E,3,FALSE)</f>
        <v>0</v>
      </c>
      <c r="J246" s="65">
        <f>IF(Table1[[#This Row],[Column7]]=Table1[[#This Row],[Column9]],1,0)</f>
        <v>0</v>
      </c>
      <c r="K246" s="65">
        <f>IF(Table1[[#This Row],[Column8]]=1,20,"")</f>
        <v>20</v>
      </c>
      <c r="L246" s="65">
        <f>IF(Table1[[#This Row],[Column8]]=1,J246*K246,"")</f>
        <v>0</v>
      </c>
      <c r="M246" s="66" t="str">
        <f>VLOOKUP($B246,'Standards Crosswalk'!$A:$H,3,FALSE)</f>
        <v>CSC 10</v>
      </c>
      <c r="N246" s="66" t="str">
        <f>VLOOKUP($B246,'Standards Crosswalk'!$A:$H,4,FALSE)</f>
        <v>§164.308(a)(7)(i)</v>
      </c>
      <c r="O246" s="66" t="str">
        <f>VLOOKUP($B246,'Standards Crosswalk'!$A:$H,5,FALSE)</f>
        <v>17.1.3</v>
      </c>
      <c r="P246" s="66" t="str">
        <f>VLOOKUP($B246,'Standards Crosswalk'!$A:$H,6,FALSE)</f>
        <v>ID.GV-3</v>
      </c>
      <c r="Q246" s="66" t="str">
        <f>VLOOKUP($B246,'Standards Crosswalk'!$A:$H,7,FALSE)</f>
        <v>3.6.3, 3.12.2</v>
      </c>
      <c r="R246" s="66">
        <f>VLOOKUP($B246,'Standards Crosswalk'!$A:$H,8,FALSE)</f>
        <v>0</v>
      </c>
      <c r="S246" s="66">
        <f>VLOOKUP($B246,'Standards Crosswalk'!$A:$I,9,FALSE)</f>
        <v>12.1</v>
      </c>
    </row>
    <row r="247" spans="1:19" ht="31" thickBot="1" x14ac:dyDescent="0.2">
      <c r="A247" s="65">
        <f t="shared" si="6"/>
        <v>245</v>
      </c>
      <c r="B247" s="71" t="s">
        <v>411</v>
      </c>
      <c r="C247" s="72" t="str">
        <f>VLOOKUP(B247,'HECVAT - Full'!A:E,2,FALSE)</f>
        <v>Can you provide a HIPAA compliance attestation document?</v>
      </c>
      <c r="D247" s="65">
        <f>VLOOKUP(B247,'HECVAT - Full'!A:E,4,FALSE)</f>
        <v>0</v>
      </c>
      <c r="E247" s="73" t="b">
        <f>IF(Table1[[#This Row],[Column11]]&gt;20,TRUE,FALSE)</f>
        <v>0</v>
      </c>
      <c r="F247" s="73" t="s">
        <v>562</v>
      </c>
      <c r="G247" s="74" t="s">
        <v>17</v>
      </c>
      <c r="H247" s="75">
        <v>1</v>
      </c>
      <c r="I247" s="65">
        <f>VLOOKUP(B247,'HECVAT - Full'!A:E,3,FALSE)</f>
        <v>0</v>
      </c>
      <c r="J247" s="65">
        <f>IF(Table1[[#This Row],[Column7]]=Table1[[#This Row],[Column9]],1,0)</f>
        <v>0</v>
      </c>
      <c r="K247" s="65">
        <f>IF(Table1[[#This Row],[Column8]]=1,20,"")</f>
        <v>20</v>
      </c>
      <c r="L247" s="65">
        <f>IF(Table1[[#This Row],[Column8]]=1,J247*K247,"")</f>
        <v>0</v>
      </c>
      <c r="M247" s="66" t="str">
        <f>VLOOKUP($B247,'Standards Crosswalk'!$A:$H,3,FALSE)</f>
        <v>CSC 10</v>
      </c>
      <c r="N247" s="66" t="str">
        <f>VLOOKUP($B247,'Standards Crosswalk'!$A:$H,4,FALSE)</f>
        <v>§164.308(b)(2)</v>
      </c>
      <c r="O247" s="66" t="str">
        <f>VLOOKUP($B247,'Standards Crosswalk'!$A:$H,5,FALSE)</f>
        <v>18.1.1</v>
      </c>
      <c r="P247" s="66" t="str">
        <f>VLOOKUP($B247,'Standards Crosswalk'!$A:$H,6,FALSE)</f>
        <v>ID.GV-3</v>
      </c>
      <c r="Q247" s="66">
        <f>VLOOKUP($B247,'Standards Crosswalk'!$A:$H,7,FALSE)</f>
        <v>0</v>
      </c>
      <c r="R247" s="66">
        <f>VLOOKUP($B247,'Standards Crosswalk'!$A:$H,8,FALSE)</f>
        <v>0</v>
      </c>
      <c r="S247" s="66">
        <f>VLOOKUP($B247,'Standards Crosswalk'!$A:$I,9,FALSE)</f>
        <v>10.7</v>
      </c>
    </row>
    <row r="248" spans="1:19" ht="91" thickBot="1" x14ac:dyDescent="0.2">
      <c r="A248" s="65">
        <f t="shared" si="6"/>
        <v>246</v>
      </c>
      <c r="B248" s="71" t="s">
        <v>412</v>
      </c>
      <c r="C248" s="72" t="str">
        <f>VLOOKUP(B248,'HECVAT - Full'!A:E,2,FALSE)</f>
        <v>Are you willing to enter into a Business Associate Agreement (BAA)?</v>
      </c>
      <c r="D248" s="65">
        <f>VLOOKUP(B248,'HECVAT - Full'!A:E,4,FALSE)</f>
        <v>0</v>
      </c>
      <c r="E248" s="73" t="b">
        <f>IF(Table1[[#This Row],[Column11]]&gt;20,TRUE,FALSE)</f>
        <v>0</v>
      </c>
      <c r="F248" s="73" t="s">
        <v>562</v>
      </c>
      <c r="G248" s="74" t="s">
        <v>17</v>
      </c>
      <c r="H248" s="75">
        <v>1</v>
      </c>
      <c r="I248" s="65">
        <f>VLOOKUP(B248,'HECVAT - Full'!A:E,3,FALSE)</f>
        <v>0</v>
      </c>
      <c r="J248" s="65">
        <f>IF(Table1[[#This Row],[Column7]]=Table1[[#This Row],[Column9]],1,0)</f>
        <v>0</v>
      </c>
      <c r="K248" s="65">
        <f>IF(Table1[[#This Row],[Column8]]=1,20,"")</f>
        <v>20</v>
      </c>
      <c r="L248" s="65">
        <f>IF(Table1[[#This Row],[Column8]]=1,J248*K248,"")</f>
        <v>0</v>
      </c>
      <c r="M248" s="66" t="str">
        <f>VLOOKUP($B248,'Standards Crosswalk'!$A:$H,3,FALSE)</f>
        <v>CSC 10</v>
      </c>
      <c r="N248" s="66" t="str">
        <f>VLOOKUP($B248,'Standards Crosswalk'!$A:$H,4,FALSE)</f>
        <v>§164.308(b)(1),
§164.308(b)(3), §164.314(a)(1)(i)</v>
      </c>
      <c r="O248" s="66" t="str">
        <f>VLOOKUP($B248,'Standards Crosswalk'!$A:$H,5,FALSE)</f>
        <v>18.1.1</v>
      </c>
      <c r="P248" s="66" t="str">
        <f>VLOOKUP($B248,'Standards Crosswalk'!$A:$H,6,FALSE)</f>
        <v>ID.GV-3</v>
      </c>
      <c r="Q248" s="66">
        <f>VLOOKUP($B248,'Standards Crosswalk'!$A:$H,7,FALSE)</f>
        <v>0</v>
      </c>
      <c r="R248" s="66">
        <f>VLOOKUP($B248,'Standards Crosswalk'!$A:$H,8,FALSE)</f>
        <v>0</v>
      </c>
      <c r="S248" s="66">
        <f>VLOOKUP($B248,'Standards Crosswalk'!$A:$I,9,FALSE)</f>
        <v>0</v>
      </c>
    </row>
    <row r="249" spans="1:19" ht="121" thickBot="1" x14ac:dyDescent="0.2">
      <c r="A249" s="65">
        <f t="shared" si="6"/>
        <v>247</v>
      </c>
      <c r="B249" s="71" t="s">
        <v>413</v>
      </c>
      <c r="C249" s="72" t="str">
        <f>VLOOKUP(B249,'HECVAT - Full'!A:E,2,FALSE)</f>
        <v>Have you entered into a BAA with all subcontractors who may have access to protected health information (PHI)?</v>
      </c>
      <c r="D249" s="65">
        <f>VLOOKUP(B249,'HECVAT - Full'!A:E,4,FALSE)</f>
        <v>0</v>
      </c>
      <c r="E249" s="73" t="b">
        <f>IF(Table1[[#This Row],[Column11]]&gt;20,TRUE,FALSE)</f>
        <v>0</v>
      </c>
      <c r="F249" s="73" t="s">
        <v>562</v>
      </c>
      <c r="G249" s="74" t="s">
        <v>17</v>
      </c>
      <c r="H249" s="75">
        <v>1</v>
      </c>
      <c r="I249" s="65">
        <f>VLOOKUP(B249,'HECVAT - Full'!A:E,3,FALSE)</f>
        <v>0</v>
      </c>
      <c r="J249" s="65">
        <f>IF(Table1[[#This Row],[Column7]]=Table1[[#This Row],[Column9]],1,0)</f>
        <v>0</v>
      </c>
      <c r="K249" s="65">
        <f>IF(Table1[[#This Row],[Column8]]=1,20,"")</f>
        <v>20</v>
      </c>
      <c r="L249" s="65">
        <f>IF(Table1[[#This Row],[Column8]]=1,J249*K249,"")</f>
        <v>0</v>
      </c>
      <c r="M249" s="66" t="str">
        <f>VLOOKUP($B249,'Standards Crosswalk'!$A:$H,3,FALSE)</f>
        <v>CSC 10</v>
      </c>
      <c r="N249" s="66" t="str">
        <f>VLOOKUP($B249,'Standards Crosswalk'!$A:$H,4,FALSE)</f>
        <v>§164.308(a)(3)(i), §164.308(b)(1), 
§164.308(b)(3), §164.314(a)(1)(i)</v>
      </c>
      <c r="O249" s="66" t="str">
        <f>VLOOKUP($B249,'Standards Crosswalk'!$A:$H,5,FALSE)</f>
        <v>18.1.1</v>
      </c>
      <c r="P249" s="66" t="str">
        <f>VLOOKUP($B249,'Standards Crosswalk'!$A:$H,6,FALSE)</f>
        <v>ID.GV-3</v>
      </c>
      <c r="Q249" s="66">
        <f>VLOOKUP($B249,'Standards Crosswalk'!$A:$H,7,FALSE)</f>
        <v>0</v>
      </c>
      <c r="R249" s="66">
        <f>VLOOKUP($B249,'Standards Crosswalk'!$A:$H,8,FALSE)</f>
        <v>0</v>
      </c>
      <c r="S249" s="66">
        <f>VLOOKUP($B249,'Standards Crosswalk'!$A:$I,9,FALSE)</f>
        <v>12.8</v>
      </c>
    </row>
    <row r="250" spans="1:19" ht="46" thickBot="1" x14ac:dyDescent="0.2">
      <c r="A250" s="65">
        <f t="shared" si="6"/>
        <v>248</v>
      </c>
      <c r="B250" s="71" t="s">
        <v>414</v>
      </c>
      <c r="C250" s="72" t="str">
        <f>VLOOKUP(B250,'HECVAT - Full'!A:E,2,FALSE)</f>
        <v>Do your systems or products store, process, or transmit cardholder (payment/credit/debt card) data?</v>
      </c>
      <c r="D250" s="65">
        <f>VLOOKUP(B250,'HECVAT - Full'!A:E,4,FALSE)</f>
        <v>0</v>
      </c>
      <c r="E250" s="73" t="b">
        <f>IF(Table1[[#This Row],[Column11]]&gt;20,TRUE,FALSE)</f>
        <v>0</v>
      </c>
      <c r="F250" s="80" t="s">
        <v>2045</v>
      </c>
      <c r="G250" s="74" t="s">
        <v>20</v>
      </c>
      <c r="H250" s="75">
        <v>1</v>
      </c>
      <c r="I250" s="65">
        <f>VLOOKUP(B250,'HECVAT - Full'!A:E,3,FALSE)</f>
        <v>0</v>
      </c>
      <c r="J250" s="65">
        <f>IF(Table1[[#This Row],[Column7]]=Table1[[#This Row],[Column9]],1,0)</f>
        <v>0</v>
      </c>
      <c r="K250" s="65">
        <f>IF(Table1[[#This Row],[Column8]]=1,15,"")</f>
        <v>15</v>
      </c>
      <c r="L250" s="65">
        <f>IF(Table1[[#This Row],[Column8]]=1,J250*K250,"")</f>
        <v>0</v>
      </c>
      <c r="M250" s="66" t="str">
        <f>VLOOKUP($B250,'Standards Crosswalk'!$A:$H,3,FALSE)</f>
        <v>CSC 10</v>
      </c>
      <c r="N250" s="66">
        <f>VLOOKUP($B250,'Standards Crosswalk'!$A:$H,4,FALSE)</f>
        <v>0</v>
      </c>
      <c r="O250" s="66" t="str">
        <f>VLOOKUP($B250,'Standards Crosswalk'!$A:$H,5,FALSE)</f>
        <v>18.1.1</v>
      </c>
      <c r="P250" s="66" t="str">
        <f>VLOOKUP($B250,'Standards Crosswalk'!$A:$H,6,FALSE)</f>
        <v>ID.GV-3</v>
      </c>
      <c r="Q250" s="66">
        <f>VLOOKUP($B250,'Standards Crosswalk'!$A:$H,7,FALSE)</f>
        <v>0</v>
      </c>
      <c r="R250" s="66">
        <f>VLOOKUP($B250,'Standards Crosswalk'!$A:$H,8,FALSE)</f>
        <v>0</v>
      </c>
      <c r="S250" s="66">
        <f>VLOOKUP($B250,'Standards Crosswalk'!$A:$I,9,FALSE)</f>
        <v>12.8</v>
      </c>
    </row>
    <row r="251" spans="1:19" ht="46" thickBot="1" x14ac:dyDescent="0.2">
      <c r="A251" s="65">
        <f t="shared" si="6"/>
        <v>249</v>
      </c>
      <c r="B251" s="71" t="s">
        <v>415</v>
      </c>
      <c r="C251" s="72" t="str">
        <f>VLOOKUP(B251,'HECVAT - Full'!A:E,2,FALSE)</f>
        <v>Are you compliant with the Payment Card Industry Data Security Standard (PCI DSS)?</v>
      </c>
      <c r="D251" s="65">
        <f>VLOOKUP(B251,'HECVAT - Full'!A:E,4,FALSE)</f>
        <v>0</v>
      </c>
      <c r="E251" s="73" t="b">
        <f>IF(Table1[[#This Row],[Column11]]&gt;20,TRUE,FALSE)</f>
        <v>0</v>
      </c>
      <c r="F251" s="80" t="s">
        <v>2045</v>
      </c>
      <c r="G251" s="74" t="s">
        <v>17</v>
      </c>
      <c r="H251" s="75">
        <v>1</v>
      </c>
      <c r="I251" s="65">
        <f>VLOOKUP(B251,'HECVAT - Full'!A:E,3,FALSE)</f>
        <v>0</v>
      </c>
      <c r="J251" s="65">
        <f>IF(Table1[[#This Row],[Column7]]=Table1[[#This Row],[Column9]],1,0)</f>
        <v>0</v>
      </c>
      <c r="K251" s="65">
        <f>IF(Table1[[#This Row],[Column8]]=1,20,"")</f>
        <v>20</v>
      </c>
      <c r="L251" s="65">
        <f>IF(Table1[[#This Row],[Column8]]=1,J251*K251,"")</f>
        <v>0</v>
      </c>
      <c r="M251" s="66" t="str">
        <f>VLOOKUP($B251,'Standards Crosswalk'!$A:$H,3,FALSE)</f>
        <v>CSC 10</v>
      </c>
      <c r="N251" s="66">
        <f>VLOOKUP($B251,'Standards Crosswalk'!$A:$H,4,FALSE)</f>
        <v>0</v>
      </c>
      <c r="O251" s="66" t="str">
        <f>VLOOKUP($B251,'Standards Crosswalk'!$A:$H,5,FALSE)</f>
        <v>18.1.1</v>
      </c>
      <c r="P251" s="66" t="str">
        <f>VLOOKUP($B251,'Standards Crosswalk'!$A:$H,6,FALSE)</f>
        <v>ID.GV-3</v>
      </c>
      <c r="Q251" s="66">
        <f>VLOOKUP($B251,'Standards Crosswalk'!$A:$H,7,FALSE)</f>
        <v>0</v>
      </c>
      <c r="R251" s="66">
        <f>VLOOKUP($B251,'Standards Crosswalk'!$A:$H,8,FALSE)</f>
        <v>0</v>
      </c>
      <c r="S251" s="66">
        <f>VLOOKUP($B251,'Standards Crosswalk'!$A:$I,9,FALSE)</f>
        <v>12.8</v>
      </c>
    </row>
    <row r="252" spans="1:19" ht="61" thickBot="1" x14ac:dyDescent="0.2">
      <c r="A252" s="65">
        <f t="shared" si="6"/>
        <v>250</v>
      </c>
      <c r="B252" s="71" t="s">
        <v>416</v>
      </c>
      <c r="C252" s="72" t="str">
        <f>VLOOKUP(B252,'HECVAT - Full'!A:E,2,FALSE)</f>
        <v>Do you have a current, executed within the past year, Attestation of Compliance (AoC) or Report on Compliance (RoC)?</v>
      </c>
      <c r="D252" s="65">
        <f>VLOOKUP(B252,'HECVAT - Full'!A:E,4,FALSE)</f>
        <v>0</v>
      </c>
      <c r="E252" s="73" t="b">
        <f>IF(Table1[[#This Row],[Column11]]&gt;20,TRUE,FALSE)</f>
        <v>1</v>
      </c>
      <c r="F252" s="80" t="s">
        <v>2045</v>
      </c>
      <c r="G252" s="74" t="s">
        <v>17</v>
      </c>
      <c r="H252" s="75">
        <v>1</v>
      </c>
      <c r="I252" s="65">
        <f>VLOOKUP(B252,'HECVAT - Full'!A:E,3,FALSE)</f>
        <v>0</v>
      </c>
      <c r="J252" s="65">
        <f>IF(Table1[[#This Row],[Column7]]=Table1[[#This Row],[Column9]],1,0)</f>
        <v>0</v>
      </c>
      <c r="K252" s="65">
        <f>IF(Table1[[#This Row],[Column8]]=1,25,"")</f>
        <v>25</v>
      </c>
      <c r="L252" s="65">
        <f>IF(Table1[[#This Row],[Column8]]=1,J252*K252,"")</f>
        <v>0</v>
      </c>
      <c r="M252" s="66" t="str">
        <f>VLOOKUP($B252,'Standards Crosswalk'!$A:$H,3,FALSE)</f>
        <v>CSC 10</v>
      </c>
      <c r="N252" s="66">
        <f>VLOOKUP($B252,'Standards Crosswalk'!$A:$H,4,FALSE)</f>
        <v>0</v>
      </c>
      <c r="O252" s="66" t="str">
        <f>VLOOKUP($B252,'Standards Crosswalk'!$A:$H,5,FALSE)</f>
        <v>18.1.1</v>
      </c>
      <c r="P252" s="66" t="str">
        <f>VLOOKUP($B252,'Standards Crosswalk'!$A:$H,6,FALSE)</f>
        <v>ID.GV-3</v>
      </c>
      <c r="Q252" s="66">
        <f>VLOOKUP($B252,'Standards Crosswalk'!$A:$H,7,FALSE)</f>
        <v>0</v>
      </c>
      <c r="R252" s="66">
        <f>VLOOKUP($B252,'Standards Crosswalk'!$A:$H,8,FALSE)</f>
        <v>0</v>
      </c>
      <c r="S252" s="66">
        <f>VLOOKUP($B252,'Standards Crosswalk'!$A:$I,9,FALSE)</f>
        <v>12.8</v>
      </c>
    </row>
    <row r="253" spans="1:19" ht="31" thickBot="1" x14ac:dyDescent="0.2">
      <c r="A253" s="65">
        <f t="shared" si="6"/>
        <v>251</v>
      </c>
      <c r="B253" s="71" t="s">
        <v>417</v>
      </c>
      <c r="C253" s="72" t="str">
        <f>VLOOKUP(B253,'HECVAT - Full'!A:E,2,FALSE)</f>
        <v>Are you classified as a service provider?</v>
      </c>
      <c r="D253" s="65">
        <f>VLOOKUP(B253,'HECVAT - Full'!A:E,4,FALSE)</f>
        <v>0</v>
      </c>
      <c r="E253" s="73" t="b">
        <f>IF(Table1[[#This Row],[Column11]]&gt;20,TRUE,FALSE)</f>
        <v>0</v>
      </c>
      <c r="F253" s="80" t="s">
        <v>2045</v>
      </c>
      <c r="G253" s="74" t="s">
        <v>17</v>
      </c>
      <c r="H253" s="75">
        <v>1</v>
      </c>
      <c r="I253" s="65">
        <f>VLOOKUP(B253,'HECVAT - Full'!A:E,3,FALSE)</f>
        <v>0</v>
      </c>
      <c r="J253" s="65">
        <f>IF(Table1[[#This Row],[Column7]]=Table1[[#This Row],[Column9]],1,0)</f>
        <v>0</v>
      </c>
      <c r="K253" s="65">
        <f>IF(Table1[[#This Row],[Column8]]=1,20,"")</f>
        <v>20</v>
      </c>
      <c r="L253" s="65">
        <f>IF(Table1[[#This Row],[Column8]]=1,J253*K253,"")</f>
        <v>0</v>
      </c>
      <c r="M253" s="66">
        <f>VLOOKUP($B253,'Standards Crosswalk'!$A:$H,3,FALSE)</f>
        <v>0</v>
      </c>
      <c r="N253" s="66">
        <f>VLOOKUP($B253,'Standards Crosswalk'!$A:$H,4,FALSE)</f>
        <v>0</v>
      </c>
      <c r="O253" s="66">
        <f>VLOOKUP($B253,'Standards Crosswalk'!$A:$H,5,FALSE)</f>
        <v>0</v>
      </c>
      <c r="P253" s="66" t="str">
        <f>VLOOKUP($B253,'Standards Crosswalk'!$A:$H,6,FALSE)</f>
        <v>ID.GV-3</v>
      </c>
      <c r="Q253" s="66">
        <f>VLOOKUP($B253,'Standards Crosswalk'!$A:$H,7,FALSE)</f>
        <v>0</v>
      </c>
      <c r="R253" s="66">
        <f>VLOOKUP($B253,'Standards Crosswalk'!$A:$H,8,FALSE)</f>
        <v>0</v>
      </c>
      <c r="S253" s="66">
        <f>VLOOKUP($B253,'Standards Crosswalk'!$A:$I,9,FALSE)</f>
        <v>12.8</v>
      </c>
    </row>
    <row r="254" spans="1:19" ht="31" thickBot="1" x14ac:dyDescent="0.2">
      <c r="A254" s="65">
        <f t="shared" si="6"/>
        <v>252</v>
      </c>
      <c r="B254" s="71" t="s">
        <v>418</v>
      </c>
      <c r="C254" s="72" t="str">
        <f>VLOOKUP(B254,'HECVAT - Full'!A:E,2,FALSE)</f>
        <v xml:space="preserve">Are you on the list of VISA approved service providers? </v>
      </c>
      <c r="D254" s="65">
        <f>VLOOKUP(B254,'HECVAT - Full'!A:E,4,FALSE)</f>
        <v>0</v>
      </c>
      <c r="E254" s="73" t="b">
        <f>IF(Table1[[#This Row],[Column11]]&gt;20,TRUE,FALSE)</f>
        <v>0</v>
      </c>
      <c r="F254" s="80" t="s">
        <v>2045</v>
      </c>
      <c r="G254" s="74" t="s">
        <v>17</v>
      </c>
      <c r="H254" s="75">
        <v>1</v>
      </c>
      <c r="I254" s="65">
        <f>VLOOKUP(B254,'HECVAT - Full'!A:E,3,FALSE)</f>
        <v>0</v>
      </c>
      <c r="J254" s="65">
        <f>IF(Table1[[#This Row],[Column7]]=Table1[[#This Row],[Column9]],1,0)</f>
        <v>0</v>
      </c>
      <c r="K254" s="65">
        <f>IF(Table1[[#This Row],[Column8]]=1,20,"")</f>
        <v>20</v>
      </c>
      <c r="L254" s="65">
        <f>IF(Table1[[#This Row],[Column8]]=1,J254*K254,"")</f>
        <v>0</v>
      </c>
      <c r="M254" s="66">
        <f>VLOOKUP($B254,'Standards Crosswalk'!$A:$H,3,FALSE)</f>
        <v>0</v>
      </c>
      <c r="N254" s="66">
        <f>VLOOKUP($B254,'Standards Crosswalk'!$A:$H,4,FALSE)</f>
        <v>0</v>
      </c>
      <c r="O254" s="66">
        <f>VLOOKUP($B254,'Standards Crosswalk'!$A:$H,5,FALSE)</f>
        <v>0</v>
      </c>
      <c r="P254" s="66" t="str">
        <f>VLOOKUP($B254,'Standards Crosswalk'!$A:$H,6,FALSE)</f>
        <v>ID.GV-3</v>
      </c>
      <c r="Q254" s="66">
        <f>VLOOKUP($B254,'Standards Crosswalk'!$A:$H,7,FALSE)</f>
        <v>0</v>
      </c>
      <c r="R254" s="66">
        <f>VLOOKUP($B254,'Standards Crosswalk'!$A:$H,8,FALSE)</f>
        <v>0</v>
      </c>
      <c r="S254" s="66">
        <f>VLOOKUP($B254,'Standards Crosswalk'!$A:$I,9,FALSE)</f>
        <v>12.8</v>
      </c>
    </row>
    <row r="255" spans="1:19" ht="31" thickBot="1" x14ac:dyDescent="0.2">
      <c r="A255" s="65">
        <f t="shared" si="6"/>
        <v>253</v>
      </c>
      <c r="B255" s="71" t="s">
        <v>419</v>
      </c>
      <c r="C255" s="72" t="str">
        <f>VLOOKUP(B255,'HECVAT - Full'!A:E,2,FALSE)</f>
        <v>Are you classified as a merchant?  If so, what level (1, 2, 3, 4)?</v>
      </c>
      <c r="D255" s="65">
        <f>VLOOKUP(B255,'HECVAT - Full'!A:E,4,FALSE)</f>
        <v>0</v>
      </c>
      <c r="E255" s="73" t="b">
        <f>IF(Table1[[#This Row],[Column11]]&gt;20,TRUE,FALSE)</f>
        <v>1</v>
      </c>
      <c r="F255" s="80" t="s">
        <v>2045</v>
      </c>
      <c r="G255" s="74" t="s">
        <v>17</v>
      </c>
      <c r="H255" s="75">
        <v>1</v>
      </c>
      <c r="I255" s="65">
        <f>VLOOKUP(B255,'HECVAT - Full'!A:E,3,FALSE)</f>
        <v>0</v>
      </c>
      <c r="J255" s="65">
        <f>IF(VLOOKUP(Table1[[#This Row],[Column2]],'Analyst Report'!$A$41:$G$88,7,FALSE)="Yes",1,0)</f>
        <v>0</v>
      </c>
      <c r="K255" s="65">
        <f>IF(Table1[[#This Row],[Column8]]=1,25,"")</f>
        <v>25</v>
      </c>
      <c r="L255" s="65">
        <f>IF(Table1[[#This Row],[Column8]]=1,J255*K255,"")</f>
        <v>0</v>
      </c>
      <c r="M255" s="66">
        <f>VLOOKUP($B255,'Standards Crosswalk'!$A:$H,3,FALSE)</f>
        <v>0</v>
      </c>
      <c r="N255" s="66">
        <f>VLOOKUP($B255,'Standards Crosswalk'!$A:$H,4,FALSE)</f>
        <v>0</v>
      </c>
      <c r="O255" s="66">
        <f>VLOOKUP($B255,'Standards Crosswalk'!$A:$H,5,FALSE)</f>
        <v>0</v>
      </c>
      <c r="P255" s="66" t="str">
        <f>VLOOKUP($B255,'Standards Crosswalk'!$A:$H,6,FALSE)</f>
        <v>ID.GV-3</v>
      </c>
      <c r="Q255" s="66">
        <f>VLOOKUP($B255,'Standards Crosswalk'!$A:$H,7,FALSE)</f>
        <v>0</v>
      </c>
      <c r="R255" s="66">
        <f>VLOOKUP($B255,'Standards Crosswalk'!$A:$H,8,FALSE)</f>
        <v>0</v>
      </c>
      <c r="S255" s="66">
        <f>VLOOKUP($B255,'Standards Crosswalk'!$A:$I,9,FALSE)</f>
        <v>12.8</v>
      </c>
    </row>
    <row r="256" spans="1:19" ht="46" thickBot="1" x14ac:dyDescent="0.2">
      <c r="A256" s="65">
        <f t="shared" si="6"/>
        <v>254</v>
      </c>
      <c r="B256" s="71" t="s">
        <v>420</v>
      </c>
      <c r="C256" s="72" t="str">
        <f>VLOOKUP(B256,'HECVAT - Full'!A:E,2,FALSE)</f>
        <v>Describe the architecture employed by the system to verify and authorize credit card transactions.</v>
      </c>
      <c r="D256" s="65">
        <f>VLOOKUP(B256,'HECVAT - Full'!A:E,4,FALSE)</f>
        <v>0</v>
      </c>
      <c r="E256" s="73" t="b">
        <f>IF(Table1[[#This Row],[Column11]]&gt;20,TRUE,FALSE)</f>
        <v>0</v>
      </c>
      <c r="F256" s="80" t="s">
        <v>2045</v>
      </c>
      <c r="G256" s="74" t="s">
        <v>17</v>
      </c>
      <c r="H256" s="75">
        <v>1</v>
      </c>
      <c r="I256" s="65">
        <f>VLOOKUP(B256,'HECVAT - Full'!A:E,3,FALSE)</f>
        <v>0</v>
      </c>
      <c r="J256" s="65">
        <f>IF(VLOOKUP(Table1[[#This Row],[Column2]],'Analyst Report'!$A$41:$G$88,7,FALSE)="Yes",1,0)</f>
        <v>0</v>
      </c>
      <c r="K256" s="65">
        <f>IF(Table1[[#This Row],[Column8]]=1,20,"")</f>
        <v>20</v>
      </c>
      <c r="L256" s="65">
        <f>IF(Table1[[#This Row],[Column8]]=1,J256*K256,"")</f>
        <v>0</v>
      </c>
      <c r="M256" s="66" t="str">
        <f>VLOOKUP($B256,'Standards Crosswalk'!$A:$H,3,FALSE)</f>
        <v>CSC 1, CSC 2</v>
      </c>
      <c r="N256" s="66">
        <f>VLOOKUP($B256,'Standards Crosswalk'!$A:$H,4,FALSE)</f>
        <v>0</v>
      </c>
      <c r="O256" s="66">
        <f>VLOOKUP($B256,'Standards Crosswalk'!$A:$H,5,FALSE)</f>
        <v>0</v>
      </c>
      <c r="P256" s="66" t="str">
        <f>VLOOKUP($B256,'Standards Crosswalk'!$A:$H,6,FALSE)</f>
        <v>ID.GV-3</v>
      </c>
      <c r="Q256" s="66">
        <f>VLOOKUP($B256,'Standards Crosswalk'!$A:$H,7,FALSE)</f>
        <v>0</v>
      </c>
      <c r="R256" s="66">
        <f>VLOOKUP($B256,'Standards Crosswalk'!$A:$H,8,FALSE)</f>
        <v>0</v>
      </c>
      <c r="S256" s="66" t="str">
        <f>VLOOKUP($B256,'Standards Crosswalk'!$A:$I,9,FALSE)</f>
        <v>PCI Scope</v>
      </c>
    </row>
    <row r="257" spans="1:19" ht="31" thickBot="1" x14ac:dyDescent="0.2">
      <c r="A257" s="65">
        <f t="shared" si="6"/>
        <v>255</v>
      </c>
      <c r="B257" s="71" t="s">
        <v>421</v>
      </c>
      <c r="C257" s="72" t="str">
        <f>VLOOKUP(B257,'HECVAT - Full'!A:E,2,FALSE)</f>
        <v xml:space="preserve">What payment processors/gateways does the system support? </v>
      </c>
      <c r="D257" s="65">
        <f>VLOOKUP(B257,'HECVAT - Full'!A:E,4,FALSE)</f>
        <v>0</v>
      </c>
      <c r="E257" s="73" t="b">
        <f>IF(Table1[[#This Row],[Column11]]&gt;20,TRUE,FALSE)</f>
        <v>0</v>
      </c>
      <c r="F257" s="80" t="s">
        <v>2045</v>
      </c>
      <c r="G257" s="74" t="s">
        <v>17</v>
      </c>
      <c r="H257" s="75">
        <v>1</v>
      </c>
      <c r="I257" s="65">
        <f>VLOOKUP(B257,'HECVAT - Full'!A:E,3,FALSE)</f>
        <v>0</v>
      </c>
      <c r="J257" s="65">
        <f>IF(VLOOKUP(Table1[[#This Row],[Column2]],'Analyst Report'!$A$41:$G$88,7,FALSE)="Yes",1,0)</f>
        <v>0</v>
      </c>
      <c r="K257" s="65">
        <f>IF(Table1[[#This Row],[Column8]]=1,20,"")</f>
        <v>20</v>
      </c>
      <c r="L257" s="65">
        <f>IF(Table1[[#This Row],[Column8]]=1,J257*K257,"")</f>
        <v>0</v>
      </c>
      <c r="M257" s="66" t="str">
        <f>VLOOKUP($B257,'Standards Crosswalk'!$A:$H,3,FALSE)</f>
        <v>CSC 18</v>
      </c>
      <c r="N257" s="66">
        <f>VLOOKUP($B257,'Standards Crosswalk'!$A:$H,4,FALSE)</f>
        <v>0</v>
      </c>
      <c r="O257" s="66">
        <f>VLOOKUP($B257,'Standards Crosswalk'!$A:$H,5,FALSE)</f>
        <v>0</v>
      </c>
      <c r="P257" s="66" t="str">
        <f>VLOOKUP($B257,'Standards Crosswalk'!$A:$H,6,FALSE)</f>
        <v>ID.GV-3</v>
      </c>
      <c r="Q257" s="66">
        <f>VLOOKUP($B257,'Standards Crosswalk'!$A:$H,7,FALSE)</f>
        <v>0</v>
      </c>
      <c r="R257" s="66">
        <f>VLOOKUP($B257,'Standards Crosswalk'!$A:$H,8,FALSE)</f>
        <v>0</v>
      </c>
      <c r="S257" s="66">
        <f>VLOOKUP($B257,'Standards Crosswalk'!$A:$I,9,FALSE)</f>
        <v>12.8</v>
      </c>
    </row>
    <row r="258" spans="1:19" ht="31" thickBot="1" x14ac:dyDescent="0.2">
      <c r="A258" s="65">
        <f t="shared" si="6"/>
        <v>256</v>
      </c>
      <c r="B258" s="71" t="s">
        <v>422</v>
      </c>
      <c r="C258" s="72" t="str">
        <f>VLOOKUP(B258,'HECVAT - Full'!A:E,2,FALSE)</f>
        <v>Can the application be installed in a PCI DSS compliant manner ?</v>
      </c>
      <c r="D258" s="65">
        <f>VLOOKUP(B258,'HECVAT - Full'!A:E,4,FALSE)</f>
        <v>0</v>
      </c>
      <c r="E258" s="73" t="b">
        <f>IF(Table1[[#This Row],[Column11]]&gt;20,TRUE,FALSE)</f>
        <v>1</v>
      </c>
      <c r="F258" s="80" t="s">
        <v>2045</v>
      </c>
      <c r="G258" s="74" t="s">
        <v>17</v>
      </c>
      <c r="H258" s="75">
        <v>1</v>
      </c>
      <c r="I258" s="65">
        <f>VLOOKUP(B258,'HECVAT - Full'!A:E,3,FALSE)</f>
        <v>0</v>
      </c>
      <c r="J258" s="65">
        <f>IF(Table1[[#This Row],[Column7]]=Table1[[#This Row],[Column9]],1,0)</f>
        <v>0</v>
      </c>
      <c r="K258" s="65">
        <f>IF(Table1[[#This Row],[Column8]]=1,25,"")</f>
        <v>25</v>
      </c>
      <c r="L258" s="65">
        <f>IF(Table1[[#This Row],[Column8]]=1,J258*K258,"")</f>
        <v>0</v>
      </c>
      <c r="M258" s="66" t="str">
        <f>VLOOKUP($B258,'Standards Crosswalk'!$A:$H,3,FALSE)</f>
        <v>CSC 10</v>
      </c>
      <c r="N258" s="66">
        <f>VLOOKUP($B258,'Standards Crosswalk'!$A:$H,4,FALSE)</f>
        <v>0</v>
      </c>
      <c r="O258" s="66">
        <f>VLOOKUP($B258,'Standards Crosswalk'!$A:$H,5,FALSE)</f>
        <v>0</v>
      </c>
      <c r="P258" s="66" t="str">
        <f>VLOOKUP($B258,'Standards Crosswalk'!$A:$H,6,FALSE)</f>
        <v>ID.GV-3</v>
      </c>
      <c r="Q258" s="66">
        <f>VLOOKUP($B258,'Standards Crosswalk'!$A:$H,7,FALSE)</f>
        <v>0</v>
      </c>
      <c r="R258" s="66">
        <f>VLOOKUP($B258,'Standards Crosswalk'!$A:$H,8,FALSE)</f>
        <v>0</v>
      </c>
      <c r="S258" s="66">
        <f>VLOOKUP($B258,'Standards Crosswalk'!$A:$I,9,FALSE)</f>
        <v>12.8</v>
      </c>
    </row>
    <row r="259" spans="1:19" ht="31" thickBot="1" x14ac:dyDescent="0.2">
      <c r="A259" s="65">
        <f t="shared" si="6"/>
        <v>257</v>
      </c>
      <c r="B259" s="71" t="s">
        <v>423</v>
      </c>
      <c r="C259" s="72" t="str">
        <f>VLOOKUP(B259,'HECVAT - Full'!A:E,2,FALSE)</f>
        <v xml:space="preserve">Is the application listed as an approved PA-DSS application? </v>
      </c>
      <c r="D259" s="65">
        <f>VLOOKUP(B259,'HECVAT - Full'!A:E,4,FALSE)</f>
        <v>0</v>
      </c>
      <c r="E259" s="73" t="b">
        <f>IF(Table1[[#This Row],[Column11]]&gt;20,TRUE,FALSE)</f>
        <v>0</v>
      </c>
      <c r="F259" s="80" t="s">
        <v>2045</v>
      </c>
      <c r="G259" s="74" t="s">
        <v>17</v>
      </c>
      <c r="H259" s="75">
        <v>1</v>
      </c>
      <c r="I259" s="65">
        <f>VLOOKUP(B259,'HECVAT - Full'!A:E,3,FALSE)</f>
        <v>0</v>
      </c>
      <c r="J259" s="65">
        <f>IF(Table1[[#This Row],[Column7]]=Table1[[#This Row],[Column9]],1,0)</f>
        <v>0</v>
      </c>
      <c r="K259" s="65">
        <f>IF(Table1[[#This Row],[Column8]]=1,20,"")</f>
        <v>20</v>
      </c>
      <c r="L259" s="65">
        <f>IF(Table1[[#This Row],[Column8]]=1,J259*K259,"")</f>
        <v>0</v>
      </c>
      <c r="M259" s="66">
        <f>VLOOKUP($B259,'Standards Crosswalk'!$A:$H,3,FALSE)</f>
        <v>0</v>
      </c>
      <c r="N259" s="66">
        <f>VLOOKUP($B259,'Standards Crosswalk'!$A:$H,4,FALSE)</f>
        <v>0</v>
      </c>
      <c r="O259" s="66">
        <f>VLOOKUP($B259,'Standards Crosswalk'!$A:$H,5,FALSE)</f>
        <v>0</v>
      </c>
      <c r="P259" s="66" t="str">
        <f>VLOOKUP($B259,'Standards Crosswalk'!$A:$H,6,FALSE)</f>
        <v>ID.GV-3</v>
      </c>
      <c r="Q259" s="66">
        <f>VLOOKUP($B259,'Standards Crosswalk'!$A:$H,7,FALSE)</f>
        <v>0</v>
      </c>
      <c r="R259" s="66">
        <f>VLOOKUP($B259,'Standards Crosswalk'!$A:$H,8,FALSE)</f>
        <v>0</v>
      </c>
      <c r="S259" s="66">
        <f>VLOOKUP($B259,'Standards Crosswalk'!$A:$I,9,FALSE)</f>
        <v>12.8</v>
      </c>
    </row>
    <row r="260" spans="1:19" ht="61" thickBot="1" x14ac:dyDescent="0.2">
      <c r="A260" s="65">
        <f t="shared" ref="A260:A268" si="7">A259+1</f>
        <v>258</v>
      </c>
      <c r="B260" s="71" t="s">
        <v>424</v>
      </c>
      <c r="C260" s="72" t="str">
        <f>VLOOKUP(B260,'HECVAT - Full'!A:E,2,FALSE)</f>
        <v>Does the system or products use a third party to collect, store, process, or transmit cardholder (payment/credit/debt card) data?</v>
      </c>
      <c r="D260" s="65">
        <f>VLOOKUP(B260,'HECVAT - Full'!A:E,4,FALSE)</f>
        <v>0</v>
      </c>
      <c r="E260" s="73" t="b">
        <f>IF(Table1[[#This Row],[Column11]]&gt;20,TRUE,FALSE)</f>
        <v>0</v>
      </c>
      <c r="F260" s="80" t="s">
        <v>2045</v>
      </c>
      <c r="G260" s="74" t="s">
        <v>20</v>
      </c>
      <c r="H260" s="75">
        <v>1</v>
      </c>
      <c r="I260" s="65">
        <f>VLOOKUP(B260,'HECVAT - Full'!A:E,3,FALSE)</f>
        <v>0</v>
      </c>
      <c r="J260" s="65">
        <f>IF(Table1[[#This Row],[Column7]]=Table1[[#This Row],[Column9]],1,0)</f>
        <v>0</v>
      </c>
      <c r="K260" s="65">
        <f>IF(Table1[[#This Row],[Column8]]=1,20,"")</f>
        <v>20</v>
      </c>
      <c r="L260" s="65">
        <f>IF(Table1[[#This Row],[Column8]]=1,J260*K260,"")</f>
        <v>0</v>
      </c>
      <c r="M260" s="66" t="str">
        <f>VLOOKUP($B260,'Standards Crosswalk'!$A:$H,3,FALSE)</f>
        <v>CSC 12, CSC 13</v>
      </c>
      <c r="N260" s="66">
        <f>VLOOKUP($B260,'Standards Crosswalk'!$A:$H,4,FALSE)</f>
        <v>0</v>
      </c>
      <c r="O260" s="66">
        <f>VLOOKUP($B260,'Standards Crosswalk'!$A:$H,5,FALSE)</f>
        <v>0</v>
      </c>
      <c r="P260" s="66" t="str">
        <f>VLOOKUP($B260,'Standards Crosswalk'!$A:$H,6,FALSE)</f>
        <v>ID.GV-3</v>
      </c>
      <c r="Q260" s="66">
        <f>VLOOKUP($B260,'Standards Crosswalk'!$A:$H,7,FALSE)</f>
        <v>0</v>
      </c>
      <c r="R260" s="66">
        <f>VLOOKUP($B260,'Standards Crosswalk'!$A:$H,8,FALSE)</f>
        <v>0</v>
      </c>
      <c r="S260" s="66">
        <f>VLOOKUP($B260,'Standards Crosswalk'!$A:$I,9,FALSE)</f>
        <v>12.8</v>
      </c>
    </row>
    <row r="261" spans="1:19" ht="106" thickBot="1" x14ac:dyDescent="0.2">
      <c r="A261" s="65">
        <f t="shared" si="7"/>
        <v>259</v>
      </c>
      <c r="B261" s="71" t="s">
        <v>425</v>
      </c>
      <c r="C261" s="72" t="str">
        <f>VLOOKUP(B261,'HECVAT - Full'!A:E,2,FALSE)</f>
        <v xml:space="preserve">Include documentation describing the systems' abilities to comply with the PCI DSS and any features or capabilities of the system that must be added or changed in order to operate in compliance with the standards. </v>
      </c>
      <c r="D261" s="65">
        <f>VLOOKUP(B261,'HECVAT - Full'!A:E,4,FALSE)</f>
        <v>0</v>
      </c>
      <c r="E261" s="73" t="b">
        <f>IF(Table1[[#This Row],[Column11]]&gt;20,TRUE,FALSE)</f>
        <v>0</v>
      </c>
      <c r="F261" s="80" t="s">
        <v>2045</v>
      </c>
      <c r="G261" s="74" t="s">
        <v>20</v>
      </c>
      <c r="H261" s="75">
        <v>1</v>
      </c>
      <c r="I261" s="65">
        <f>VLOOKUP(B261,'HECVAT - Full'!A:E,3,FALSE)</f>
        <v>0</v>
      </c>
      <c r="J261" s="65">
        <f>IF(VLOOKUP(Table1[[#This Row],[Column2]],'Analyst Report'!$A$41:$G$88,7,FALSE)="Yes",1,0)</f>
        <v>0</v>
      </c>
      <c r="K261" s="65">
        <f>IF(Table1[[#This Row],[Column8]]=1,20,"")</f>
        <v>20</v>
      </c>
      <c r="L261" s="65">
        <f>IF(Table1[[#This Row],[Column8]]=1,J261*K261,"")</f>
        <v>0</v>
      </c>
      <c r="M261" s="66" t="str">
        <f>VLOOKUP($B261,'Standards Crosswalk'!$A:$H,3,FALSE)</f>
        <v>CSC 10</v>
      </c>
      <c r="N261" s="66">
        <f>VLOOKUP($B261,'Standards Crosswalk'!$A:$H,4,FALSE)</f>
        <v>0</v>
      </c>
      <c r="O261" s="66">
        <f>VLOOKUP($B261,'Standards Crosswalk'!$A:$H,5,FALSE)</f>
        <v>0</v>
      </c>
      <c r="P261" s="66" t="str">
        <f>VLOOKUP($B261,'Standards Crosswalk'!$A:$H,6,FALSE)</f>
        <v>ID.GV-3</v>
      </c>
      <c r="Q261" s="66">
        <f>VLOOKUP($B261,'Standards Crosswalk'!$A:$H,7,FALSE)</f>
        <v>0</v>
      </c>
      <c r="R261" s="66">
        <f>VLOOKUP($B261,'Standards Crosswalk'!$A:$H,8,FALSE)</f>
        <v>0</v>
      </c>
      <c r="S261" s="66">
        <f>VLOOKUP($B261,'Standards Crosswalk'!$A:$I,9,FALSE)</f>
        <v>12.8</v>
      </c>
    </row>
    <row r="262" spans="1:19" ht="409.6" thickBot="1" x14ac:dyDescent="0.2">
      <c r="A262" s="65">
        <f t="shared" si="7"/>
        <v>260</v>
      </c>
      <c r="B262" s="99" t="s">
        <v>177</v>
      </c>
      <c r="C262" s="100" t="str">
        <f>VLOOKUP(B262,'HECVAT - Full'!A:E,2,FALSE)</f>
        <v>Describe your organization’s business background and ownership structure, including all parent and subsidiary relationships.</v>
      </c>
      <c r="D262" s="98">
        <f>VLOOKUP(B262,'HECVAT - Full'!A:E,4,FALSE)</f>
        <v>0</v>
      </c>
      <c r="E262" s="101" t="b">
        <f>IF(Table1[[#This Row],[Column11]]&gt;20,TRUE,FALSE)</f>
        <v>0</v>
      </c>
      <c r="F262" s="102" t="s">
        <v>2559</v>
      </c>
      <c r="G262" s="103"/>
      <c r="H262" s="104">
        <v>1</v>
      </c>
      <c r="I262" s="98" t="str">
        <f>VLOOKUP(B262,'HECVAT - Full'!A:E,3,FALSE)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J262" s="98">
        <f>IF(VLOOKUP(Table1[[#This Row],[Column2]],'Analyst Report'!$A$38:$G$88,7,FALSE)="Yes",1,0)</f>
        <v>0</v>
      </c>
      <c r="K262" s="98">
        <f>IF(Table1[[#This Row],[Column8]]=1,10,"")</f>
        <v>10</v>
      </c>
      <c r="L262" s="65">
        <f>IF(Table1[[#This Row],[Column8]]=1,J262*K262,"")</f>
        <v>0</v>
      </c>
      <c r="M262" s="105">
        <f>VLOOKUP($B262,'Standards Crosswalk'!$A:$H,3,FALSE)</f>
        <v>0</v>
      </c>
      <c r="N262" s="105">
        <f>VLOOKUP($B262,'Standards Crosswalk'!$A:$H,4,FALSE)</f>
        <v>0</v>
      </c>
      <c r="O262" s="105">
        <f>VLOOKUP($B262,'Standards Crosswalk'!$A:$H,5,FALSE)</f>
        <v>0</v>
      </c>
      <c r="P262" s="105">
        <f>VLOOKUP($B262,'Standards Crosswalk'!$A:$H,6,FALSE)</f>
        <v>0</v>
      </c>
      <c r="Q262" s="105">
        <f>VLOOKUP($B262,'Standards Crosswalk'!$A:$H,7,FALSE)</f>
        <v>0</v>
      </c>
      <c r="R262" s="105">
        <f>VLOOKUP($B262,'Standards Crosswalk'!$A:$H,8,FALSE)</f>
        <v>0</v>
      </c>
      <c r="S262" s="105">
        <f>VLOOKUP($B262,'Standards Crosswalk'!$A:$I,9,FALSE)</f>
        <v>12.8</v>
      </c>
    </row>
    <row r="263" spans="1:19" ht="409.6" thickBot="1" x14ac:dyDescent="0.2">
      <c r="A263" s="65">
        <f t="shared" si="7"/>
        <v>261</v>
      </c>
      <c r="B263" s="99" t="s">
        <v>178</v>
      </c>
      <c r="C263" s="100" t="str">
        <f>VLOOKUP(B263,'HECVAT - Full'!A:E,2,FALSE)</f>
        <v>Describe how long your organization has conducted business in this product area.</v>
      </c>
      <c r="D263" s="98">
        <f>VLOOKUP(B263,'HECVAT - Full'!A:E,4,FALSE)</f>
        <v>0</v>
      </c>
      <c r="E263" s="101" t="b">
        <f>IF(Table1[[#This Row],[Column11]]&gt;20,TRUE,FALSE)</f>
        <v>0</v>
      </c>
      <c r="F263" s="102" t="s">
        <v>2559</v>
      </c>
      <c r="G263" s="103"/>
      <c r="H263" s="104">
        <v>1</v>
      </c>
      <c r="I263" s="98" t="str">
        <f>VLOOKUP(B263,'HECVAT - Full'!A:E,3,FALSE)</f>
        <v xml:space="preserve">Portfolium was founded in 2014 and has been conducting business in this area and with this product since then.
</v>
      </c>
      <c r="J263" s="98">
        <f>IF(VLOOKUP(Table1[[#This Row],[Column2]],'Analyst Report'!$A$38:$G$88,7,FALSE)="Yes",1,0)</f>
        <v>0</v>
      </c>
      <c r="K263" s="98">
        <f>IF(Table1[[#This Row],[Column8]]=1,10,"")</f>
        <v>10</v>
      </c>
      <c r="L263" s="65">
        <f>IF(Table1[[#This Row],[Column8]]=1,J263*K263,"")</f>
        <v>0</v>
      </c>
      <c r="M263" s="105">
        <f>VLOOKUP($B263,'Standards Crosswalk'!$A:$H,3,FALSE)</f>
        <v>0</v>
      </c>
      <c r="N263" s="105">
        <f>VLOOKUP($B263,'Standards Crosswalk'!$A:$H,4,FALSE)</f>
        <v>0</v>
      </c>
      <c r="O263" s="105">
        <f>VLOOKUP($B263,'Standards Crosswalk'!$A:$H,5,FALSE)</f>
        <v>0</v>
      </c>
      <c r="P263" s="105">
        <f>VLOOKUP($B263,'Standards Crosswalk'!$A:$H,6,FALSE)</f>
        <v>0</v>
      </c>
      <c r="Q263" s="105">
        <f>VLOOKUP($B263,'Standards Crosswalk'!$A:$H,7,FALSE)</f>
        <v>0</v>
      </c>
      <c r="R263" s="105">
        <f>VLOOKUP($B263,'Standards Crosswalk'!$A:$H,8,FALSE)</f>
        <v>0</v>
      </c>
      <c r="S263" s="105">
        <f>VLOOKUP($B263,'Standards Crosswalk'!$A:$I,9,FALSE)</f>
        <v>12.8</v>
      </c>
    </row>
    <row r="264" spans="1:19" ht="409.6" thickBot="1" x14ac:dyDescent="0.2">
      <c r="A264" s="65">
        <f t="shared" si="7"/>
        <v>262</v>
      </c>
      <c r="B264" s="99" t="s">
        <v>179</v>
      </c>
      <c r="C264" s="100" t="str">
        <f>VLOOKUP(B264,'HECVAT - Full'!A:E,2,FALSE)</f>
        <v>Do you have existing higher education customers?</v>
      </c>
      <c r="D264" s="98" t="str">
        <f>VLOOKUP(B264,'HECVAT - Full'!A:E,4,FALSE)</f>
        <v xml:space="preserve">Portfolium serves over 4,000,000 students and 40,000 educators from over 3,600 institutions in 18 countries. References can be provided in addition to this questionnaire upon request. 
</v>
      </c>
      <c r="E264" s="101" t="b">
        <f>IF(Table1[[#This Row],[Column11]]&gt;20,TRUE,FALSE)</f>
        <v>0</v>
      </c>
      <c r="F264" s="102" t="s">
        <v>2559</v>
      </c>
      <c r="G264" s="103" t="s">
        <v>17</v>
      </c>
      <c r="H264" s="104">
        <v>1</v>
      </c>
      <c r="I264" s="98" t="str">
        <f>VLOOKUP(B264,'HECVAT - Full'!A:E,3,FALSE)</f>
        <v>Yes</v>
      </c>
      <c r="J264" s="65">
        <f>IF(Table1[[#This Row],[Column7]]=Table1[[#This Row],[Column9]],1,0)</f>
        <v>1</v>
      </c>
      <c r="K264" s="98">
        <f>IF(Table1[[#This Row],[Column8]]=1,10,"")</f>
        <v>10</v>
      </c>
      <c r="L264" s="65">
        <f>IF(Table1[[#This Row],[Column8]]=1,J264*K264,"")</f>
        <v>10</v>
      </c>
      <c r="M264" s="105">
        <f>VLOOKUP($B264,'Standards Crosswalk'!$A:$H,3,FALSE)</f>
        <v>0</v>
      </c>
      <c r="N264" s="105">
        <f>VLOOKUP($B264,'Standards Crosswalk'!$A:$H,4,FALSE)</f>
        <v>0</v>
      </c>
      <c r="O264" s="105" t="str">
        <f>VLOOKUP($B264,'Standards Crosswalk'!$A:$H,5,FALSE)</f>
        <v>15.2.1</v>
      </c>
      <c r="P264" s="105">
        <f>VLOOKUP($B264,'Standards Crosswalk'!$A:$H,6,FALSE)</f>
        <v>0</v>
      </c>
      <c r="Q264" s="105">
        <f>VLOOKUP($B264,'Standards Crosswalk'!$A:$H,7,FALSE)</f>
        <v>0</v>
      </c>
      <c r="R264" s="105">
        <f>VLOOKUP($B264,'Standards Crosswalk'!$A:$H,8,FALSE)</f>
        <v>0</v>
      </c>
      <c r="S264" s="105">
        <f>VLOOKUP($B264,'Standards Crosswalk'!$A:$I,9,FALSE)</f>
        <v>12.8</v>
      </c>
    </row>
    <row r="265" spans="1:19" ht="31" thickBot="1" x14ac:dyDescent="0.2">
      <c r="A265" s="65">
        <f t="shared" si="7"/>
        <v>263</v>
      </c>
      <c r="B265" s="99" t="s">
        <v>180</v>
      </c>
      <c r="C265" s="100" t="str">
        <f>VLOOKUP(B265,'HECVAT - Full'!A:E,2,FALSE)</f>
        <v>Have you had a significant breach in the last 5 years?</v>
      </c>
      <c r="D265" s="98">
        <f>VLOOKUP(B265,'HECVAT - Full'!A:E,4,FALSE)</f>
        <v>0</v>
      </c>
      <c r="E265" s="101" t="b">
        <f>IF(Table1[[#This Row],[Column11]]&gt;20,TRUE,FALSE)</f>
        <v>1</v>
      </c>
      <c r="F265" s="102" t="s">
        <v>2559</v>
      </c>
      <c r="G265" s="103" t="s">
        <v>20</v>
      </c>
      <c r="H265" s="104">
        <v>1</v>
      </c>
      <c r="I265" s="98" t="str">
        <f>VLOOKUP(B265,'HECVAT - Full'!A:E,3,FALSE)</f>
        <v>No</v>
      </c>
      <c r="J265" s="65">
        <f>IF(Table1[[#This Row],[Column7]]=Table1[[#This Row],[Column9]],1,0)</f>
        <v>1</v>
      </c>
      <c r="K265" s="98">
        <f>IF(Table1[[#This Row],[Column8]]=1,25,"")</f>
        <v>25</v>
      </c>
      <c r="L265" s="65">
        <f>IF(Table1[[#This Row],[Column8]]=1,J265*K265,"")</f>
        <v>25</v>
      </c>
      <c r="M265" s="105">
        <f>VLOOKUP($B265,'Standards Crosswalk'!$A:$H,3,FALSE)</f>
        <v>0</v>
      </c>
      <c r="N265" s="105">
        <f>VLOOKUP($B265,'Standards Crosswalk'!$A:$H,4,FALSE)</f>
        <v>0</v>
      </c>
      <c r="O265" s="105">
        <f>VLOOKUP($B265,'Standards Crosswalk'!$A:$H,5,FALSE)</f>
        <v>0</v>
      </c>
      <c r="P265" s="105">
        <f>VLOOKUP($B265,'Standards Crosswalk'!$A:$H,6,FALSE)</f>
        <v>0</v>
      </c>
      <c r="Q265" s="105">
        <f>VLOOKUP($B265,'Standards Crosswalk'!$A:$H,7,FALSE)</f>
        <v>0</v>
      </c>
      <c r="R265" s="105">
        <f>VLOOKUP($B265,'Standards Crosswalk'!$A:$H,8,FALSE)</f>
        <v>0</v>
      </c>
      <c r="S265" s="105">
        <f>VLOOKUP($B265,'Standards Crosswalk'!$A:$I,9,FALSE)</f>
        <v>0</v>
      </c>
    </row>
    <row r="266" spans="1:19" ht="211" thickBot="1" x14ac:dyDescent="0.2">
      <c r="A266" s="65">
        <f t="shared" si="7"/>
        <v>264</v>
      </c>
      <c r="B266" s="99" t="s">
        <v>181</v>
      </c>
      <c r="C266" s="100" t="str">
        <f>VLOOKUP(B266,'HECVAT - Full'!A:E,2,FALSE)</f>
        <v>Do you have a dedicated Information Security staff or office?</v>
      </c>
      <c r="D266" s="98" t="str">
        <f>VLOOKUP(B266,'HECVAT - Full'!A:E,4,FALSE)</f>
        <v xml:space="preserve">Portfolium's Security Staff is headed by Instructure's Chief Information Security Officer.
</v>
      </c>
      <c r="E266" s="101" t="b">
        <f>IF(Table1[[#This Row],[Column11]]&gt;20,TRUE,FALSE)</f>
        <v>1</v>
      </c>
      <c r="F266" s="102" t="s">
        <v>2559</v>
      </c>
      <c r="G266" s="103" t="s">
        <v>17</v>
      </c>
      <c r="H266" s="104">
        <v>1</v>
      </c>
      <c r="I266" s="98" t="str">
        <f>VLOOKUP(B266,'HECVAT - Full'!A:E,3,FALSE)</f>
        <v>Yes</v>
      </c>
      <c r="J266" s="65">
        <f>IF(Table1[[#This Row],[Column7]]=Table1[[#This Row],[Column9]],1,0)</f>
        <v>1</v>
      </c>
      <c r="K266" s="98">
        <f>IF(Table1[[#This Row],[Column8]]=1,25,"")</f>
        <v>25</v>
      </c>
      <c r="L266" s="65">
        <f>IF(Table1[[#This Row],[Column8]]=1,J266*K266,"")</f>
        <v>25</v>
      </c>
      <c r="M266" s="105">
        <f>VLOOKUP($B266,'Standards Crosswalk'!$A:$H,3,FALSE)</f>
        <v>0</v>
      </c>
      <c r="N266" s="105">
        <f>VLOOKUP($B266,'Standards Crosswalk'!$A:$H,4,FALSE)</f>
        <v>0</v>
      </c>
      <c r="O266" s="105" t="str">
        <f>VLOOKUP($B266,'Standards Crosswalk'!$A:$H,5,FALSE)</f>
        <v>15.2.1</v>
      </c>
      <c r="P266" s="105">
        <f>VLOOKUP($B266,'Standards Crosswalk'!$A:$H,6,FALSE)</f>
        <v>0</v>
      </c>
      <c r="Q266" s="105">
        <f>VLOOKUP($B266,'Standards Crosswalk'!$A:$H,7,FALSE)</f>
        <v>0</v>
      </c>
      <c r="R266" s="105">
        <f>VLOOKUP($B266,'Standards Crosswalk'!$A:$H,8,FALSE)</f>
        <v>0</v>
      </c>
      <c r="S266" s="105" t="str">
        <f>VLOOKUP($B266,'Standards Crosswalk'!$A:$I,9,FALSE)</f>
        <v>12.8, 12.5</v>
      </c>
    </row>
    <row r="267" spans="1:19" ht="409.6" thickBot="1" x14ac:dyDescent="0.2">
      <c r="A267" s="65">
        <f t="shared" si="7"/>
        <v>265</v>
      </c>
      <c r="B267" s="99" t="s">
        <v>182</v>
      </c>
      <c r="C267" s="100" t="str">
        <f>VLOOKUP(B267,'HECVAT - Full'!A:E,2,FALSE)</f>
        <v>Do you have a dedicated Software and System Development team(s)? (e.g. Customer Support, Implementation, Product Management, etc.)</v>
      </c>
      <c r="D267" s="98" t="str">
        <f>VLOOKUP(B267,'HECVAT - Full'!A:E,4,FALSE)</f>
        <v xml:space="preserve">Each team has a designated Manager and 2 layers of support staff.
Customer Support: team of 200+ world wide
Implementation: 1 Director of Customer Success and an implementation specialist per account
Product Management team of 3
Product Engineering team of 7
</v>
      </c>
      <c r="E267" s="101" t="b">
        <f>IF(Table1[[#This Row],[Column11]]&gt;20,TRUE,FALSE)</f>
        <v>0</v>
      </c>
      <c r="F267" s="102" t="s">
        <v>2559</v>
      </c>
      <c r="G267" s="103" t="s">
        <v>17</v>
      </c>
      <c r="H267" s="104">
        <v>1</v>
      </c>
      <c r="I267" s="98" t="str">
        <f>VLOOKUP(B267,'HECVAT - Full'!A:E,3,FALSE)</f>
        <v>Yes</v>
      </c>
      <c r="J267" s="98">
        <f>IF(Table1[[#This Row],[Column7]]=Table1[[#This Row],[Column9]],1,0)</f>
        <v>1</v>
      </c>
      <c r="K267" s="98">
        <f>IF(Table1[[#This Row],[Column8]]=1,15,"")</f>
        <v>15</v>
      </c>
      <c r="L267" s="65">
        <f>IF(Table1[[#This Row],[Column8]]=1,J267*K267,"")</f>
        <v>15</v>
      </c>
      <c r="M267" s="105">
        <f>VLOOKUP($B267,'Standards Crosswalk'!$A:$H,3,FALSE)</f>
        <v>0</v>
      </c>
      <c r="N267" s="105">
        <f>VLOOKUP($B267,'Standards Crosswalk'!$A:$H,4,FALSE)</f>
        <v>0</v>
      </c>
      <c r="O267" s="105" t="str">
        <f>VLOOKUP($B267,'Standards Crosswalk'!$A:$H,5,FALSE)</f>
        <v>14.2.1</v>
      </c>
      <c r="P267" s="105">
        <f>VLOOKUP($B267,'Standards Crosswalk'!$A:$H,6,FALSE)</f>
        <v>0</v>
      </c>
      <c r="Q267" s="105">
        <f>VLOOKUP($B267,'Standards Crosswalk'!$A:$H,7,FALSE)</f>
        <v>0</v>
      </c>
      <c r="R267" s="105" t="str">
        <f>VLOOKUP($B267,'Standards Crosswalk'!$A:$H,8,FALSE)</f>
        <v xml:space="preserve">SA-3, SA-15, SC-2, PM-2, PM-10, SI-5,PM-3 </v>
      </c>
      <c r="S267" s="105">
        <f>VLOOKUP($B267,'Standards Crosswalk'!$A:$I,9,FALSE)</f>
        <v>12.8</v>
      </c>
    </row>
    <row r="268" spans="1:19" ht="409.6" x14ac:dyDescent="0.15">
      <c r="A268" s="65">
        <f t="shared" si="7"/>
        <v>266</v>
      </c>
      <c r="B268" s="99" t="s">
        <v>430</v>
      </c>
      <c r="C268" s="100" t="str">
        <f>VLOOKUP(B268,'HECVAT - Full'!A:E,2,FALSE)</f>
        <v>Use this area to share information about your environment that will assist those who are assessing your company data security program.</v>
      </c>
      <c r="D268" s="98">
        <f>VLOOKUP(B268,'HECVAT - Full'!A:E,4,FALSE)</f>
        <v>0</v>
      </c>
      <c r="E268" s="101" t="b">
        <f>IF(Table1[[#This Row],[Column11]]&gt;20,TRUE,FALSE)</f>
        <v>1</v>
      </c>
      <c r="F268" s="102" t="s">
        <v>2559</v>
      </c>
      <c r="G268" s="103"/>
      <c r="H268" s="104">
        <v>1</v>
      </c>
      <c r="I268" s="98" t="str">
        <f>VLOOKUP(B268,'HECVAT - Full'!A:E,3,FALSE)</f>
        <v xml:space="preserve">The Amazon Web Services infrastructure on which Portfolium is hosted has a variety of formal accreditations. Some of the many certifications include:
    • DoD SRG
    • FIPS
    • IRAP
    • ISO 9001
    • ISO 27001
    • ISO 27017
    • ISO 27018
    • MLPS Level 3
    • MTCS
    • PCI DSS Level 1
    • SEC Rule 17-a-4(f)
    • SOC 1
    • SOC 2
    • SOC 3
This list is not comprehensive. For additional information about AWS security certifications and standards compliance, please refer to http://aws.amazon.com/security and http://aws.amazon.com/compliance/.
</v>
      </c>
      <c r="J268" s="98">
        <f>IF(VLOOKUP(Table1[[#This Row],[Column2]],'Analyst Report'!$A$38:$G$88,7,FALSE)="Yes",1,0)</f>
        <v>0</v>
      </c>
      <c r="K268" s="98">
        <f>IF(Table1[[#This Row],[Column8]]=1,25,"")</f>
        <v>25</v>
      </c>
      <c r="L268" s="65">
        <f>IF(Table1[[#This Row],[Column8]]=1,J268*K268,"")</f>
        <v>0</v>
      </c>
      <c r="M268" s="105">
        <f>VLOOKUP($B268,'Standards Crosswalk'!$A:$H,3,FALSE)</f>
        <v>0</v>
      </c>
      <c r="N268" s="105">
        <f>VLOOKUP($B268,'Standards Crosswalk'!$A:$H,4,FALSE)</f>
        <v>0</v>
      </c>
      <c r="O268" s="105" t="str">
        <f>VLOOKUP($B268,'Standards Crosswalk'!$A:$H,5,FALSE)</f>
        <v>15.2.1</v>
      </c>
      <c r="P268" s="105">
        <f>VLOOKUP($B268,'Standards Crosswalk'!$A:$H,6,FALSE)</f>
        <v>0</v>
      </c>
      <c r="Q268" s="105">
        <f>VLOOKUP($B268,'Standards Crosswalk'!$A:$H,7,FALSE)</f>
        <v>0</v>
      </c>
      <c r="R268" s="105">
        <f>VLOOKUP($B268,'Standards Crosswalk'!$A:$H,8,FALSE)</f>
        <v>0</v>
      </c>
      <c r="S268" s="105">
        <f>VLOOKUP($B268,'Standards Crosswalk'!$A:$I,9,FALSE)</f>
        <v>12.8</v>
      </c>
    </row>
  </sheetData>
  <pageMargins left="0.7" right="0.7" top="0.75" bottom="0.75" header="0.3" footer="0.3"/>
  <pageSetup orientation="portrait" r:id="rId1"/>
  <ignoredErrors>
    <ignoredError sqref="I261:I268 I20:I22" evalError="1" listDataValidation="1" calculatedColum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 t r u e < / U p d a t e N e e d e d > < R o w C o u n t > 0 < / R o w C o u n t > < / L i n k e d T a b l e I n f o > < / L i n k e d T a b l e L i s t > < / L i n k e d T a b l e s > ] ] > < / 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 T a b l e 1 < / C u s t o m C o n t e n t > < / G e m i n i > 
</file>

<file path=customXml/item12.xml>��< ? x m l   v e r s i o n = " 1 . 0 "   e n c o d i n g = " U T F - 1 6 " ? > < G e m i n i   x m l n s = " h t t p : / / g e m i n i / p i v o t c u s t o m i z a t i o n / T a b l e C o u n t I n S a n d b o x " > < C u s t o m C o n t e n t > < ! [ C D A T A [ 1 ] ] > < / C u s t o m C o n t e n t > < / G e m i n i > 
</file>

<file path=customXml/item1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P o w e r P i v o t V e r s i o n " > < C u s t o m C o n t e n t > < ! [ C D A T A [ 1 1 . 0 . 9 1 6 6 . 1 8 8 ] ] > < / 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I s S a n d b o x E m b e d d e d " > < C u s t o m C o n t e n t > < ! [ C D A T A [ y e s ] ] > < / 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 2 0 1 9 - 0 1 - 2 2 T 1 5 : 0 1 : 1 1 . 3 1 7 6 4 6 1 - 0 8 : 0 0 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t r u e & l t ; / a : H a s F o c u s & g t ; & l t ; a : S i z e A t D p i 9 6 & g t ; 1 3 7 & 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u m n 1 & l t ; / K e y & g t ; & l t ; / D i a g r a m O b j e c t K e y & g t ; & l t ; D i a g r a m O b j e c t K e y & g t ; & l t ; K e y & g t ; C o l u m n s \ C o l u m n 2 & l t ; / K e y & g t ; & l t ; / D i a g r a m O b j e c t K e y & g t ; & l t ; D i a g r a m O b j e c t K e y & g t ; & l t ; K e y & g t ; C o l u m n s \ C o l u m n 3 & l t ; / K e y & g t ; & l t ; / D i a g r a m O b j e c t K e y & g t ; & l t ; D i a g r a m O b j e c t K e y & g t ; & l t ; K e y & g t ; C o l u m n s \ C o l u m n 4 & l t ; / K e y & g t ; & l t ; / D i a g r a m O b j e c t K e y & g t ; & l t ; D i a g r a m O b j e c t K e y & g t ; & l t ; K e y & g t ; C o l u m n s \ C o l u m n 5 & l t ; / K e y & g t ; & l t ; / D i a g r a m O b j e c t K e y & g t ; & l t ; D i a g r a m O b j e c t K e y & g t ; & l t ; K e y & g t ; C o l u m n s \ C o l u m n 6 & l t ; / K e y & g t ; & l t ; / D i a g r a m O b j e c t K e y & g t ; & l t ; D i a g r a m O b j e c t K e y & g t ; & l t ; K e y & g t ; C o l u m n s \ C o l u m n 7 & l t ; / K e y & g t ; & l t ; / D i a g r a m O b j e c t K e y & g t ; & l t ; D i a g r a m O b j e c t K e y & g t ; & l t ; K e y & g t ; C o l u m n s \ C o l u m n 8 & l t ; / K e y & g t ; & l t ; / D i a g r a m O b j e c t K e y & g t ; & l t ; D i a g r a m O b j e c t K e y & g t ; & l t ; K e y & g t ; C o l u m n s \ C o l u m n 9 & l t ; / K e y & g t ; & l t ; / D i a g r a m O b j e c t K e y & g t ; & l t ; D i a g r a m O b j e c t K e y & g t ; & l t ; K e y & g t ; C o l u m n s \ C o l u m n 1 0 & l t ; / K e y & g t ; & l t ; / D i a g r a m O b j e c t K e y & g t ; & l t ; D i a g r a m O b j e c t K e y & g t ; & l t ; K e y & g t ; C o l u m n s \ C o l u m n 1 1 & l t ; / K e y & g t ; & l t ; / D i a g r a m O b j e c t K e y & g t ; & l t ; D i a g r a m O b j e c t K e y & g t ; & l t ; K e y & g t ; C o l u m n s \ C o l u m n 1 2 & l t ; / K e y & g t ; & l t ; / D i a g r a m O b j e c t K e y & g t ; & l t ; D i a g r a m O b j e c t K e y & g t ; & l t ; K e y & g t ; C o l u m n s \ C o l u m n 1 3 & l t ; / K e y & g t ; & l t ; / D i a g r a m O b j e c t K e y & g t ; & l t ; D i a g r a m O b j e c t K e y & g t ; & l t ; K e y & g t ; C o l u m n s \ C o l u m n 1 4 & l t ; / K e y & g t ; & l t ; / D i a g r a m O b j e c t K e y & g t ; & l t ; D i a g r a m O b j e c t K e y & g t ; & l t ; K e y & g t ; C o l u m n s \ C o l u m n 1 5 & l t ; / K e y & g t ; & l t ; / D i a g r a m O b j e c t K e y & g t ; & l t ; D i a g r a m O b j e c t K e y & g t ; & l t ; K e y & g t ; C o l u m n s \ C o l u m n 1 6 & l t ; / K e y & g t ; & l t ; / D i a g r a m O b j e c t K e y & g t ; & l t ; D i a g r a m O b j e c t K e y & g t ; & l t ; K e y & g t ; C o l u m n s \ C o l u m n 1 7 & l t ; / K e y & g t ; & l t ; / D i a g r a m O b j e c t K e y & g t ; & l t ; D i a g r a m O b j e c t K e y & g t ; & l t ; K e y & g t ; C o l u m n s \ C o l u m n 1 8 & l t ; / K e y & g t ; & l t ; / D i a g r a m O b j e c t K e y & g t ; & l t ; D i a g r a m O b j e c t K e y & g t ; & l t ; K e y & g t ; C o l u m n s \ C o l u m n 2 5 & l t ; / K e y & g t ; & l t ; / D i a g r a m O b j e c t K e y & g t ; & l t ; D i a g r a m O b j e c t K e y & g t ; & l t ; K e y & g t ; C o l u m n s \ A d d   C o l u m n 2 & 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u m n 1 & l t ; / K e y & g t ; & l t ; / a : K e y & g t ; & l t ; a : V a l u e   i : t y p e = " M e a s u r e G r i d N o d e V i e w S t a t e " & g t ; & l t ; L a y e d O u t & g t ; t r u e & l t ; / L a y e d O u t & g t ; & l t ; / a : V a l u e & g t ; & l t ; / a : K e y V a l u e O f D i a g r a m O b j e c t K e y a n y T y p e z b w N T n L X & g t ; & l t ; a : K e y V a l u e O f D i a g r a m O b j e c t K e y a n y T y p e z b w N T n L X & g t ; & l t ; a : K e y & g t ; & l t ; K e y & g t ; C o l u m n s \ C o l u m n 2 & l t ; / K e y & g t ; & l t ; / a : K e y & g t ; & l t ; a : V a l u e   i : t y p e = " M e a s u r e G r i d N o d e V i e w S t a t e " & g t ; & l t ; C o l u m n & g t ; 1 & l t ; / C o l u m n & g t ; & l t ; L a y e d O u t & g t ; t r u e & l t ; / L a y e d O u t & g t ; & l t ; / a : V a l u e & g t ; & l t ; / a : K e y V a l u e O f D i a g r a m O b j e c t K e y a n y T y p e z b w N T n L X & g t ; & l t ; a : K e y V a l u e O f D i a g r a m O b j e c t K e y a n y T y p e z b w N T n L X & g t ; & l t ; a : K e y & g t ; & l t ; K e y & g t ; C o l u m n s \ C o l u m n 3 & l t ; / K e y & g t ; & l t ; / a : K e y & g t ; & l t ; a : V a l u e   i : t y p e = " M e a s u r e G r i d N o d e V i e w S t a t e " & g t ; & l t ; C o l u m n & g t ; 2 & l t ; / C o l u m n & g t ; & l t ; L a y e d O u t & g t ; t r u e & l t ; / L a y e d O u t & g t ; & l t ; / a : V a l u e & g t ; & l t ; / a : K e y V a l u e O f D i a g r a m O b j e c t K e y a n y T y p e z b w N T n L X & g t ; & l t ; a : K e y V a l u e O f D i a g r a m O b j e c t K e y a n y T y p e z b w N T n L X & g t ; & l t ; a : K e y & g t ; & l t ; K e y & g t ; C o l u m n s \ C o l u m n 4 & l t ; / K e y & g t ; & l t ; / a : K e y & g t ; & l t ; a : V a l u e   i : t y p e = " M e a s u r e G r i d N o d e V i e w S t a t e " & g t ; & l t ; C o l u m n & g t ; 3 & l t ; / C o l u m n & g t ; & l t ; L a y e d O u t & g t ; t r u e & l t ; / L a y e d O u t & g t ; & l t ; / a : V a l u e & g t ; & l t ; / a : K e y V a l u e O f D i a g r a m O b j e c t K e y a n y T y p e z b w N T n L X & g t ; & l t ; a : K e y V a l u e O f D i a g r a m O b j e c t K e y a n y T y p e z b w N T n L X & g t ; & l t ; a : K e y & g t ; & l t ; K e y & g t ; C o l u m n s \ C o l u m n 5 & l t ; / K e y & g t ; & l t ; / a : K e y & g t ; & l t ; a : V a l u e   i : t y p e = " M e a s u r e G r i d N o d e V i e w S t a t e " & g t ; & l t ; C o l u m n & g t ; 4 & l t ; / C o l u m n & g t ; & l t ; L a y e d O u t & g t ; t r u e & l t ; / L a y e d O u t & g t ; & l t ; / a : V a l u e & g t ; & l t ; / a : K e y V a l u e O f D i a g r a m O b j e c t K e y a n y T y p e z b w N T n L X & g t ; & l t ; a : K e y V a l u e O f D i a g r a m O b j e c t K e y a n y T y p e z b w N T n L X & g t ; & l t ; a : K e y & g t ; & l t ; K e y & g t ; C o l u m n s \ C o l u m n 6 & l t ; / K e y & g t ; & l t ; / a : K e y & g t ; & l t ; a : V a l u e   i : t y p e = " M e a s u r e G r i d N o d e V i e w S t a t e " & g t ; & l t ; C o l u m n & g t ; 5 & l t ; / C o l u m n & g t ; & l t ; L a y e d O u t & g t ; t r u e & l t ; / L a y e d O u t & g t ; & l t ; / a : V a l u e & g t ; & l t ; / a : K e y V a l u e O f D i a g r a m O b j e c t K e y a n y T y p e z b w N T n L X & g t ; & l t ; a : K e y V a l u e O f D i a g r a m O b j e c t K e y a n y T y p e z b w N T n L X & g t ; & l t ; a : K e y & g t ; & l t ; K e y & g t ; C o l u m n s \ C o l u m n 7 & l t ; / K e y & g t ; & l t ; / a : K e y & g t ; & l t ; a : V a l u e   i : t y p e = " M e a s u r e G r i d N o d e V i e w S t a t e " & g t ; & l t ; C o l u m n & g t ; 6 & l t ; / C o l u m n & g t ; & l t ; L a y e d O u t & g t ; t r u e & l t ; / L a y e d O u t & g t ; & l t ; / a : V a l u e & g t ; & l t ; / a : K e y V a l u e O f D i a g r a m O b j e c t K e y a n y T y p e z b w N T n L X & g t ; & l t ; a : K e y V a l u e O f D i a g r a m O b j e c t K e y a n y T y p e z b w N T n L X & g t ; & l t ; a : K e y & g t ; & l t ; K e y & g t ; C o l u m n s \ C o l u m n 8 & l t ; / K e y & g t ; & l t ; / a : K e y & g t ; & l t ; a : V a l u e   i : t y p e = " M e a s u r e G r i d N o d e V i e w S t a t e " & g t ; & l t ; C o l u m n & g t ; 7 & l t ; / C o l u m n & g t ; & l t ; L a y e d O u t & g t ; t r u e & l t ; / L a y e d O u t & g t ; & l t ; / a : V a l u e & g t ; & l t ; / a : K e y V a l u e O f D i a g r a m O b j e c t K e y a n y T y p e z b w N T n L X & g t ; & l t ; a : K e y V a l u e O f D i a g r a m O b j e c t K e y a n y T y p e z b w N T n L X & g t ; & l t ; a : K e y & g t ; & l t ; K e y & g t ; C o l u m n s \ C o l u m n 9 & l t ; / K e y & g t ; & l t ; / a : K e y & g t ; & l t ; a : V a l u e   i : t y p e = " M e a s u r e G r i d N o d e V i e w S t a t e " & g t ; & l t ; C o l u m n & g t ; 8 & l t ; / C o l u m n & g t ; & l t ; L a y e d O u t & g t ; t r u e & l t ; / L a y e d O u t & g t ; & l t ; / a : V a l u e & g t ; & l t ; / a : K e y V a l u e O f D i a g r a m O b j e c t K e y a n y T y p e z b w N T n L X & g t ; & l t ; a : K e y V a l u e O f D i a g r a m O b j e c t K e y a n y T y p e z b w N T n L X & g t ; & l t ; a : K e y & g t ; & l t ; K e y & g t ; C o l u m n s \ C o l u m n 1 0 & l t ; / K e y & g t ; & l t ; / a : K e y & g t ; & l t ; a : V a l u e   i : t y p e = " M e a s u r e G r i d N o d e V i e w S t a t e " & g t ; & l t ; C o l u m n & g t ; 9 & l t ; / C o l u m n & g t ; & l t ; L a y e d O u t & g t ; t r u e & l t ; / L a y e d O u t & g t ; & l t ; / a : V a l u e & g t ; & l t ; / a : K e y V a l u e O f D i a g r a m O b j e c t K e y a n y T y p e z b w N T n L X & g t ; & l t ; a : K e y V a l u e O f D i a g r a m O b j e c t K e y a n y T y p e z b w N T n L X & g t ; & l t ; a : K e y & g t ; & l t ; K e y & g t ; C o l u m n s \ C o l u m n 1 1 & l t ; / K e y & g t ; & l t ; / a : K e y & g t ; & l t ; a : V a l u e   i : t y p e = " M e a s u r e G r i d N o d e V i e w S t a t e " & g t ; & l t ; C o l u m n & g t ; 1 0 & l t ; / C o l u m n & g t ; & l t ; L a y e d O u t & g t ; t r u e & l t ; / L a y e d O u t & g t ; & l t ; / a : V a l u e & g t ; & l t ; / a : K e y V a l u e O f D i a g r a m O b j e c t K e y a n y T y p e z b w N T n L X & g t ; & l t ; a : K e y V a l u e O f D i a g r a m O b j e c t K e y a n y T y p e z b w N T n L X & g t ; & l t ; a : K e y & g t ; & l t ; K e y & g t ; C o l u m n s \ C o l u m n 1 2 & l t ; / K e y & g t ; & l t ; / a : K e y & g t ; & l t ; a : V a l u e   i : t y p e = " M e a s u r e G r i d N o d e V i e w S t a t e " & g t ; & l t ; C o l u m n & g t ; 1 1 & l t ; / C o l u m n & g t ; & l t ; L a y e d O u t & g t ; t r u e & l t ; / L a y e d O u t & g t ; & l t ; / a : V a l u e & g t ; & l t ; / a : K e y V a l u e O f D i a g r a m O b j e c t K e y a n y T y p e z b w N T n L X & g t ; & l t ; a : K e y V a l u e O f D i a g r a m O b j e c t K e y a n y T y p e z b w N T n L X & g t ; & l t ; a : K e y & g t ; & l t ; K e y & g t ; C o l u m n s \ C o l u m n 1 3 & l t ; / K e y & g t ; & l t ; / a : K e y & g t ; & l t ; a : V a l u e   i : t y p e = " M e a s u r e G r i d N o d e V i e w S t a t e " & g t ; & l t ; C o l u m n & g t ; 1 2 & l t ; / C o l u m n & g t ; & l t ; L a y e d O u t & g t ; t r u e & l t ; / L a y e d O u t & g t ; & l t ; / a : V a l u e & g t ; & l t ; / a : K e y V a l u e O f D i a g r a m O b j e c t K e y a n y T y p e z b w N T n L X & g t ; & l t ; a : K e y V a l u e O f D i a g r a m O b j e c t K e y a n y T y p e z b w N T n L X & g t ; & l t ; a : K e y & g t ; & l t ; K e y & g t ; C o l u m n s \ C o l u m n 1 4 & l t ; / K e y & g t ; & l t ; / a : K e y & g t ; & l t ; a : V a l u e   i : t y p e = " M e a s u r e G r i d N o d e V i e w S t a t e " & g t ; & l t ; C o l u m n & g t ; 1 3 & l t ; / C o l u m n & g t ; & l t ; L a y e d O u t & g t ; t r u e & l t ; / L a y e d O u t & g t ; & l t ; / a : V a l u e & g t ; & l t ; / a : K e y V a l u e O f D i a g r a m O b j e c t K e y a n y T y p e z b w N T n L X & g t ; & l t ; a : K e y V a l u e O f D i a g r a m O b j e c t K e y a n y T y p e z b w N T n L X & g t ; & l t ; a : K e y & g t ; & l t ; K e y & g t ; C o l u m n s \ C o l u m n 1 5 & l t ; / K e y & g t ; & l t ; / a : K e y & g t ; & l t ; a : V a l u e   i : t y p e = " M e a s u r e G r i d N o d e V i e w S t a t e " & g t ; & l t ; C o l u m n & g t ; 1 4 & l t ; / C o l u m n & g t ; & l t ; L a y e d O u t & g t ; t r u e & l t ; / L a y e d O u t & g t ; & l t ; / a : V a l u e & g t ; & l t ; / a : K e y V a l u e O f D i a g r a m O b j e c t K e y a n y T y p e z b w N T n L X & g t ; & l t ; a : K e y V a l u e O f D i a g r a m O b j e c t K e y a n y T y p e z b w N T n L X & g t ; & l t ; a : K e y & g t ; & l t ; K e y & g t ; C o l u m n s \ C o l u m n 1 6 & l t ; / K e y & g t ; & l t ; / a : K e y & g t ; & l t ; a : V a l u e   i : t y p e = " M e a s u r e G r i d N o d e V i e w S t a t e " & g t ; & l t ; C o l u m n & g t ; 1 5 & l t ; / C o l u m n & g t ; & l t ; L a y e d O u t & g t ; t r u e & l t ; / L a y e d O u t & g t ; & l t ; / a : V a l u e & g t ; & l t ; / a : K e y V a l u e O f D i a g r a m O b j e c t K e y a n y T y p e z b w N T n L X & g t ; & l t ; a : K e y V a l u e O f D i a g r a m O b j e c t K e y a n y T y p e z b w N T n L X & g t ; & l t ; a : K e y & g t ; & l t ; K e y & g t ; C o l u m n s \ C o l u m n 1 7 & l t ; / K e y & g t ; & l t ; / a : K e y & g t ; & l t ; a : V a l u e   i : t y p e = " M e a s u r e G r i d N o d e V i e w S t a t e " & g t ; & l t ; C o l u m n & g t ; 1 6 & l t ; / C o l u m n & g t ; & l t ; L a y e d O u t & g t ; t r u e & l t ; / L a y e d O u t & g t ; & l t ; / a : V a l u e & g t ; & l t ; / a : K e y V a l u e O f D i a g r a m O b j e c t K e y a n y T y p e z b w N T n L X & g t ; & l t ; a : K e y V a l u e O f D i a g r a m O b j e c t K e y a n y T y p e z b w N T n L X & g t ; & l t ; a : K e y & g t ; & l t ; K e y & g t ; C o l u m n s \ C o l u m n 1 8 & l t ; / K e y & g t ; & l t ; / a : K e y & g t ; & l t ; a : V a l u e   i : t y p e = " M e a s u r e G r i d N o d e V i e w S t a t e " & g t ; & l t ; C o l u m n & g t ; 1 7 & l t ; / C o l u m n & g t ; & l t ; L a y e d O u t & g t ; t r u e & l t ; / L a y e d O u t & g t ; & l t ; / a : V a l u e & g t ; & l t ; / a : K e y V a l u e O f D i a g r a m O b j e c t K e y a n y T y p e z b w N T n L X & g t ; & l t ; a : K e y V a l u e O f D i a g r a m O b j e c t K e y a n y T y p e z b w N T n L X & g t ; & l t ; a : K e y & g t ; & l t ; K e y & g t ; C o l u m n s \ C o l u m n 2 5 & l t ; / K e y & g t ; & l t ; / a : K e y & g t ; & l t ; a : V a l u e   i : t y p e = " M e a s u r e G r i d N o d e V i e w S t a t e " & g t ; & l t ; C o l u m n & g t ; 1 8 & l t ; / C o l u m n & g t ; & l t ; L a y e d O u t & g t ; t r u e & l t ; / L a y e d O u t & g t ; & l t ; / a : V a l u e & g t ; & l t ; / a : K e y V a l u e O f D i a g r a m O b j e c t K e y a n y T y p e z b w N T n L X & g t ; & l t ; a : K e y V a l u e O f D i a g r a m O b j e c t K e y a n y T y p e z b w N T n L X & g t ; & l t ; a : K e y & g t ; & l t ; K e y & g t ; C o l u m n s \ A d d   C o l u m n 2 & l t ; / K e y & g t ; & l t ; / a : K e y & g t ; & l t ; a : V a l u e   i : t y p e = " M e a s u r e G r i d N o d e V i e w S t a t e " & g t ; & l t ; C o l u m n & g t ; 1 9 & l t ; / C o l u m n & g t ; & l t ; L a y e d O u t & g t ; t r u e & l t ; / L a y e d O u t & 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5E408239-B2E4-4FD9-8B1C-020866B82B72}">
  <ds:schemaRefs/>
</ds:datastoreItem>
</file>

<file path=customXml/itemProps10.xml><?xml version="1.0" encoding="utf-8"?>
<ds:datastoreItem xmlns:ds="http://schemas.openxmlformats.org/officeDocument/2006/customXml" ds:itemID="{F5A3C41F-8B32-40FA-A81E-C73F1904B030}">
  <ds:schemaRefs>
    <ds:schemaRef ds:uri="http://gemini/pivotcustomization/ClientWindowXML"/>
  </ds:schemaRefs>
</ds:datastoreItem>
</file>

<file path=customXml/itemProps11.xml><?xml version="1.0" encoding="utf-8"?>
<ds:datastoreItem xmlns:ds="http://schemas.openxmlformats.org/officeDocument/2006/customXml" ds:itemID="{9E2D3966-F91F-49BB-ACE1-431B53104A6E}">
  <ds:schemaRefs>
    <ds:schemaRef ds:uri="http://gemini/pivotcustomization/TableOrder"/>
  </ds:schemaRefs>
</ds:datastoreItem>
</file>

<file path=customXml/itemProps12.xml><?xml version="1.0" encoding="utf-8"?>
<ds:datastoreItem xmlns:ds="http://schemas.openxmlformats.org/officeDocument/2006/customXml" ds:itemID="{110ABE5C-6AFF-49FC-9F3F-29AFDCDD80DB}">
  <ds:schemaRefs>
    <ds:schemaRef ds:uri="http://gemini/pivotcustomization/TableCountInSandbox"/>
  </ds:schemaRefs>
</ds:datastoreItem>
</file>

<file path=customXml/itemProps1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14.xml><?xml version="1.0" encoding="utf-8"?>
<ds:datastoreItem xmlns:ds="http://schemas.openxmlformats.org/officeDocument/2006/customXml" ds:itemID="{6F56B467-C743-420E-89ED-6745F6A4B70B}">
  <ds:schemaRefs/>
</ds:datastoreItem>
</file>

<file path=customXml/itemProps15.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16.xml><?xml version="1.0" encoding="utf-8"?>
<ds:datastoreItem xmlns:ds="http://schemas.openxmlformats.org/officeDocument/2006/customXml" ds:itemID="{A21A3BC1-6951-472B-A2EE-CCC2B7A3EA6B}">
  <ds:schemaRefs/>
</ds:datastoreItem>
</file>

<file path=customXml/itemProps17.xml><?xml version="1.0" encoding="utf-8"?>
<ds:datastoreItem xmlns:ds="http://schemas.openxmlformats.org/officeDocument/2006/customXml" ds:itemID="{BB33A5B0-9B30-4EC1-B196-AA0C08779EB0}">
  <ds:schemaRefs/>
</ds:datastoreItem>
</file>

<file path=customXml/itemProps18.xml><?xml version="1.0" encoding="utf-8"?>
<ds:datastoreItem xmlns:ds="http://schemas.openxmlformats.org/officeDocument/2006/customXml" ds:itemID="{581EE562-5F7F-4099-8FD8-896D8134E32C}">
  <ds:schemaRefs>
    <ds:schemaRef ds:uri="http://gemini/pivotcustomization/ManualCalcMode"/>
  </ds:schemaRefs>
</ds:datastoreItem>
</file>

<file path=customXml/itemProps2.xml><?xml version="1.0" encoding="utf-8"?>
<ds:datastoreItem xmlns:ds="http://schemas.openxmlformats.org/officeDocument/2006/customXml" ds:itemID="{6773EFD6-D913-4B49-B4C1-3038A601F144}">
  <ds:schemaRefs>
    <ds:schemaRef ds:uri="http://gemini/pivotcustomization/ShowImplicitMeasures"/>
  </ds:schemaRefs>
</ds:datastoreItem>
</file>

<file path=customXml/itemProps3.xml><?xml version="1.0" encoding="utf-8"?>
<ds:datastoreItem xmlns:ds="http://schemas.openxmlformats.org/officeDocument/2006/customXml" ds:itemID="{4EFEA8F8-79F4-471A-AA5A-5624A6C1632E}">
  <ds:schemaRefs/>
</ds:datastoreItem>
</file>

<file path=customXml/itemProps4.xml><?xml version="1.0" encoding="utf-8"?>
<ds:datastoreItem xmlns:ds="http://schemas.openxmlformats.org/officeDocument/2006/customXml" ds:itemID="{C320B382-AAED-4159-A304-00FF657D7954}">
  <ds:schemaRefs/>
</ds:datastoreItem>
</file>

<file path=customXml/itemProps5.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6.xml><?xml version="1.0" encoding="utf-8"?>
<ds:datastoreItem xmlns:ds="http://schemas.openxmlformats.org/officeDocument/2006/customXml" ds:itemID="{176CEB72-EE98-4849-BA7A-265FD178663A}">
  <ds:schemaRefs>
    <ds:schemaRef ds:uri="http://gemini/pivotcustomization/ShowHidden"/>
  </ds:schemaRefs>
</ds:datastoreItem>
</file>

<file path=customXml/itemProps7.xml><?xml version="1.0" encoding="utf-8"?>
<ds:datastoreItem xmlns:ds="http://schemas.openxmlformats.org/officeDocument/2006/customXml" ds:itemID="{632494E3-8034-4AA9-8C70-7ED600066978}">
  <ds:schemaRefs>
    <ds:schemaRef ds:uri="http://gemini/pivotcustomization/MeasureGridState"/>
  </ds:schemaRefs>
</ds:datastoreItem>
</file>

<file path=customXml/itemProps8.xml><?xml version="1.0" encoding="utf-8"?>
<ds:datastoreItem xmlns:ds="http://schemas.openxmlformats.org/officeDocument/2006/customXml" ds:itemID="{E8509290-1D31-454C-ABE9-597B7BC26FF2}">
  <ds:schemaRefs>
    <ds:schemaRef ds:uri="http://gemini/pivotcustomization/LinkedTableUpdateMode"/>
  </ds:schemaRefs>
</ds:datastoreItem>
</file>

<file path=customXml/itemProps9.xml><?xml version="1.0" encoding="utf-8"?>
<ds:datastoreItem xmlns:ds="http://schemas.openxmlformats.org/officeDocument/2006/customXml" ds:itemID="{AF6C041D-C5EF-48EF-8803-B23DAFDDB1AE}">
  <ds:schemaRefs>
    <ds:schemaRef ds:uri="http://gemini/pivotcustomization/Diagram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vt:lpstr>
      <vt:lpstr>Standards Crosswalk</vt:lpstr>
      <vt:lpstr>Analyst Report</vt:lpstr>
      <vt:lpstr>Analyst Reference</vt:lpstr>
      <vt:lpstr>Summary Report</vt:lpstr>
      <vt:lpstr>Crosswalk Detail</vt:lpstr>
      <vt:lpstr>Questions</vt:lpstr>
      <vt:lpstr>High Risk Non-Compliant</vt:lpstr>
      <vt:lpstr>Acknowledgments</vt:lpstr>
      <vt:lpstr>ChangeLog</vt:lpstr>
      <vt:lpstr>Values</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Bryner, Bruce A</dc:creator>
  <cp:keywords/>
  <dc:description/>
  <cp:lastModifiedBy>Gary Denne</cp:lastModifiedBy>
  <dcterms:created xsi:type="dcterms:W3CDTF">2015-03-06T14:56:12Z</dcterms:created>
  <dcterms:modified xsi:type="dcterms:W3CDTF">2024-04-04T00:47:09Z</dcterms:modified>
  <cp:category/>
</cp:coreProperties>
</file>