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Nikhil 30.06.24\Carpe Omnia\Sample\"/>
    </mc:Choice>
  </mc:AlternateContent>
  <xr:revisionPtr revIDLastSave="0" documentId="13_ncr:1_{CACD9896-78F8-4D10-ACA6-2FE40204CF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umptions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D37" i="1" s="1"/>
  <c r="Q4" i="1"/>
  <c r="C37" i="1" s="1"/>
  <c r="P15" i="1"/>
  <c r="P14" i="1"/>
  <c r="P13" i="1"/>
  <c r="Q13" i="1" s="1"/>
  <c r="F37" i="1" s="1"/>
  <c r="P11" i="1"/>
  <c r="P10" i="1"/>
  <c r="Q10" i="1" s="1"/>
  <c r="E37" i="1" s="1"/>
  <c r="P12" i="1"/>
  <c r="F66" i="2"/>
  <c r="F65" i="2"/>
  <c r="F64" i="2"/>
  <c r="F63" i="2"/>
  <c r="E67" i="2"/>
  <c r="Q16" i="1" l="1"/>
  <c r="D6" i="1" s="1"/>
  <c r="F67" i="2"/>
  <c r="B30" i="1" l="1"/>
  <c r="E30" i="1"/>
  <c r="C30" i="1"/>
  <c r="E6" i="1"/>
  <c r="D19" i="1"/>
  <c r="E19" i="1" s="1"/>
  <c r="E29" i="1"/>
  <c r="E28" i="1"/>
  <c r="E27" i="1"/>
  <c r="E26" i="1"/>
  <c r="E25" i="1"/>
  <c r="E24" i="1"/>
  <c r="E23" i="1"/>
  <c r="E22" i="1"/>
  <c r="C29" i="1"/>
  <c r="C28" i="1"/>
  <c r="C27" i="1"/>
  <c r="C26" i="1"/>
  <c r="C25" i="1"/>
  <c r="C24" i="1"/>
  <c r="C23" i="1"/>
  <c r="C22" i="1"/>
  <c r="E18" i="1"/>
  <c r="E17" i="1"/>
  <c r="E16" i="1"/>
  <c r="E14" i="1"/>
  <c r="E13" i="1"/>
  <c r="E12" i="1"/>
  <c r="E11" i="1"/>
  <c r="E10" i="1"/>
  <c r="E8" i="1"/>
  <c r="E7" i="1"/>
  <c r="E5" i="1"/>
  <c r="C19" i="1"/>
  <c r="C18" i="1"/>
  <c r="C17" i="1"/>
  <c r="C16" i="1"/>
  <c r="C14" i="1"/>
  <c r="C13" i="1"/>
  <c r="C12" i="1"/>
  <c r="C11" i="1"/>
  <c r="C10" i="1"/>
  <c r="C8" i="1"/>
  <c r="C7" i="1"/>
  <c r="C5" i="1"/>
  <c r="G54" i="2"/>
  <c r="F54" i="2"/>
  <c r="E54" i="2"/>
  <c r="B22" i="1"/>
  <c r="B28" i="1"/>
  <c r="E22" i="2" s="1"/>
  <c r="F5" i="2"/>
  <c r="G5" i="2"/>
  <c r="H5" i="2"/>
  <c r="I5" i="2"/>
  <c r="J5" i="2"/>
  <c r="K5" i="2"/>
  <c r="L5" i="2"/>
  <c r="M5" i="2"/>
  <c r="N5" i="2"/>
  <c r="O5" i="2"/>
  <c r="P5" i="2"/>
  <c r="E5" i="2"/>
  <c r="B29" i="1"/>
  <c r="B19" i="1"/>
  <c r="B50" i="1" s="1"/>
  <c r="C50" i="1" s="1"/>
  <c r="J31" i="1"/>
  <c r="K31" i="1" s="1"/>
  <c r="B27" i="1"/>
  <c r="E21" i="2" s="1"/>
  <c r="B26" i="1"/>
  <c r="E20" i="2" s="1"/>
  <c r="B25" i="1"/>
  <c r="E19" i="2" s="1"/>
  <c r="B24" i="1"/>
  <c r="E18" i="2" s="1"/>
  <c r="B23" i="1"/>
  <c r="E17" i="2" s="1"/>
  <c r="B8" i="1"/>
  <c r="B18" i="1"/>
  <c r="M45" i="1" s="1"/>
  <c r="M47" i="1" s="1"/>
  <c r="B17" i="1"/>
  <c r="C40" i="1"/>
  <c r="B16" i="1"/>
  <c r="J41" i="1" s="1"/>
  <c r="B14" i="1"/>
  <c r="B13" i="1"/>
  <c r="B12" i="1"/>
  <c r="B11" i="1"/>
  <c r="B10" i="1"/>
  <c r="B7" i="1"/>
  <c r="B5" i="1"/>
  <c r="C35" i="1" l="1"/>
  <c r="C36" i="1" s="1"/>
  <c r="C6" i="1"/>
  <c r="F21" i="2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F17" i="2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F19" i="2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F20" i="2"/>
  <c r="G20" i="2" s="1"/>
  <c r="H20" i="2" s="1"/>
  <c r="I20" i="2" s="1"/>
  <c r="F18" i="2"/>
  <c r="G18" i="2" s="1"/>
  <c r="H18" i="2" s="1"/>
  <c r="I18" i="2" s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N45" i="1"/>
  <c r="N47" i="1" s="1"/>
  <c r="C41" i="1"/>
  <c r="K41" i="1"/>
  <c r="E45" i="1"/>
  <c r="E47" i="1" s="1"/>
  <c r="L41" i="1"/>
  <c r="H45" i="1"/>
  <c r="H47" i="1" s="1"/>
  <c r="M41" i="1"/>
  <c r="G41" i="1"/>
  <c r="H41" i="1"/>
  <c r="D45" i="1"/>
  <c r="D47" i="1" s="1"/>
  <c r="E41" i="1"/>
  <c r="I45" i="1"/>
  <c r="I47" i="1" s="1"/>
  <c r="F41" i="1"/>
  <c r="N41" i="1"/>
  <c r="J45" i="1"/>
  <c r="J47" i="1" s="1"/>
  <c r="L9" i="2" s="1"/>
  <c r="C42" i="1"/>
  <c r="I41" i="1"/>
  <c r="C45" i="1"/>
  <c r="C47" i="1" s="1"/>
  <c r="F45" i="1"/>
  <c r="F47" i="1" s="1"/>
  <c r="L45" i="1"/>
  <c r="L47" i="1" s="1"/>
  <c r="K45" i="1"/>
  <c r="K47" i="1" s="1"/>
  <c r="M9" i="2" s="1"/>
  <c r="D41" i="1"/>
  <c r="G45" i="1"/>
  <c r="G47" i="1" s="1"/>
  <c r="D35" i="1" l="1"/>
  <c r="G45" i="2"/>
  <c r="F45" i="2"/>
  <c r="E45" i="2"/>
  <c r="F50" i="2"/>
  <c r="P16" i="2"/>
  <c r="F47" i="2"/>
  <c r="E50" i="2"/>
  <c r="E16" i="2"/>
  <c r="E23" i="2" s="1"/>
  <c r="F49" i="2"/>
  <c r="E47" i="2"/>
  <c r="E49" i="2"/>
  <c r="G49" i="2"/>
  <c r="G47" i="2"/>
  <c r="G50" i="2"/>
  <c r="J20" i="2"/>
  <c r="K20" i="2" s="1"/>
  <c r="L20" i="2" s="1"/>
  <c r="M20" i="2" s="1"/>
  <c r="E48" i="2"/>
  <c r="E46" i="2"/>
  <c r="J18" i="2"/>
  <c r="K18" i="2" s="1"/>
  <c r="L18" i="2" s="1"/>
  <c r="M18" i="2" s="1"/>
  <c r="M16" i="2"/>
  <c r="L16" i="2"/>
  <c r="O9" i="2"/>
  <c r="O16" i="2"/>
  <c r="I10" i="2"/>
  <c r="I16" i="2"/>
  <c r="H10" i="2"/>
  <c r="H16" i="2"/>
  <c r="H23" i="2" s="1"/>
  <c r="P9" i="2"/>
  <c r="K9" i="2"/>
  <c r="K16" i="2"/>
  <c r="G10" i="2"/>
  <c r="G16" i="2"/>
  <c r="G23" i="2" s="1"/>
  <c r="N9" i="2"/>
  <c r="N16" i="2"/>
  <c r="F9" i="2"/>
  <c r="F16" i="2"/>
  <c r="F23" i="2" s="1"/>
  <c r="M10" i="2"/>
  <c r="J10" i="2"/>
  <c r="J16" i="2"/>
  <c r="O10" i="2"/>
  <c r="P10" i="2"/>
  <c r="F10" i="2"/>
  <c r="L10" i="2"/>
  <c r="N10" i="2"/>
  <c r="E9" i="2"/>
  <c r="G9" i="2"/>
  <c r="H9" i="2"/>
  <c r="I9" i="2"/>
  <c r="J9" i="2"/>
  <c r="K10" i="2"/>
  <c r="E10" i="2"/>
  <c r="C43" i="1"/>
  <c r="B6" i="1"/>
  <c r="E35" i="1" l="1"/>
  <c r="D36" i="1"/>
  <c r="M23" i="2"/>
  <c r="K23" i="2"/>
  <c r="J23" i="2"/>
  <c r="L23" i="2"/>
  <c r="F48" i="2"/>
  <c r="N20" i="2"/>
  <c r="O20" i="2" s="1"/>
  <c r="P20" i="2" s="1"/>
  <c r="F46" i="2"/>
  <c r="N18" i="2"/>
  <c r="O18" i="2" s="1"/>
  <c r="P18" i="2" s="1"/>
  <c r="G44" i="2"/>
  <c r="F38" i="2"/>
  <c r="G38" i="2"/>
  <c r="G37" i="2"/>
  <c r="E44" i="2"/>
  <c r="E51" i="2"/>
  <c r="F44" i="2"/>
  <c r="I23" i="2"/>
  <c r="E38" i="2"/>
  <c r="E37" i="2"/>
  <c r="F37" i="2"/>
  <c r="C46" i="1"/>
  <c r="E8" i="2"/>
  <c r="D40" i="1"/>
  <c r="D42" i="1" s="1"/>
  <c r="D43" i="1" s="1"/>
  <c r="F8" i="2" s="1"/>
  <c r="C48" i="1"/>
  <c r="E11" i="2" s="1"/>
  <c r="E7" i="2"/>
  <c r="F35" i="1" l="1"/>
  <c r="E36" i="1"/>
  <c r="F51" i="2"/>
  <c r="G48" i="2"/>
  <c r="P23" i="2"/>
  <c r="N23" i="2"/>
  <c r="O23" i="2"/>
  <c r="G46" i="2"/>
  <c r="E12" i="2"/>
  <c r="E40" i="1"/>
  <c r="D46" i="1"/>
  <c r="D48" i="1"/>
  <c r="F11" i="2" s="1"/>
  <c r="F7" i="2"/>
  <c r="G35" i="1" l="1"/>
  <c r="H35" i="1" s="1"/>
  <c r="I35" i="1" s="1"/>
  <c r="J35" i="1" s="1"/>
  <c r="K35" i="1" s="1"/>
  <c r="F36" i="1"/>
  <c r="G36" i="1" s="1"/>
  <c r="G51" i="2"/>
  <c r="F12" i="2"/>
  <c r="F25" i="2" s="1"/>
  <c r="E25" i="2"/>
  <c r="E27" i="2" s="1"/>
  <c r="E42" i="1"/>
  <c r="E43" i="1" s="1"/>
  <c r="G8" i="2" s="1"/>
  <c r="G7" i="2"/>
  <c r="G37" i="1" l="1"/>
  <c r="F27" i="2"/>
  <c r="E29" i="2"/>
  <c r="F40" i="1"/>
  <c r="E46" i="1"/>
  <c r="E48" i="1"/>
  <c r="G11" i="2" s="1"/>
  <c r="H7" i="2"/>
  <c r="E35" i="2" s="1"/>
  <c r="L35" i="1"/>
  <c r="F29" i="2" l="1"/>
  <c r="G12" i="2"/>
  <c r="G25" i="2" s="1"/>
  <c r="G27" i="2" s="1"/>
  <c r="F42" i="1"/>
  <c r="F43" i="1" s="1"/>
  <c r="H8" i="2" s="1"/>
  <c r="E36" i="2" s="1"/>
  <c r="H36" i="1"/>
  <c r="I7" i="2"/>
  <c r="M35" i="1"/>
  <c r="G29" i="2" l="1"/>
  <c r="G40" i="1"/>
  <c r="F46" i="1"/>
  <c r="F48" i="1"/>
  <c r="H11" i="2" s="1"/>
  <c r="I36" i="1"/>
  <c r="H37" i="1"/>
  <c r="J7" i="2" s="1"/>
  <c r="N35" i="1"/>
  <c r="H12" i="2" l="1"/>
  <c r="H25" i="2" s="1"/>
  <c r="H27" i="2" s="1"/>
  <c r="E55" i="2" s="1"/>
  <c r="E39" i="2"/>
  <c r="G42" i="1"/>
  <c r="G43" i="1" s="1"/>
  <c r="I8" i="2" s="1"/>
  <c r="J36" i="1"/>
  <c r="I37" i="1"/>
  <c r="K7" i="2" s="1"/>
  <c r="E40" i="2" l="1"/>
  <c r="H29" i="2"/>
  <c r="E57" i="2" s="1"/>
  <c r="E53" i="2"/>
  <c r="H40" i="1"/>
  <c r="G46" i="1"/>
  <c r="G48" i="1"/>
  <c r="I11" i="2" s="1"/>
  <c r="K36" i="1"/>
  <c r="J37" i="1"/>
  <c r="L7" i="2" s="1"/>
  <c r="F35" i="2" s="1"/>
  <c r="I12" i="2" l="1"/>
  <c r="I25" i="2" s="1"/>
  <c r="I27" i="2" s="1"/>
  <c r="H42" i="1"/>
  <c r="H43" i="1" s="1"/>
  <c r="J8" i="2" s="1"/>
  <c r="L36" i="1"/>
  <c r="K37" i="1"/>
  <c r="M7" i="2" s="1"/>
  <c r="I29" i="2" l="1"/>
  <c r="I40" i="1"/>
  <c r="H46" i="1"/>
  <c r="H48" i="1"/>
  <c r="J11" i="2" s="1"/>
  <c r="M36" i="1"/>
  <c r="L37" i="1"/>
  <c r="N7" i="2" s="1"/>
  <c r="J12" i="2" l="1"/>
  <c r="J25" i="2" s="1"/>
  <c r="J27" i="2" s="1"/>
  <c r="I42" i="1"/>
  <c r="I43" i="1" s="1"/>
  <c r="K8" i="2" s="1"/>
  <c r="N36" i="1"/>
  <c r="N37" i="1" s="1"/>
  <c r="P7" i="2" s="1"/>
  <c r="M37" i="1"/>
  <c r="O7" i="2" s="1"/>
  <c r="G35" i="2" l="1"/>
  <c r="J29" i="2"/>
  <c r="J40" i="1"/>
  <c r="I46" i="1"/>
  <c r="I48" i="1"/>
  <c r="K11" i="2" s="1"/>
  <c r="K12" i="2" l="1"/>
  <c r="K25" i="2" s="1"/>
  <c r="K27" i="2" s="1"/>
  <c r="J42" i="1"/>
  <c r="J43" i="1" s="1"/>
  <c r="L8" i="2" s="1"/>
  <c r="F36" i="2" s="1"/>
  <c r="K29" i="2" l="1"/>
  <c r="K40" i="1"/>
  <c r="J46" i="1"/>
  <c r="J48" i="1"/>
  <c r="L11" i="2" s="1"/>
  <c r="L12" i="2" l="1"/>
  <c r="F40" i="2" s="1"/>
  <c r="F39" i="2"/>
  <c r="K42" i="1"/>
  <c r="K43" i="1" s="1"/>
  <c r="M8" i="2" s="1"/>
  <c r="L25" i="2" l="1"/>
  <c r="L40" i="1"/>
  <c r="K46" i="1"/>
  <c r="K48" i="1"/>
  <c r="M11" i="2" s="1"/>
  <c r="L27" i="2" l="1"/>
  <c r="F55" i="2" s="1"/>
  <c r="F53" i="2"/>
  <c r="M12" i="2"/>
  <c r="M25" i="2" s="1"/>
  <c r="M27" i="2" s="1"/>
  <c r="L42" i="1"/>
  <c r="L43" i="1" s="1"/>
  <c r="N8" i="2" s="1"/>
  <c r="L29" i="2" l="1"/>
  <c r="F57" i="2" s="1"/>
  <c r="M29" i="2"/>
  <c r="M40" i="1"/>
  <c r="L46" i="1"/>
  <c r="L48" i="1"/>
  <c r="N11" i="2" s="1"/>
  <c r="N12" i="2" l="1"/>
  <c r="N25" i="2" s="1"/>
  <c r="N27" i="2" s="1"/>
  <c r="M42" i="1"/>
  <c r="M43" i="1" s="1"/>
  <c r="O8" i="2" s="1"/>
  <c r="N29" i="2" l="1"/>
  <c r="N40" i="1"/>
  <c r="M46" i="1"/>
  <c r="M48" i="1"/>
  <c r="O11" i="2" s="1"/>
  <c r="O12" i="2" l="1"/>
  <c r="O25" i="2" s="1"/>
  <c r="O27" i="2" s="1"/>
  <c r="N42" i="1"/>
  <c r="N43" i="1" s="1"/>
  <c r="P8" i="2" s="1"/>
  <c r="G36" i="2" s="1"/>
  <c r="O29" i="2" l="1"/>
  <c r="N46" i="1"/>
  <c r="N48" i="1"/>
  <c r="P11" i="2" s="1"/>
  <c r="P12" i="2" l="1"/>
  <c r="P25" i="2" s="1"/>
  <c r="P27" i="2" s="1"/>
  <c r="G55" i="2" s="1"/>
  <c r="G39" i="2"/>
  <c r="G40" i="2" l="1"/>
  <c r="P29" i="2"/>
  <c r="G57" i="2" s="1"/>
  <c r="G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Nikhil Dhoot</author>
  </authors>
  <commentList>
    <comment ref="B3" authorId="0" shapeId="0" xr:uid="{8CB0ADDD-B79C-4D4D-B159-05B8ED341036}">
      <text>
        <r>
          <rPr>
            <b/>
            <sz val="9"/>
            <color indexed="81"/>
            <rFont val="Tahoma"/>
            <family val="2"/>
          </rPr>
          <t>Nikhil Dhoot:</t>
        </r>
        <r>
          <rPr>
            <sz val="9"/>
            <color indexed="81"/>
            <rFont val="Tahoma"/>
            <family val="2"/>
          </rPr>
          <t xml:space="preserve">
Select this cell as 1/2/3 to view the financials in Upside/Base/Downside Scenario respectively.</t>
        </r>
      </text>
    </comment>
  </commentList>
</comments>
</file>

<file path=xl/sharedStrings.xml><?xml version="1.0" encoding="utf-8"?>
<sst xmlns="http://schemas.openxmlformats.org/spreadsheetml/2006/main" count="171" uniqueCount="122">
  <si>
    <t>Drivers</t>
  </si>
  <si>
    <t>Payment Market Size in UAE</t>
  </si>
  <si>
    <t>Retail Payment System Market Size (Billion)</t>
  </si>
  <si>
    <t>Target Market Share</t>
  </si>
  <si>
    <t>Upside (1)</t>
  </si>
  <si>
    <t>Base (2)</t>
  </si>
  <si>
    <t>Downside (3)</t>
  </si>
  <si>
    <t>UAE RPS Market Size (Billion)</t>
  </si>
  <si>
    <t xml:space="preserve">(All amounts in absolute USD, unless unit is specifically mentioned) </t>
  </si>
  <si>
    <t>Justification / Source</t>
  </si>
  <si>
    <t>Financial Stability Report 2022 - Central Bank UAE</t>
  </si>
  <si>
    <t>Variation of Upside and Downside</t>
  </si>
  <si>
    <t>Assumed variability</t>
  </si>
  <si>
    <t>Mordor Intelligence Report on UAE Payment Market</t>
  </si>
  <si>
    <t>Year 1</t>
  </si>
  <si>
    <t>Year 2</t>
  </si>
  <si>
    <t>Year 3</t>
  </si>
  <si>
    <t>Revenue SKUs</t>
  </si>
  <si>
    <t>Payment Gateway Commission</t>
  </si>
  <si>
    <t>POS Machine Swipe Charges</t>
  </si>
  <si>
    <t>Integration fee per portal</t>
  </si>
  <si>
    <t xml:space="preserve">Average integration cost </t>
  </si>
  <si>
    <t>Others (Hardware Sale)</t>
  </si>
  <si>
    <t>Average POS Machine Price in UAE</t>
  </si>
  <si>
    <t xml:space="preserve"> - For Payment Gateway</t>
  </si>
  <si>
    <t>Q1 FY1</t>
  </si>
  <si>
    <t>Q2 FY1</t>
  </si>
  <si>
    <t>Q3 FY1</t>
  </si>
  <si>
    <t>Q4 FY1</t>
  </si>
  <si>
    <t>Q1 FY2</t>
  </si>
  <si>
    <t>Q2 FY2</t>
  </si>
  <si>
    <t>Q3 FY2</t>
  </si>
  <si>
    <t>Q4 FY2</t>
  </si>
  <si>
    <t>Q1 FY3</t>
  </si>
  <si>
    <t>Q2 FY3</t>
  </si>
  <si>
    <t>Q3 FY3</t>
  </si>
  <si>
    <t>Q4 FY3</t>
  </si>
  <si>
    <t>Target Quarterly Transaction Volume (thousands)</t>
  </si>
  <si>
    <t xml:space="preserve"> - For POS Swipe Charges</t>
  </si>
  <si>
    <t>As per Budget Analysis</t>
  </si>
  <si>
    <t>Market Intelligence</t>
  </si>
  <si>
    <t>Opening Number of Merchants</t>
  </si>
  <si>
    <t>Add - New Onboarded</t>
  </si>
  <si>
    <t>Less - Poached by Competition</t>
  </si>
  <si>
    <t>Closing Number of Merchants</t>
  </si>
  <si>
    <t>%age for Purchasing POS</t>
  </si>
  <si>
    <t>%age for Subscription based</t>
  </si>
  <si>
    <t>No of Merchants for Subscription based</t>
  </si>
  <si>
    <t>No of Merchants for Purchasing POS</t>
  </si>
  <si>
    <t>Average Transaction Volume / Merchant</t>
  </si>
  <si>
    <t>Others (Subscription Model) / Month / Merchant</t>
  </si>
  <si>
    <t>New Number of Merchants Onbaorded / Qtr</t>
  </si>
  <si>
    <t>Retention Rate of Existing Merchants</t>
  </si>
  <si>
    <t>%age who purchase POS</t>
  </si>
  <si>
    <t>Market Growth Rate p.a.</t>
  </si>
  <si>
    <t>Average Growth Rate for all others p.a.</t>
  </si>
  <si>
    <t>VOLUME ANALYSIS</t>
  </si>
  <si>
    <t>Salaries &amp; Wages</t>
  </si>
  <si>
    <t>Office Rental &amp; Expenses</t>
  </si>
  <si>
    <t>IT and Infra</t>
  </si>
  <si>
    <t>Expenses (Per Quarter Basis)</t>
  </si>
  <si>
    <t>Marketing and Sales</t>
  </si>
  <si>
    <t>Regulatory Compliance Cost</t>
  </si>
  <si>
    <t>500-750 Sq Ft in Currency House/Park Tower at DIFC</t>
  </si>
  <si>
    <t>IT Auditor &amp; Assistant - Glassdoor</t>
  </si>
  <si>
    <t>Mgmt Team, Software Engg, Customer Service (Outsourced) and Sales Team</t>
  </si>
  <si>
    <t>Approx based on Total number of merchants vs ecommerce sale volume</t>
  </si>
  <si>
    <t>Average Transacion Value / Merchant / Qtr</t>
  </si>
  <si>
    <t>Inflation</t>
  </si>
  <si>
    <t>10 Year CPI Forecast - Trading Economics (2023)</t>
  </si>
  <si>
    <t>All Amounts (USD)</t>
  </si>
  <si>
    <t>SR Payment Services Provider LLC</t>
  </si>
  <si>
    <t xml:space="preserve">Projected Income Statement - Three Years - Quarterly </t>
  </si>
  <si>
    <t>Income</t>
  </si>
  <si>
    <t>Total Income</t>
  </si>
  <si>
    <t>Operating Expenses</t>
  </si>
  <si>
    <t>Other expenses</t>
  </si>
  <si>
    <t>Contingency</t>
  </si>
  <si>
    <t>COGS Hardware</t>
  </si>
  <si>
    <t>Cost of POS Manuf in India</t>
  </si>
  <si>
    <t>Total Operating Expenses</t>
  </si>
  <si>
    <t>Net Income</t>
  </si>
  <si>
    <t>EBITDA</t>
  </si>
  <si>
    <t>Less: Tax</t>
  </si>
  <si>
    <t>Less: Interest</t>
  </si>
  <si>
    <t>QUARTERLY BASIS</t>
  </si>
  <si>
    <t>ANNUAL BASIS</t>
  </si>
  <si>
    <t>VAT</t>
  </si>
  <si>
    <t>Standard Rate in UAE</t>
  </si>
  <si>
    <t xml:space="preserve">Start-Up Cost </t>
  </si>
  <si>
    <t>Cost Description</t>
  </si>
  <si>
    <t>Cost ($)</t>
  </si>
  <si>
    <t>Cost (%)</t>
  </si>
  <si>
    <t>Team</t>
  </si>
  <si>
    <t>R&amp;D</t>
  </si>
  <si>
    <t>Total Cost</t>
  </si>
  <si>
    <t>License</t>
  </si>
  <si>
    <t>Cloud Infra</t>
  </si>
  <si>
    <t>Scenario Analysis</t>
  </si>
  <si>
    <t>Good</t>
  </si>
  <si>
    <t>Base</t>
  </si>
  <si>
    <t>Bad</t>
  </si>
  <si>
    <t>Scenario Analysis - Top Line</t>
  </si>
  <si>
    <t>Scenario Analysis - Bottom Line</t>
  </si>
  <si>
    <t>Volume/Month</t>
  </si>
  <si>
    <t>Total Volume/Qtr</t>
  </si>
  <si>
    <t>No of Months</t>
  </si>
  <si>
    <t>First Year Transaction Volume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</si>
  <si>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</si>
  <si>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</si>
  <si>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</si>
  <si>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</si>
  <si>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</si>
  <si>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</si>
  <si>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</si>
  <si>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</si>
  <si>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</si>
  <si>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</si>
  <si>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</si>
  <si>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</si>
  <si>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Target Transaction Volume (thousands) - Year 1</t>
  </si>
  <si>
    <t>EDIT ONLY THE BLUE HIGHLIGHTED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</si>
</sst>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"/>
    <numFmt numFmtId="166" formatCode="_(* #,##0_);_(* \(#,##0\);_(* &quot;-&quot;??_);_(@_)"/>
    <numFmt numFmtId="167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rgb="FF111827"/>
      <name val="Arial"/>
      <family val="2"/>
    </font>
    <font>
      <u/>
      <sz val="9"/>
      <color theme="1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9"/>
      <color rgb="FF111827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left"/>
    </xf>
    <xf numFmtId="0" fontId="8" fillId="0" borderId="0" xfId="3" applyFont="1"/>
    <xf numFmtId="0" fontId="9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2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2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0" borderId="3" xfId="0" applyFont="1" applyBorder="1"/>
    <xf numFmtId="166" fontId="9" fillId="0" borderId="3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0" fontId="5" fillId="0" borderId="3" xfId="0" applyFont="1" applyBorder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5" fillId="3" borderId="0" xfId="0" applyFont="1" applyFill="1"/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2" fillId="5" borderId="1" xfId="0" applyFont="1" applyFill="1" applyBorder="1"/>
    <xf numFmtId="167" fontId="12" fillId="5" borderId="1" xfId="0" applyNumberFormat="1" applyFont="1" applyFill="1" applyBorder="1" applyAlignment="1">
      <alignment horizontal="center"/>
    </xf>
    <xf numFmtId="9" fontId="12" fillId="6" borderId="1" xfId="2" applyFont="1" applyFill="1" applyBorder="1" applyAlignment="1">
      <alignment horizontal="center"/>
    </xf>
    <xf numFmtId="0" fontId="9" fillId="5" borderId="1" xfId="0" applyFont="1" applyFill="1" applyBorder="1"/>
    <xf numFmtId="167" fontId="9" fillId="6" borderId="5" xfId="0" applyNumberFormat="1" applyFont="1" applyFill="1" applyBorder="1" applyAlignment="1">
      <alignment horizontal="center"/>
    </xf>
    <xf numFmtId="9" fontId="9" fillId="5" borderId="1" xfId="2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6" fontId="5" fillId="0" borderId="0" xfId="1" applyNumberFormat="1" applyFont="1"/>
    <xf numFmtId="0" fontId="5" fillId="2" borderId="1" xfId="0" applyFont="1" applyFill="1" applyBorder="1"/>
    <xf numFmtId="0" fontId="5" fillId="2" borderId="0" xfId="0" applyFont="1" applyFill="1"/>
    <xf numFmtId="166" fontId="5" fillId="5" borderId="0" xfId="0" applyNumberFormat="1" applyFont="1" applyFill="1" applyAlignment="1">
      <alignment horizontal="center" vertical="center"/>
    </xf>
    <xf numFmtId="1" fontId="9" fillId="0" borderId="3" xfId="0" applyNumberFormat="1" applyFont="1" applyBorder="1" applyAlignment="1">
      <alignment horizontal="center"/>
    </xf>
    <xf numFmtId="166" fontId="5" fillId="0" borderId="0" xfId="1" applyNumberFormat="1" applyFont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3" borderId="0" xfId="0" applyFont="1" applyFill="1" applyAlignment="1">
      <alignment horizontal="center"/>
    </xf>
    <xf numFmtId="0" fontId="8" fillId="0" borderId="0" xfId="3" applyFont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0" xfId="3" applyAlignment="1">
      <alignment horizontal="left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Statement'!$E$5:$P$5</c:f>
              <c:strCache>
                <c:ptCount val="12"/>
                <c:pt idx="0">
                  <c:v>Q1 FY1</c:v>
                </c:pt>
                <c:pt idx="1">
                  <c:v>Q2 FY1</c:v>
                </c:pt>
                <c:pt idx="2">
                  <c:v>Q3 FY1</c:v>
                </c:pt>
                <c:pt idx="3">
                  <c:v>Q4 FY1</c:v>
                </c:pt>
                <c:pt idx="4">
                  <c:v>Q1 FY2</c:v>
                </c:pt>
                <c:pt idx="5">
                  <c:v>Q2 FY2</c:v>
                </c:pt>
                <c:pt idx="6">
                  <c:v>Q3 FY2</c:v>
                </c:pt>
                <c:pt idx="7">
                  <c:v>Q4 FY2</c:v>
                </c:pt>
                <c:pt idx="8">
                  <c:v>Q1 FY3</c:v>
                </c:pt>
                <c:pt idx="9">
                  <c:v>Q2 FY3</c:v>
                </c:pt>
                <c:pt idx="10">
                  <c:v>Q3 FY3</c:v>
                </c:pt>
                <c:pt idx="11">
                  <c:v>Q4 FY3</c:v>
                </c:pt>
              </c:strCache>
            </c:strRef>
          </c:cat>
          <c:val>
            <c:numRef>
              <c:f>'Income Statement'!$E$12:$P$12</c:f>
              <c:numCache>
                <c:formatCode>_(* #,##0_);_(* \(#,##0\);_(* "-"??_);_(@_)</c:formatCode>
                <c:ptCount val="12"/>
                <c:pt idx="0">
                  <c:v>42900</c:v>
                </c:pt>
                <c:pt idx="1">
                  <c:v>51356.875</c:v>
                </c:pt>
                <c:pt idx="2">
                  <c:v>82161.34375</c:v>
                </c:pt>
                <c:pt idx="3">
                  <c:v>129649.746875</c:v>
                </c:pt>
                <c:pt idx="4">
                  <c:v>135091.20988281249</c:v>
                </c:pt>
                <c:pt idx="5">
                  <c:v>140506.11122353515</c:v>
                </c:pt>
                <c:pt idx="6">
                  <c:v>145888.55053719261</c:v>
                </c:pt>
                <c:pt idx="7">
                  <c:v>151371.37200739951</c:v>
                </c:pt>
                <c:pt idx="8">
                  <c:v>156763.14863235052</c:v>
                </c:pt>
                <c:pt idx="9">
                  <c:v>162250.53349995805</c:v>
                </c:pt>
                <c:pt idx="10">
                  <c:v>167833.07921270447</c:v>
                </c:pt>
                <c:pt idx="11">
                  <c:v>173460.20782916181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C-40E3-BDC0-89A2F84B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3928104"/>
        <c:axId val="753927024"/>
      </c:barChart>
      <c:catAx>
        <c:axId val="75392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27024"/>
        <c:crosses val="autoZero"/>
        <c:auto val="1"/>
        <c:lblAlgn val="ctr"/>
        <c:lblOffset val="100"/>
        <c:noMultiLvlLbl val="0"/>
      </c:catAx>
      <c:valAx>
        <c:axId val="7539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2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Statement'!$E$5:$P$5</c:f>
              <c:strCache>
                <c:ptCount val="12"/>
                <c:pt idx="0">
                  <c:v>Q1 FY1</c:v>
                </c:pt>
                <c:pt idx="1">
                  <c:v>Q2 FY1</c:v>
                </c:pt>
                <c:pt idx="2">
                  <c:v>Q3 FY1</c:v>
                </c:pt>
                <c:pt idx="3">
                  <c:v>Q4 FY1</c:v>
                </c:pt>
                <c:pt idx="4">
                  <c:v>Q1 FY2</c:v>
                </c:pt>
                <c:pt idx="5">
                  <c:v>Q2 FY2</c:v>
                </c:pt>
                <c:pt idx="6">
                  <c:v>Q3 FY2</c:v>
                </c:pt>
                <c:pt idx="7">
                  <c:v>Q4 FY2</c:v>
                </c:pt>
                <c:pt idx="8">
                  <c:v>Q1 FY3</c:v>
                </c:pt>
                <c:pt idx="9">
                  <c:v>Q2 FY3</c:v>
                </c:pt>
                <c:pt idx="10">
                  <c:v>Q3 FY3</c:v>
                </c:pt>
                <c:pt idx="11">
                  <c:v>Q4 FY3</c:v>
                </c:pt>
              </c:strCache>
            </c:strRef>
          </c:cat>
          <c:val>
            <c:numRef>
              <c:f>'Income Statement'!$E$29:$P$29</c:f>
              <c:numCache>
                <c:formatCode>0</c:formatCode>
                <c:ptCount val="12"/>
                <c:pt idx="0">
                  <c:v>-38800</c:v>
                </c:pt>
                <c:pt idx="1">
                  <c:v>-31106.125</c:v>
                </c:pt>
                <c:pt idx="2">
                  <c:v>-1072.2862499999901</c:v>
                </c:pt>
                <c:pt idx="3">
                  <c:v>43355.891546250001</c:v>
                </c:pt>
                <c:pt idx="4">
                  <c:v>47778.467723821872</c:v>
                </c:pt>
                <c:pt idx="5">
                  <c:v>52168.342180859887</c:v>
                </c:pt>
                <c:pt idx="6">
                  <c:v>56519.834894019506</c:v>
                </c:pt>
                <c:pt idx="7">
                  <c:v>60959.072409552915</c:v>
                </c:pt>
                <c:pt idx="8">
                  <c:v>65304.122893281616</c:v>
                </c:pt>
                <c:pt idx="9">
                  <c:v>69732.229834434256</c:v>
                </c:pt>
                <c:pt idx="10">
                  <c:v>74242.8904916381</c:v>
                </c:pt>
                <c:pt idx="11">
                  <c:v>78787.977329668254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0-4C82-9879-F0A10CB31A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53928104"/>
        <c:axId val="753927024"/>
      </c:lineChart>
      <c:catAx>
        <c:axId val="75392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27024"/>
        <c:crosses val="autoZero"/>
        <c:auto val="1"/>
        <c:lblAlgn val="ctr"/>
        <c:lblOffset val="100"/>
        <c:noMultiLvlLbl val="0"/>
      </c:catAx>
      <c:valAx>
        <c:axId val="75392702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75392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Start Up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DF-4D35-8385-05E440C977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DF-4D35-8385-05E440C977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DF-4D35-8385-05E440C977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DF-4D35-8385-05E440C977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'Income Statement'!$D$63:$D$66</c:f>
              <c:strCache>
                <c:ptCount val="4"/>
                <c:pt idx="0">
                  <c:v>Team</c:v>
                </c:pt>
                <c:pt idx="1">
                  <c:v>License</c:v>
                </c:pt>
                <c:pt idx="2">
                  <c:v>R&amp;D</c:v>
                </c:pt>
                <c:pt idx="3">
                  <c:v>Cloud Infra</c:v>
                </c:pt>
              </c:strCache>
            </c:strRef>
          </c:cat>
          <c:val>
            <c:numRef>
              <c:f>'Income Statement'!$F$63:$F$66</c:f>
              <c:numCache>
                <c:formatCode>0%</c:formatCode>
                <c:ptCount val="4"/>
                <c:pt idx="0">
                  <c:v>0.59322033898305082</c:v>
                </c:pt>
                <c:pt idx="1">
                  <c:v>0.20338983050847459</c:v>
                </c:pt>
                <c:pt idx="2">
                  <c:v>8.4745762711864403E-2</c:v>
                </c:pt>
                <c:pt idx="3">
                  <c:v>0.11864406779661017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0-4BA5-9194-8E80AF35848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Scenario Analysis - Top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Statement'!$E$71</c:f>
              <c:strCache>
                <c:ptCount val="1"/>
                <c:pt idx="0">
                  <c:v>Year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Statement'!$D$72:$D$74</c:f>
              <c:strCache>
                <c:ptCount val="3"/>
                <c:pt idx="0">
                  <c:v>Good</c:v>
                </c:pt>
                <c:pt idx="1">
                  <c:v>Base</c:v>
                </c:pt>
                <c:pt idx="2">
                  <c:v>Bad</c:v>
                </c:pt>
              </c:strCache>
            </c:strRef>
          </c:cat>
          <c:val>
            <c:numRef>
              <c:f>'Income Statement'!$E$72:$E$74</c:f>
              <c:numCache>
                <c:formatCode>0</c:formatCode>
                <c:ptCount val="3"/>
                <c:pt idx="0">
                  <c:v>400219.66055999999</c:v>
                </c:pt>
                <c:pt idx="1">
                  <c:v>306067.96562500001</c:v>
                </c:pt>
                <c:pt idx="2">
                  <c:v>223775.80697599999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7-446F-9483-5B0AA367164D}"/>
            </c:ext>
          </c:extLst>
        </c:ser>
        <c:ser>
          <c:idx val="1"/>
          <c:order val="1"/>
          <c:tx>
            <c:strRef>
              <c:f>'Income Statement'!$F$71</c:f>
              <c:strCache>
                <c:ptCount val="1"/>
                <c:pt idx="0">
                  <c:v>Year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Statement'!$D$72:$D$74</c:f>
              <c:strCache>
                <c:ptCount val="3"/>
                <c:pt idx="0">
                  <c:v>Good</c:v>
                </c:pt>
                <c:pt idx="1">
                  <c:v>Base</c:v>
                </c:pt>
                <c:pt idx="2">
                  <c:v>Bad</c:v>
                </c:pt>
              </c:strCache>
            </c:strRef>
          </c:cat>
          <c:val>
            <c:numRef>
              <c:f>'Income Statement'!$F$72:$F$74</c:f>
              <c:numCache>
                <c:formatCode>0</c:formatCode>
                <c:ptCount val="3"/>
                <c:pt idx="0">
                  <c:v>800948.83480902691</c:v>
                </c:pt>
                <c:pt idx="1">
                  <c:v>572857.24365093978</c:v>
                </c:pt>
                <c:pt idx="2">
                  <c:v>414847.58275739377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7-446F-9483-5B0AA367164D}"/>
            </c:ext>
          </c:extLst>
        </c:ser>
        <c:ser>
          <c:idx val="2"/>
          <c:order val="2"/>
          <c:tx>
            <c:strRef>
              <c:f>'Income Statement'!$G$71</c:f>
              <c:strCache>
                <c:ptCount val="1"/>
                <c:pt idx="0">
                  <c:v>Year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Statement'!$D$72:$D$74</c:f>
              <c:strCache>
                <c:ptCount val="3"/>
                <c:pt idx="0">
                  <c:v>Good</c:v>
                </c:pt>
                <c:pt idx="1">
                  <c:v>Base</c:v>
                </c:pt>
                <c:pt idx="2">
                  <c:v>Bad</c:v>
                </c:pt>
              </c:strCache>
            </c:strRef>
          </c:cat>
          <c:val>
            <c:numRef>
              <c:f>'Income Statement'!$G$72:$G$74</c:f>
              <c:numCache>
                <c:formatCode>0</c:formatCode>
                <c:ptCount val="3"/>
                <c:pt idx="0">
                  <c:v>1065458.3478409117</c:v>
                </c:pt>
                <c:pt idx="1">
                  <c:v>660306.96917417482</c:v>
                </c:pt>
                <c:pt idx="2">
                  <c:v>463506.31702225446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7-446F-9483-5B0AA367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4776984"/>
        <c:axId val="644767264"/>
      </c:barChart>
      <c:catAx>
        <c:axId val="6447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67264"/>
        <c:crosses val="autoZero"/>
        <c:auto val="1"/>
        <c:lblAlgn val="ctr"/>
        <c:lblOffset val="100"/>
        <c:noMultiLvlLbl val="0"/>
      </c:catAx>
      <c:valAx>
        <c:axId val="6447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Scenario Analysis - Bottom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Statement'!$E$77</c:f>
              <c:strCache>
                <c:ptCount val="1"/>
                <c:pt idx="0">
                  <c:v>Year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Statement'!$D$78:$D$80</c:f>
              <c:strCache>
                <c:ptCount val="3"/>
                <c:pt idx="0">
                  <c:v>Good</c:v>
                </c:pt>
                <c:pt idx="1">
                  <c:v>Base</c:v>
                </c:pt>
                <c:pt idx="2">
                  <c:v>Bad</c:v>
                </c:pt>
              </c:strCache>
            </c:strRef>
          </c:cat>
          <c:val>
            <c:numRef>
              <c:f>'Income Statement'!$E$78:$E$80</c:f>
              <c:numCache>
                <c:formatCode>0</c:formatCode>
                <c:ptCount val="3"/>
                <c:pt idx="0">
                  <c:v>122651.56774481919</c:v>
                </c:pt>
                <c:pt idx="1">
                  <c:v>-27622.519703749989</c:v>
                </c:pt>
                <c:pt idx="2">
                  <c:v>-165698.20979968001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4-42F1-81BB-C3D46B959D1F}"/>
            </c:ext>
          </c:extLst>
        </c:ser>
        <c:ser>
          <c:idx val="1"/>
          <c:order val="1"/>
          <c:tx>
            <c:strRef>
              <c:f>'Income Statement'!$F$77</c:f>
              <c:strCache>
                <c:ptCount val="1"/>
                <c:pt idx="0">
                  <c:v>Year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Statement'!$D$78:$D$80</c:f>
              <c:strCache>
                <c:ptCount val="3"/>
                <c:pt idx="0">
                  <c:v>Good</c:v>
                </c:pt>
                <c:pt idx="1">
                  <c:v>Base</c:v>
                </c:pt>
                <c:pt idx="2">
                  <c:v>Bad</c:v>
                </c:pt>
              </c:strCache>
            </c:strRef>
          </c:cat>
          <c:val>
            <c:numRef>
              <c:f>'Income Statement'!$F$78:$F$80</c:f>
              <c:numCache>
                <c:formatCode>0</c:formatCode>
                <c:ptCount val="3"/>
                <c:pt idx="0">
                  <c:v>500118.99188223667</c:v>
                </c:pt>
                <c:pt idx="1">
                  <c:v>217425.71720825415</c:v>
                </c:pt>
                <c:pt idx="2">
                  <c:v>6666.5057483537839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4-42F1-81BB-C3D46B959D1F}"/>
            </c:ext>
          </c:extLst>
        </c:ser>
        <c:ser>
          <c:idx val="2"/>
          <c:order val="2"/>
          <c:tx>
            <c:strRef>
              <c:f>'Income Statement'!$G$77</c:f>
              <c:strCache>
                <c:ptCount val="1"/>
                <c:pt idx="0">
                  <c:v>Year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'Income Statement'!$D$78:$D$80</c:f>
              <c:strCache>
                <c:ptCount val="3"/>
                <c:pt idx="0">
                  <c:v>Good</c:v>
                </c:pt>
                <c:pt idx="1">
                  <c:v>Base</c:v>
                </c:pt>
                <c:pt idx="2">
                  <c:v>Bad</c:v>
                </c:pt>
              </c:strCache>
            </c:strRef>
          </c:cat>
          <c:val>
            <c:numRef>
              <c:f>'Income Statement'!$G$78:$G$80</c:f>
              <c:numCache>
                <c:formatCode>0</c:formatCode>
                <c:ptCount val="3"/>
                <c:pt idx="0">
                  <c:v>746116.65012245649</c:v>
                </c:pt>
                <c:pt idx="1">
                  <c:v>288067.2205490222</c:v>
                </c:pt>
                <c:pt idx="2">
                  <c:v>34493.503423309776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4-42F1-81BB-C3D46B95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2423400"/>
        <c:axId val="532421960"/>
      </c:barChart>
      <c:catAx>
        <c:axId val="53242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21960"/>
        <c:crosses val="autoZero"/>
        <c:auto val="1"/>
        <c:lblAlgn val="ctr"/>
        <c:lblOffset val="100"/>
        <c:noMultiLvlLbl val="0"/>
      </c:catAx>
      <c:valAx>
        <c:axId val="5324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2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32</xdr:row>
      <xdr:rowOff>7620</xdr:rowOff>
    </xdr:from>
    <xdr:to>
      <xdr:col>16</xdr:col>
      <xdr:colOff>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1FAB2-BDD6-5BA3-7AD5-C30D35C26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51</xdr:row>
      <xdr:rowOff>53340</xdr:rowOff>
    </xdr:from>
    <xdr:to>
      <xdr:col>16</xdr:col>
      <xdr:colOff>45720</xdr:colOff>
      <xdr:row>70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AA32B-12E4-4E28-B8C1-E8B0F19EF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91440</xdr:colOff>
      <xdr:row>71</xdr:row>
      <xdr:rowOff>15240</xdr:rowOff>
    </xdr:from>
    <xdr:to>
      <xdr:col>16</xdr:col>
      <xdr:colOff>22860</xdr:colOff>
      <xdr:row>90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B19FB-E4A6-ADE8-FE14-9583D3463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81</xdr:row>
      <xdr:rowOff>83820</xdr:rowOff>
    </xdr:from>
    <xdr:to>
      <xdr:col>7</xdr:col>
      <xdr:colOff>53340</xdr:colOff>
      <xdr:row>100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3DE5D-0C3E-2ED6-5832-6846D507C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175260</xdr:colOff>
      <xdr:row>91</xdr:row>
      <xdr:rowOff>53340</xdr:rowOff>
    </xdr:from>
    <xdr:to>
      <xdr:col>16</xdr:col>
      <xdr:colOff>91440</xdr:colOff>
      <xdr:row>110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D1A123-9F97-A269-48D5-DB63FB0B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united-arab-emirates/inflation-cpi" TargetMode="External"/><Relationship Id="rId3" Type="http://schemas.openxmlformats.org/officeDocument/2006/relationships/hyperlink" Target="https://www.go-globe.com/how-much-does-it-cost-to-develop-a-website-for-small-businesses-in-dubai/" TargetMode="External"/><Relationship Id="rId7" Type="http://schemas.openxmlformats.org/officeDocument/2006/relationships/hyperlink" Target="https://u.ae/en/information-and-services/business/small-and-medium-enterprises/small-and-medium-enterprises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mordorintelligence.com/industry-reports/united-arab-emirates-payments-market" TargetMode="External"/><Relationship Id="rId1" Type="http://schemas.openxmlformats.org/officeDocument/2006/relationships/hyperlink" Target="https://www.centralbank.ae/en/our-operations/financial-stability/" TargetMode="External"/><Relationship Id="rId6" Type="http://schemas.openxmlformats.org/officeDocument/2006/relationships/hyperlink" Target="https://www.glassdoor.co.in/Salaries/dubai-it-auditor-salary-SRCH_IL.0,5_IM954_KO6,16_IP4.ht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houza.com/en/search?listingType=COMMERCIAL_RENT&amp;unitType=OFFICE&amp;minPrice=200000&amp;maxPrice=225000&amp;locations=difc" TargetMode="External"/><Relationship Id="rId10" Type="http://schemas.openxmlformats.org/officeDocument/2006/relationships/hyperlink" Target="https://www.xactauditing.ae/vat-rate-list-in-uae/" TargetMode="External"/><Relationship Id="rId4" Type="http://schemas.openxmlformats.org/officeDocument/2006/relationships/hyperlink" Target="https://posmea.com/ae/point-of-sale/pos-machines.html" TargetMode="External"/><Relationship Id="rId9" Type="http://schemas.openxmlformats.org/officeDocument/2006/relationships/hyperlink" Target="https://dir.indiamart.com/impcat/pos-machin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showGridLines="0" tabSelected="1" workbookViewId="0">
      <selection activeCell="C42" sqref="C42"/>
    </sheetView>
  </sheetViews>
  <sheetFormatPr defaultRowHeight="11.4" x14ac:dyDescent="0.2"/>
  <cols>
    <col min="1" max="1" width="36" style="3" customWidth="1"/>
    <col min="2" max="2" width="12.109375" style="3" bestFit="1" customWidth="1"/>
    <col min="3" max="5" width="11.44140625" style="3" customWidth="1"/>
    <col min="6" max="16" width="9" style="3" bestFit="1" customWidth="1"/>
    <col min="17" max="17" width="12.109375" style="3" bestFit="1" customWidth="1"/>
    <col min="18" max="16384" width="8.88671875" style="3"/>
  </cols>
  <sheetData>
    <row r="1" spans="1:17" ht="15.6" x14ac:dyDescent="0.3">
      <c r="A1" s="54" t="s">
        <v>121</v>
      </c>
      <c r="B1" s="54"/>
    </row>
    <row r="2" spans="1:17" x14ac:dyDescent="0.2">
      <c r="A2" s="56" t="s">
        <v>8</v>
      </c>
      <c r="B2" s="56"/>
      <c r="C2" s="56"/>
      <c r="D2" s="56"/>
      <c r="E2" s="56"/>
      <c r="F2" s="56"/>
      <c r="O2" s="59" t="s">
        <v>107</v>
      </c>
      <c r="P2" s="60"/>
      <c r="Q2" s="61"/>
    </row>
    <row r="3" spans="1:17" ht="12" x14ac:dyDescent="0.25">
      <c r="A3" s="3" t="s">
        <v>0</v>
      </c>
      <c r="B3" s="17">
        <v>2</v>
      </c>
      <c r="C3" s="34" t="s">
        <v>4</v>
      </c>
      <c r="D3" s="34" t="s">
        <v>5</v>
      </c>
      <c r="E3" s="34" t="s">
        <v>6</v>
      </c>
      <c r="F3" s="57" t="s">
        <v>9</v>
      </c>
      <c r="G3" s="57"/>
      <c r="H3" s="57"/>
      <c r="I3" s="57"/>
      <c r="J3" s="57"/>
      <c r="K3" s="57"/>
      <c r="L3" s="57"/>
      <c r="M3" s="57"/>
      <c r="O3" s="5" t="s">
        <v>106</v>
      </c>
      <c r="P3" s="5" t="s">
        <v>104</v>
      </c>
      <c r="Q3" s="6" t="s">
        <v>105</v>
      </c>
    </row>
    <row r="4" spans="1:17" ht="12" x14ac:dyDescent="0.25">
      <c r="A4" s="3" t="s">
        <v>11</v>
      </c>
      <c r="B4" s="10"/>
      <c r="C4" s="16">
        <v>0.2</v>
      </c>
      <c r="D4" s="16">
        <v>1</v>
      </c>
      <c r="E4" s="16">
        <v>-0.2</v>
      </c>
      <c r="F4" s="55" t="s">
        <v>12</v>
      </c>
      <c r="G4" s="55"/>
      <c r="H4" s="55"/>
      <c r="I4" s="55"/>
      <c r="J4" s="55"/>
      <c r="K4" s="55"/>
      <c r="L4" s="55"/>
      <c r="M4" s="55"/>
      <c r="O4" s="5" t="s">
        <v>108</v>
      </c>
      <c r="P4" s="48">
        <v>500000</v>
      </c>
      <c r="Q4" s="62">
        <f>SUM(P4:P6)</f>
        <v>1500000</v>
      </c>
    </row>
    <row r="5" spans="1:17" x14ac:dyDescent="0.2">
      <c r="A5" s="3" t="s">
        <v>7</v>
      </c>
      <c r="B5" s="10">
        <f>CHOOSE($B$3,C5,D5,E5)</f>
        <v>540</v>
      </c>
      <c r="C5" s="10">
        <f>D5*(1+$C$4)</f>
        <v>648</v>
      </c>
      <c r="D5" s="17">
        <v>540</v>
      </c>
      <c r="E5" s="10">
        <f>D5*(1+$E$4)</f>
        <v>432</v>
      </c>
      <c r="F5" s="58" t="s">
        <v>10</v>
      </c>
      <c r="G5" s="58"/>
      <c r="H5" s="58"/>
      <c r="I5" s="58"/>
      <c r="J5" s="58"/>
      <c r="K5" s="58"/>
      <c r="L5" s="58"/>
      <c r="M5" s="58"/>
      <c r="O5" s="46" t="s">
        <v>109</v>
      </c>
      <c r="P5" s="48">
        <v>500000</v>
      </c>
      <c r="Q5" s="63"/>
    </row>
    <row r="6" spans="1:17" x14ac:dyDescent="0.2">
      <c r="A6" s="3" t="s">
        <v>120</v>
      </c>
      <c r="B6" s="10">
        <f>CHOOSE($B$3,C6,D6,E6)</f>
        <v>21750</v>
      </c>
      <c r="C6" s="10">
        <f>D6*(1+$C$4)</f>
        <v>26100</v>
      </c>
      <c r="D6" s="50">
        <f>Q16/1000</f>
        <v>21750</v>
      </c>
      <c r="E6" s="10">
        <f>D6*(1+$E$4)</f>
        <v>17400</v>
      </c>
      <c r="F6" s="55" t="s">
        <v>39</v>
      </c>
      <c r="G6" s="55"/>
      <c r="H6" s="55"/>
      <c r="I6" s="55"/>
      <c r="J6" s="55"/>
      <c r="K6" s="55"/>
      <c r="L6" s="55"/>
      <c r="M6" s="55"/>
      <c r="O6" s="5" t="s">
        <v>110</v>
      </c>
      <c r="P6" s="48">
        <v>500000</v>
      </c>
      <c r="Q6" s="64"/>
    </row>
    <row r="7" spans="1:17" x14ac:dyDescent="0.2">
      <c r="A7" s="3" t="s">
        <v>54</v>
      </c>
      <c r="B7" s="14">
        <f>CHOOSE($B$3,C7,D7,E7)</f>
        <v>0.13669999999999999</v>
      </c>
      <c r="C7" s="21">
        <f>D7*(1+$C$4)</f>
        <v>0.16403999999999999</v>
      </c>
      <c r="D7" s="18">
        <v>0.13669999999999999</v>
      </c>
      <c r="E7" s="21">
        <f>D7*(1+$E$4)</f>
        <v>0.10936</v>
      </c>
      <c r="F7" s="58" t="s">
        <v>13</v>
      </c>
      <c r="G7" s="58"/>
      <c r="H7" s="58"/>
      <c r="I7" s="58"/>
      <c r="J7" s="58"/>
      <c r="K7" s="58"/>
      <c r="L7" s="58"/>
      <c r="M7" s="58"/>
      <c r="O7" s="5" t="s">
        <v>111</v>
      </c>
      <c r="P7" s="48">
        <v>500000</v>
      </c>
      <c r="Q7" s="62">
        <f>SUM(P7:P9)</f>
        <v>2250000</v>
      </c>
    </row>
    <row r="8" spans="1:17" x14ac:dyDescent="0.2">
      <c r="A8" s="3" t="s">
        <v>55</v>
      </c>
      <c r="B8" s="14">
        <f>CHOOSE($B$3,C8,D8,E8)</f>
        <v>0.1</v>
      </c>
      <c r="C8" s="21">
        <f>D8*(1+$C$4)</f>
        <v>0.12</v>
      </c>
      <c r="D8" s="18">
        <v>0.1</v>
      </c>
      <c r="E8" s="21">
        <f>D8*(1+$E$4)</f>
        <v>8.0000000000000016E-2</v>
      </c>
      <c r="F8" s="55" t="s">
        <v>39</v>
      </c>
      <c r="G8" s="55"/>
      <c r="H8" s="55"/>
      <c r="I8" s="55"/>
      <c r="J8" s="55"/>
      <c r="K8" s="55"/>
      <c r="L8" s="55"/>
      <c r="M8" s="55"/>
      <c r="O8" s="46" t="s">
        <v>112</v>
      </c>
      <c r="P8" s="48">
        <v>750000</v>
      </c>
      <c r="Q8" s="63"/>
    </row>
    <row r="9" spans="1:17" ht="12" x14ac:dyDescent="0.25">
      <c r="A9" s="9" t="s">
        <v>17</v>
      </c>
      <c r="B9" s="10"/>
      <c r="C9" s="10"/>
      <c r="D9" s="17"/>
      <c r="E9" s="10"/>
      <c r="O9" s="5" t="s">
        <v>113</v>
      </c>
      <c r="P9" s="48">
        <v>1000000</v>
      </c>
      <c r="Q9" s="64"/>
    </row>
    <row r="10" spans="1:17" x14ac:dyDescent="0.2">
      <c r="A10" s="4" t="s">
        <v>18</v>
      </c>
      <c r="B10" s="14">
        <f>CHOOSE($B$3,C10,D10,E10)</f>
        <v>7.4999999999999997E-3</v>
      </c>
      <c r="C10" s="21">
        <f>D10*(1+$C$4)</f>
        <v>8.9999999999999993E-3</v>
      </c>
      <c r="D10" s="18">
        <v>7.4999999999999997E-3</v>
      </c>
      <c r="E10" s="21">
        <f>D10*(1+$E$4)</f>
        <v>6.0000000000000001E-3</v>
      </c>
      <c r="F10" s="55" t="s">
        <v>40</v>
      </c>
      <c r="G10" s="55"/>
      <c r="H10" s="55"/>
      <c r="I10" s="55"/>
      <c r="J10" s="55"/>
      <c r="K10" s="55"/>
      <c r="L10" s="55"/>
      <c r="M10" s="55"/>
      <c r="O10" s="5" t="s">
        <v>114</v>
      </c>
      <c r="P10" s="48">
        <f>1.5*10^6</f>
        <v>1500000</v>
      </c>
      <c r="Q10" s="62">
        <f>SUM(P10:P12)</f>
        <v>6000000</v>
      </c>
    </row>
    <row r="11" spans="1:17" x14ac:dyDescent="0.2">
      <c r="A11" s="4" t="s">
        <v>19</v>
      </c>
      <c r="B11" s="14">
        <f>CHOOSE($B$3,C11,D11,E11)</f>
        <v>6.0000000000000001E-3</v>
      </c>
      <c r="C11" s="21">
        <f>D11*(1+$C$4)</f>
        <v>7.1999999999999998E-3</v>
      </c>
      <c r="D11" s="18">
        <v>6.0000000000000001E-3</v>
      </c>
      <c r="E11" s="21">
        <f>D11*(1+$E$4)</f>
        <v>4.8000000000000004E-3</v>
      </c>
      <c r="F11" s="55" t="s">
        <v>40</v>
      </c>
      <c r="G11" s="55"/>
      <c r="H11" s="55"/>
      <c r="I11" s="55"/>
      <c r="J11" s="55"/>
      <c r="K11" s="55"/>
      <c r="L11" s="55"/>
      <c r="M11" s="55"/>
      <c r="O11" s="46" t="s">
        <v>115</v>
      </c>
      <c r="P11" s="49">
        <f>2*10^6</f>
        <v>2000000</v>
      </c>
      <c r="Q11" s="63"/>
    </row>
    <row r="12" spans="1:17" x14ac:dyDescent="0.2">
      <c r="A12" s="4" t="s">
        <v>20</v>
      </c>
      <c r="B12" s="10">
        <f>CHOOSE($B$3,C12,D12,E12)</f>
        <v>1360</v>
      </c>
      <c r="C12" s="10">
        <f>D12*(1+$C$4)</f>
        <v>1632</v>
      </c>
      <c r="D12" s="19">
        <v>1360</v>
      </c>
      <c r="E12" s="10">
        <f>D12*(1+$E$4)</f>
        <v>1088</v>
      </c>
      <c r="F12" s="58" t="s">
        <v>21</v>
      </c>
      <c r="G12" s="58"/>
      <c r="H12" s="58"/>
      <c r="I12" s="58"/>
      <c r="J12" s="58"/>
      <c r="K12" s="58"/>
      <c r="L12" s="58"/>
      <c r="M12" s="58"/>
      <c r="O12" s="5" t="s">
        <v>116</v>
      </c>
      <c r="P12" s="49">
        <f>2.5*10^6</f>
        <v>2500000</v>
      </c>
      <c r="Q12" s="64"/>
    </row>
    <row r="13" spans="1:17" x14ac:dyDescent="0.2">
      <c r="A13" s="4" t="s">
        <v>22</v>
      </c>
      <c r="B13" s="10">
        <f>CHOOSE($B$3,C13,D13,E13)</f>
        <v>550</v>
      </c>
      <c r="C13" s="10">
        <f>D13*(1+$C$4)</f>
        <v>660</v>
      </c>
      <c r="D13" s="19">
        <v>550</v>
      </c>
      <c r="E13" s="10">
        <f>D13*(1+$E$4)</f>
        <v>440</v>
      </c>
      <c r="F13" s="58" t="s">
        <v>23</v>
      </c>
      <c r="G13" s="58"/>
      <c r="H13" s="58"/>
      <c r="I13" s="58"/>
      <c r="J13" s="58"/>
      <c r="K13" s="58"/>
      <c r="L13" s="58"/>
      <c r="M13" s="58"/>
      <c r="O13" s="5" t="s">
        <v>117</v>
      </c>
      <c r="P13" s="49">
        <f>3*10^6</f>
        <v>3000000</v>
      </c>
      <c r="Q13" s="62">
        <f>SUM(P13:P15)</f>
        <v>12000000</v>
      </c>
    </row>
    <row r="14" spans="1:17" x14ac:dyDescent="0.2">
      <c r="A14" s="4" t="s">
        <v>50</v>
      </c>
      <c r="B14" s="10">
        <f>CHOOSE($B$3,C14,D14,E14)</f>
        <v>50</v>
      </c>
      <c r="C14" s="10">
        <f>D14*(1+$C$4)</f>
        <v>60</v>
      </c>
      <c r="D14" s="17">
        <v>50</v>
      </c>
      <c r="E14" s="10">
        <f>D14*(1+$E$4)</f>
        <v>40</v>
      </c>
      <c r="F14" s="55"/>
      <c r="G14" s="55"/>
      <c r="H14" s="55"/>
      <c r="I14" s="55"/>
      <c r="J14" s="55"/>
      <c r="K14" s="55"/>
      <c r="L14" s="55"/>
      <c r="M14" s="55"/>
      <c r="O14" s="46" t="s">
        <v>118</v>
      </c>
      <c r="P14" s="49">
        <f>4*10^6</f>
        <v>4000000</v>
      </c>
      <c r="Q14" s="63"/>
    </row>
    <row r="15" spans="1:17" x14ac:dyDescent="0.2">
      <c r="B15" s="10"/>
      <c r="C15" s="10"/>
      <c r="D15" s="17"/>
      <c r="E15" s="10"/>
      <c r="O15" s="5" t="s">
        <v>119</v>
      </c>
      <c r="P15" s="49">
        <f>5*10^6</f>
        <v>5000000</v>
      </c>
      <c r="Q15" s="64"/>
    </row>
    <row r="16" spans="1:17" x14ac:dyDescent="0.2">
      <c r="A16" s="3" t="s">
        <v>51</v>
      </c>
      <c r="B16" s="10">
        <f>CHOOSE($B$3,C16,D16,E16)</f>
        <v>30</v>
      </c>
      <c r="C16" s="10">
        <f>D16*(1+$C$4)</f>
        <v>36</v>
      </c>
      <c r="D16" s="17">
        <v>30</v>
      </c>
      <c r="E16" s="10">
        <f>D16*(1+$E$4)</f>
        <v>24</v>
      </c>
      <c r="F16" s="55" t="s">
        <v>39</v>
      </c>
      <c r="G16" s="55"/>
      <c r="H16" s="55"/>
      <c r="I16" s="55"/>
      <c r="J16" s="55"/>
      <c r="K16" s="55"/>
      <c r="L16" s="55"/>
      <c r="M16" s="55"/>
      <c r="Q16" s="47">
        <f>SUM(Q4:Q15)</f>
        <v>21750000</v>
      </c>
    </row>
    <row r="17" spans="1:13" x14ac:dyDescent="0.2">
      <c r="A17" s="3" t="s">
        <v>52</v>
      </c>
      <c r="B17" s="14">
        <f>CHOOSE($B$3,C17,D17,E17)</f>
        <v>0.9</v>
      </c>
      <c r="C17" s="21">
        <f>D17*(1+$C$4)</f>
        <v>1.08</v>
      </c>
      <c r="D17" s="20">
        <v>0.9</v>
      </c>
      <c r="E17" s="21">
        <f>D17*(1+$E$4)</f>
        <v>0.72000000000000008</v>
      </c>
      <c r="F17" s="55" t="s">
        <v>39</v>
      </c>
      <c r="G17" s="55"/>
      <c r="H17" s="55"/>
      <c r="I17" s="55"/>
      <c r="J17" s="55"/>
      <c r="K17" s="55"/>
      <c r="L17" s="55"/>
      <c r="M17" s="55"/>
    </row>
    <row r="18" spans="1:13" x14ac:dyDescent="0.2">
      <c r="A18" s="3" t="s">
        <v>53</v>
      </c>
      <c r="B18" s="14">
        <f>CHOOSE($B$3,C18,D18,E18)</f>
        <v>0.5</v>
      </c>
      <c r="C18" s="21">
        <f>D18*(1+$C$4)</f>
        <v>0.6</v>
      </c>
      <c r="D18" s="20">
        <v>0.5</v>
      </c>
      <c r="E18" s="21">
        <f>D18*(1+$E$4)</f>
        <v>0.4</v>
      </c>
      <c r="F18" s="55" t="s">
        <v>39</v>
      </c>
      <c r="G18" s="55"/>
      <c r="H18" s="55"/>
      <c r="I18" s="55"/>
      <c r="J18" s="55"/>
      <c r="K18" s="55"/>
      <c r="L18" s="55"/>
      <c r="M18" s="55"/>
    </row>
    <row r="19" spans="1:13" x14ac:dyDescent="0.2">
      <c r="A19" s="3" t="s">
        <v>67</v>
      </c>
      <c r="B19" s="10">
        <f>CHOOSE($B$3,C19,D19,E19)</f>
        <v>12500</v>
      </c>
      <c r="C19" s="10">
        <f>D19*(1+$C$4)</f>
        <v>15000</v>
      </c>
      <c r="D19" s="17">
        <f>(500000/10)/4</f>
        <v>12500</v>
      </c>
      <c r="E19" s="10">
        <f>D19*(1+$E$4)</f>
        <v>10000</v>
      </c>
      <c r="F19" s="8" t="s">
        <v>66</v>
      </c>
    </row>
    <row r="20" spans="1:13" x14ac:dyDescent="0.2">
      <c r="B20" s="10"/>
      <c r="C20" s="10"/>
      <c r="D20" s="17"/>
      <c r="E20" s="10"/>
    </row>
    <row r="21" spans="1:13" ht="12" x14ac:dyDescent="0.25">
      <c r="A21" s="9" t="s">
        <v>60</v>
      </c>
      <c r="B21" s="10"/>
      <c r="C21" s="10"/>
      <c r="D21" s="17"/>
      <c r="E21" s="10"/>
    </row>
    <row r="22" spans="1:13" x14ac:dyDescent="0.2">
      <c r="A22" s="4" t="s">
        <v>78</v>
      </c>
      <c r="B22" s="10">
        <f t="shared" ref="B22:B30" si="0">CHOOSE($B$3,C22,D22,E22)</f>
        <v>360</v>
      </c>
      <c r="C22" s="10">
        <f t="shared" ref="C22:C30" si="1">D22*(1+$E$4)</f>
        <v>288</v>
      </c>
      <c r="D22" s="17">
        <v>360</v>
      </c>
      <c r="E22" s="10">
        <f t="shared" ref="E22:E30" si="2">D22*(1+$C$4)</f>
        <v>432</v>
      </c>
      <c r="F22" s="8" t="s">
        <v>79</v>
      </c>
    </row>
    <row r="23" spans="1:13" x14ac:dyDescent="0.2">
      <c r="A23" s="4" t="s">
        <v>57</v>
      </c>
      <c r="B23" s="10">
        <f t="shared" si="0"/>
        <v>30000</v>
      </c>
      <c r="C23" s="10">
        <f t="shared" si="1"/>
        <v>24000</v>
      </c>
      <c r="D23" s="17">
        <v>30000</v>
      </c>
      <c r="E23" s="10">
        <f t="shared" si="2"/>
        <v>36000</v>
      </c>
      <c r="F23" s="55" t="s">
        <v>65</v>
      </c>
      <c r="G23" s="55"/>
      <c r="H23" s="55"/>
      <c r="I23" s="55"/>
      <c r="J23" s="55"/>
      <c r="K23" s="55"/>
      <c r="L23" s="55"/>
      <c r="M23" s="55"/>
    </row>
    <row r="24" spans="1:13" x14ac:dyDescent="0.2">
      <c r="A24" s="4" t="s">
        <v>58</v>
      </c>
      <c r="B24" s="10">
        <f t="shared" si="0"/>
        <v>15000</v>
      </c>
      <c r="C24" s="10">
        <f t="shared" si="1"/>
        <v>12000</v>
      </c>
      <c r="D24" s="17">
        <v>15000</v>
      </c>
      <c r="E24" s="10">
        <f t="shared" si="2"/>
        <v>18000</v>
      </c>
      <c r="F24" s="58" t="s">
        <v>63</v>
      </c>
      <c r="G24" s="58"/>
      <c r="H24" s="58"/>
      <c r="I24" s="58"/>
      <c r="J24" s="58"/>
      <c r="K24" s="58"/>
      <c r="L24" s="58"/>
      <c r="M24" s="58"/>
    </row>
    <row r="25" spans="1:13" x14ac:dyDescent="0.2">
      <c r="A25" s="4" t="s">
        <v>59</v>
      </c>
      <c r="B25" s="10">
        <f t="shared" si="0"/>
        <v>1500</v>
      </c>
      <c r="C25" s="10">
        <f t="shared" si="1"/>
        <v>1200</v>
      </c>
      <c r="D25" s="17">
        <v>1500</v>
      </c>
      <c r="E25" s="10">
        <f t="shared" si="2"/>
        <v>1800</v>
      </c>
      <c r="F25" s="55" t="s">
        <v>39</v>
      </c>
      <c r="G25" s="55"/>
      <c r="H25" s="55"/>
      <c r="I25" s="55"/>
      <c r="J25" s="55"/>
      <c r="K25" s="55"/>
      <c r="L25" s="55"/>
      <c r="M25" s="55"/>
    </row>
    <row r="26" spans="1:13" x14ac:dyDescent="0.2">
      <c r="A26" s="4" t="s">
        <v>61</v>
      </c>
      <c r="B26" s="10">
        <f t="shared" si="0"/>
        <v>20000</v>
      </c>
      <c r="C26" s="10">
        <f t="shared" si="1"/>
        <v>16000</v>
      </c>
      <c r="D26" s="17">
        <v>20000</v>
      </c>
      <c r="E26" s="10">
        <f t="shared" si="2"/>
        <v>24000</v>
      </c>
      <c r="F26" s="55" t="s">
        <v>39</v>
      </c>
      <c r="G26" s="55"/>
      <c r="H26" s="55"/>
      <c r="I26" s="55"/>
      <c r="J26" s="55"/>
      <c r="K26" s="55"/>
      <c r="L26" s="55"/>
      <c r="M26" s="55"/>
    </row>
    <row r="27" spans="1:13" x14ac:dyDescent="0.2">
      <c r="A27" s="4" t="s">
        <v>62</v>
      </c>
      <c r="B27" s="10">
        <f t="shared" si="0"/>
        <v>9800</v>
      </c>
      <c r="C27" s="10">
        <f t="shared" si="1"/>
        <v>7840</v>
      </c>
      <c r="D27" s="17">
        <v>9800</v>
      </c>
      <c r="E27" s="10">
        <f t="shared" si="2"/>
        <v>11760</v>
      </c>
      <c r="F27" s="58" t="s">
        <v>64</v>
      </c>
      <c r="G27" s="58"/>
      <c r="H27" s="58"/>
      <c r="I27" s="58"/>
      <c r="J27" s="58"/>
      <c r="K27" s="58"/>
      <c r="L27" s="58"/>
      <c r="M27" s="58"/>
    </row>
    <row r="28" spans="1:13" x14ac:dyDescent="0.2">
      <c r="A28" s="4" t="s">
        <v>76</v>
      </c>
      <c r="B28" s="10">
        <f t="shared" si="0"/>
        <v>0</v>
      </c>
      <c r="C28" s="10">
        <f t="shared" si="1"/>
        <v>0</v>
      </c>
      <c r="D28" s="17">
        <v>0</v>
      </c>
      <c r="E28" s="10">
        <f t="shared" si="2"/>
        <v>0</v>
      </c>
      <c r="F28" s="55" t="s">
        <v>77</v>
      </c>
      <c r="G28" s="55"/>
      <c r="H28" s="55"/>
      <c r="I28" s="55"/>
      <c r="J28" s="55"/>
      <c r="K28" s="55"/>
      <c r="L28" s="55"/>
      <c r="M28" s="55"/>
    </row>
    <row r="29" spans="1:13" x14ac:dyDescent="0.2">
      <c r="A29" s="4" t="s">
        <v>68</v>
      </c>
      <c r="B29" s="14">
        <f t="shared" si="0"/>
        <v>0.04</v>
      </c>
      <c r="C29" s="21">
        <f t="shared" si="1"/>
        <v>3.2000000000000001E-2</v>
      </c>
      <c r="D29" s="20">
        <v>0.04</v>
      </c>
      <c r="E29" s="21">
        <f t="shared" si="2"/>
        <v>4.8000000000000001E-2</v>
      </c>
      <c r="F29" s="58" t="s">
        <v>69</v>
      </c>
      <c r="G29" s="58"/>
      <c r="H29" s="58"/>
      <c r="I29" s="58"/>
      <c r="J29" s="58"/>
      <c r="K29" s="58"/>
      <c r="L29" s="58"/>
      <c r="M29" s="58"/>
    </row>
    <row r="30" spans="1:13" ht="14.4" x14ac:dyDescent="0.3">
      <c r="A30" s="4" t="s">
        <v>87</v>
      </c>
      <c r="B30" s="14">
        <f t="shared" si="0"/>
        <v>0.05</v>
      </c>
      <c r="C30" s="21">
        <f t="shared" si="1"/>
        <v>4.0000000000000008E-2</v>
      </c>
      <c r="D30" s="20">
        <v>0.05</v>
      </c>
      <c r="E30" s="21">
        <f t="shared" si="2"/>
        <v>0.06</v>
      </c>
      <c r="F30" s="65" t="s">
        <v>88</v>
      </c>
      <c r="G30" s="65"/>
      <c r="H30" s="65"/>
      <c r="I30" s="65"/>
      <c r="J30" s="65"/>
      <c r="K30" s="65"/>
      <c r="L30" s="65"/>
      <c r="M30" s="65"/>
    </row>
    <row r="31" spans="1:13" x14ac:dyDescent="0.2">
      <c r="J31" s="3">
        <f>500000/10</f>
        <v>50000</v>
      </c>
      <c r="K31" s="3">
        <f>J31/4</f>
        <v>12500</v>
      </c>
    </row>
    <row r="32" spans="1:13" ht="12" x14ac:dyDescent="0.25">
      <c r="A32" s="9" t="s">
        <v>56</v>
      </c>
    </row>
    <row r="33" spans="1:14" ht="12" x14ac:dyDescent="0.25">
      <c r="A33" s="35" t="s">
        <v>24</v>
      </c>
    </row>
    <row r="34" spans="1:14" ht="12" x14ac:dyDescent="0.25">
      <c r="A34" s="3" t="s">
        <v>1</v>
      </c>
      <c r="B34" s="31"/>
      <c r="C34" s="31" t="s">
        <v>25</v>
      </c>
      <c r="D34" s="31" t="s">
        <v>26</v>
      </c>
      <c r="E34" s="31" t="s">
        <v>27</v>
      </c>
      <c r="F34" s="31" t="s">
        <v>28</v>
      </c>
      <c r="G34" s="31" t="s">
        <v>29</v>
      </c>
      <c r="H34" s="31" t="s">
        <v>30</v>
      </c>
      <c r="I34" s="31" t="s">
        <v>31</v>
      </c>
      <c r="J34" s="31" t="s">
        <v>32</v>
      </c>
      <c r="K34" s="31" t="s">
        <v>33</v>
      </c>
      <c r="L34" s="31" t="s">
        <v>34</v>
      </c>
      <c r="M34" s="31" t="s">
        <v>35</v>
      </c>
      <c r="N34" s="31" t="s">
        <v>36</v>
      </c>
    </row>
    <row r="35" spans="1:14" x14ac:dyDescent="0.2">
      <c r="A35" s="3" t="s">
        <v>2</v>
      </c>
      <c r="B35" s="11"/>
      <c r="C35" s="11">
        <f>B5/4</f>
        <v>135</v>
      </c>
      <c r="D35" s="11">
        <f>C35*(1+$D$7/4)</f>
        <v>139.61362500000001</v>
      </c>
      <c r="E35" s="11">
        <f>D35*(1+$D$7/4)</f>
        <v>144.38492063437502</v>
      </c>
      <c r="F35" s="11">
        <f>E35*(1+$D$7/4)</f>
        <v>149.31927529705479</v>
      </c>
      <c r="G35" s="11">
        <f>F35*(1+$B$7/4)</f>
        <v>154.42226153033164</v>
      </c>
      <c r="H35" s="11">
        <f t="shared" ref="H35:N35" si="3">G35*(1+$D$7/4)</f>
        <v>159.69964231813074</v>
      </c>
      <c r="I35" s="11">
        <f t="shared" si="3"/>
        <v>165.15737759435288</v>
      </c>
      <c r="J35" s="11">
        <f t="shared" si="3"/>
        <v>170.8016309736399</v>
      </c>
      <c r="K35" s="11">
        <f t="shared" si="3"/>
        <v>176.63877671216406</v>
      </c>
      <c r="L35" s="11">
        <f t="shared" si="3"/>
        <v>182.67540690630227</v>
      </c>
      <c r="M35" s="11">
        <f t="shared" si="3"/>
        <v>188.91833893732516</v>
      </c>
      <c r="N35" s="11">
        <f t="shared" si="3"/>
        <v>195.37462317050827</v>
      </c>
    </row>
    <row r="36" spans="1:14" x14ac:dyDescent="0.2">
      <c r="A36" s="3" t="s">
        <v>3</v>
      </c>
      <c r="B36" s="12"/>
      <c r="C36" s="13">
        <f>C37*10^3/(C35*10^9)</f>
        <v>1.1111111111111112E-5</v>
      </c>
      <c r="D36" s="13">
        <f>D37*10^3/(D35*10^9)</f>
        <v>1.6115905593025035E-5</v>
      </c>
      <c r="E36" s="13">
        <f>E37*10^3/(E35*10^9)</f>
        <v>4.155558609332729E-5</v>
      </c>
      <c r="F36" s="13">
        <f>F37*10^3/(F35*10^9)</f>
        <v>8.0364708281146412E-5</v>
      </c>
      <c r="G36" s="13">
        <f>F36</f>
        <v>8.0364708281146412E-5</v>
      </c>
      <c r="H36" s="13">
        <f t="shared" ref="H36:N36" si="4">G36</f>
        <v>8.0364708281146412E-5</v>
      </c>
      <c r="I36" s="13">
        <f t="shared" si="4"/>
        <v>8.0364708281146412E-5</v>
      </c>
      <c r="J36" s="13">
        <f t="shared" si="4"/>
        <v>8.0364708281146412E-5</v>
      </c>
      <c r="K36" s="13">
        <f t="shared" si="4"/>
        <v>8.0364708281146412E-5</v>
      </c>
      <c r="L36" s="13">
        <f t="shared" si="4"/>
        <v>8.0364708281146412E-5</v>
      </c>
      <c r="M36" s="13">
        <f t="shared" si="4"/>
        <v>8.0364708281146412E-5</v>
      </c>
      <c r="N36" s="13">
        <f t="shared" si="4"/>
        <v>8.0364708281146412E-5</v>
      </c>
    </row>
    <row r="37" spans="1:14" x14ac:dyDescent="0.2">
      <c r="A37" s="3" t="s">
        <v>37</v>
      </c>
      <c r="B37" s="11"/>
      <c r="C37" s="11">
        <f>Q4/1000</f>
        <v>1500</v>
      </c>
      <c r="D37" s="11">
        <f>Q7/1000</f>
        <v>2250</v>
      </c>
      <c r="E37" s="11">
        <f>Q10/1000</f>
        <v>6000</v>
      </c>
      <c r="F37" s="11">
        <f>Q13/1000</f>
        <v>12000</v>
      </c>
      <c r="G37" s="11">
        <f>G35*G36*10^6</f>
        <v>12410.1</v>
      </c>
      <c r="H37" s="11">
        <f t="shared" ref="H37:N37" si="5">H35*H36*10^6</f>
        <v>12834.2151675</v>
      </c>
      <c r="I37" s="11">
        <f t="shared" si="5"/>
        <v>13272.824470849315</v>
      </c>
      <c r="J37" s="11">
        <f t="shared" si="5"/>
        <v>13726.423247140592</v>
      </c>
      <c r="K37" s="11">
        <f t="shared" si="5"/>
        <v>14195.523761611623</v>
      </c>
      <c r="L37" s="11">
        <f t="shared" si="5"/>
        <v>14680.6557861647</v>
      </c>
      <c r="M37" s="11">
        <f t="shared" si="5"/>
        <v>15182.367197656878</v>
      </c>
      <c r="N37" s="11">
        <f t="shared" si="5"/>
        <v>15701.224596636806</v>
      </c>
    </row>
    <row r="38" spans="1:14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2" x14ac:dyDescent="0.25">
      <c r="A39" s="35" t="s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">
      <c r="A40" s="3" t="s">
        <v>41</v>
      </c>
      <c r="B40" s="10">
        <v>0</v>
      </c>
      <c r="C40" s="10">
        <f>B43</f>
        <v>0</v>
      </c>
      <c r="D40" s="10">
        <f>C43</f>
        <v>30</v>
      </c>
      <c r="E40" s="10">
        <f t="shared" ref="E40:N40" si="6">D43</f>
        <v>57</v>
      </c>
      <c r="F40" s="10">
        <f t="shared" si="6"/>
        <v>82</v>
      </c>
      <c r="G40" s="10">
        <f t="shared" si="6"/>
        <v>104</v>
      </c>
      <c r="H40" s="10">
        <f t="shared" si="6"/>
        <v>124</v>
      </c>
      <c r="I40" s="10">
        <f t="shared" si="6"/>
        <v>142</v>
      </c>
      <c r="J40" s="10">
        <f t="shared" si="6"/>
        <v>158</v>
      </c>
      <c r="K40" s="10">
        <f t="shared" si="6"/>
        <v>173</v>
      </c>
      <c r="L40" s="10">
        <f t="shared" si="6"/>
        <v>186</v>
      </c>
      <c r="M40" s="10">
        <f t="shared" si="6"/>
        <v>198</v>
      </c>
      <c r="N40" s="10">
        <f t="shared" si="6"/>
        <v>209</v>
      </c>
    </row>
    <row r="41" spans="1:14" x14ac:dyDescent="0.2">
      <c r="A41" s="3" t="s">
        <v>42</v>
      </c>
      <c r="B41" s="10">
        <v>0</v>
      </c>
      <c r="C41" s="10">
        <f>$B$16</f>
        <v>30</v>
      </c>
      <c r="D41" s="10">
        <f t="shared" ref="D41:N41" si="7">$B$16</f>
        <v>30</v>
      </c>
      <c r="E41" s="10">
        <f t="shared" si="7"/>
        <v>30</v>
      </c>
      <c r="F41" s="10">
        <f t="shared" si="7"/>
        <v>30</v>
      </c>
      <c r="G41" s="10">
        <f t="shared" si="7"/>
        <v>30</v>
      </c>
      <c r="H41" s="10">
        <f t="shared" si="7"/>
        <v>30</v>
      </c>
      <c r="I41" s="10">
        <f t="shared" si="7"/>
        <v>30</v>
      </c>
      <c r="J41" s="10">
        <f t="shared" si="7"/>
        <v>30</v>
      </c>
      <c r="K41" s="10">
        <f t="shared" si="7"/>
        <v>30</v>
      </c>
      <c r="L41" s="10">
        <f t="shared" si="7"/>
        <v>30</v>
      </c>
      <c r="M41" s="10">
        <f t="shared" si="7"/>
        <v>30</v>
      </c>
      <c r="N41" s="10">
        <f t="shared" si="7"/>
        <v>30</v>
      </c>
    </row>
    <row r="42" spans="1:14" x14ac:dyDescent="0.2">
      <c r="A42" s="3" t="s">
        <v>43</v>
      </c>
      <c r="B42" s="10">
        <v>0</v>
      </c>
      <c r="C42" s="10">
        <f>(1-$B$17)*C40</f>
        <v>0</v>
      </c>
      <c r="D42" s="10">
        <f t="shared" ref="D42:N42" si="8">ROUNDDOWN((1-$B$17)*D40,0)</f>
        <v>3</v>
      </c>
      <c r="E42" s="10">
        <f t="shared" si="8"/>
        <v>5</v>
      </c>
      <c r="F42" s="10">
        <f t="shared" si="8"/>
        <v>8</v>
      </c>
      <c r="G42" s="10">
        <f t="shared" si="8"/>
        <v>10</v>
      </c>
      <c r="H42" s="10">
        <f t="shared" si="8"/>
        <v>12</v>
      </c>
      <c r="I42" s="10">
        <f t="shared" si="8"/>
        <v>14</v>
      </c>
      <c r="J42" s="10">
        <f t="shared" si="8"/>
        <v>15</v>
      </c>
      <c r="K42" s="10">
        <f t="shared" si="8"/>
        <v>17</v>
      </c>
      <c r="L42" s="10">
        <f t="shared" si="8"/>
        <v>18</v>
      </c>
      <c r="M42" s="10">
        <f t="shared" si="8"/>
        <v>19</v>
      </c>
      <c r="N42" s="10">
        <f t="shared" si="8"/>
        <v>20</v>
      </c>
    </row>
    <row r="43" spans="1:14" x14ac:dyDescent="0.2">
      <c r="A43" s="3" t="s">
        <v>44</v>
      </c>
      <c r="B43" s="10">
        <v>0</v>
      </c>
      <c r="C43" s="10">
        <f>C40+C41-C42</f>
        <v>30</v>
      </c>
      <c r="D43" s="10">
        <f t="shared" ref="D43:N43" si="9">D40+D41-D42</f>
        <v>57</v>
      </c>
      <c r="E43" s="10">
        <f t="shared" si="9"/>
        <v>82</v>
      </c>
      <c r="F43" s="10">
        <f t="shared" si="9"/>
        <v>104</v>
      </c>
      <c r="G43" s="10">
        <f t="shared" si="9"/>
        <v>124</v>
      </c>
      <c r="H43" s="10">
        <f t="shared" si="9"/>
        <v>142</v>
      </c>
      <c r="I43" s="10">
        <f t="shared" si="9"/>
        <v>158</v>
      </c>
      <c r="J43" s="10">
        <f t="shared" si="9"/>
        <v>173</v>
      </c>
      <c r="K43" s="10">
        <f t="shared" si="9"/>
        <v>186</v>
      </c>
      <c r="L43" s="10">
        <f t="shared" si="9"/>
        <v>198</v>
      </c>
      <c r="M43" s="10">
        <f t="shared" si="9"/>
        <v>209</v>
      </c>
      <c r="N43" s="10">
        <f t="shared" si="9"/>
        <v>219</v>
      </c>
    </row>
    <row r="44" spans="1:14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">
      <c r="A45" s="3" t="s">
        <v>45</v>
      </c>
      <c r="B45" s="10"/>
      <c r="C45" s="14">
        <f>$B$18</f>
        <v>0.5</v>
      </c>
      <c r="D45" s="14">
        <f t="shared" ref="D45:N45" si="10">$B$18</f>
        <v>0.5</v>
      </c>
      <c r="E45" s="14">
        <f t="shared" si="10"/>
        <v>0.5</v>
      </c>
      <c r="F45" s="14">
        <f t="shared" si="10"/>
        <v>0.5</v>
      </c>
      <c r="G45" s="14">
        <f t="shared" si="10"/>
        <v>0.5</v>
      </c>
      <c r="H45" s="14">
        <f t="shared" si="10"/>
        <v>0.5</v>
      </c>
      <c r="I45" s="14">
        <f t="shared" si="10"/>
        <v>0.5</v>
      </c>
      <c r="J45" s="14">
        <f t="shared" si="10"/>
        <v>0.5</v>
      </c>
      <c r="K45" s="14">
        <f t="shared" si="10"/>
        <v>0.5</v>
      </c>
      <c r="L45" s="14">
        <f t="shared" si="10"/>
        <v>0.5</v>
      </c>
      <c r="M45" s="14">
        <f t="shared" si="10"/>
        <v>0.5</v>
      </c>
      <c r="N45" s="14">
        <f t="shared" si="10"/>
        <v>0.5</v>
      </c>
    </row>
    <row r="46" spans="1:14" x14ac:dyDescent="0.2">
      <c r="A46" s="3" t="s">
        <v>48</v>
      </c>
      <c r="B46" s="10"/>
      <c r="C46" s="10">
        <f>C43*C45</f>
        <v>15</v>
      </c>
      <c r="D46" s="10">
        <f>ROUNDDOWN(D43*D45,0)</f>
        <v>28</v>
      </c>
      <c r="E46" s="10">
        <f t="shared" ref="E46:N46" si="11">ROUNDDOWN(E43*E45,0)</f>
        <v>41</v>
      </c>
      <c r="F46" s="10">
        <f t="shared" si="11"/>
        <v>52</v>
      </c>
      <c r="G46" s="10">
        <f t="shared" si="11"/>
        <v>62</v>
      </c>
      <c r="H46" s="10">
        <f t="shared" si="11"/>
        <v>71</v>
      </c>
      <c r="I46" s="10">
        <f t="shared" si="11"/>
        <v>79</v>
      </c>
      <c r="J46" s="10">
        <f t="shared" si="11"/>
        <v>86</v>
      </c>
      <c r="K46" s="10">
        <f t="shared" si="11"/>
        <v>93</v>
      </c>
      <c r="L46" s="10">
        <f t="shared" si="11"/>
        <v>99</v>
      </c>
      <c r="M46" s="10">
        <f t="shared" si="11"/>
        <v>104</v>
      </c>
      <c r="N46" s="10">
        <f t="shared" si="11"/>
        <v>109</v>
      </c>
    </row>
    <row r="47" spans="1:14" x14ac:dyDescent="0.2">
      <c r="A47" s="3" t="s">
        <v>46</v>
      </c>
      <c r="B47" s="10"/>
      <c r="C47" s="15">
        <f>1-C45</f>
        <v>0.5</v>
      </c>
      <c r="D47" s="15">
        <f t="shared" ref="D47:N47" si="12">1-D45</f>
        <v>0.5</v>
      </c>
      <c r="E47" s="15">
        <f t="shared" si="12"/>
        <v>0.5</v>
      </c>
      <c r="F47" s="15">
        <f t="shared" si="12"/>
        <v>0.5</v>
      </c>
      <c r="G47" s="15">
        <f t="shared" si="12"/>
        <v>0.5</v>
      </c>
      <c r="H47" s="15">
        <f t="shared" si="12"/>
        <v>0.5</v>
      </c>
      <c r="I47" s="15">
        <f t="shared" si="12"/>
        <v>0.5</v>
      </c>
      <c r="J47" s="15">
        <f t="shared" si="12"/>
        <v>0.5</v>
      </c>
      <c r="K47" s="15">
        <f t="shared" si="12"/>
        <v>0.5</v>
      </c>
      <c r="L47" s="15">
        <f t="shared" si="12"/>
        <v>0.5</v>
      </c>
      <c r="M47" s="15">
        <f t="shared" si="12"/>
        <v>0.5</v>
      </c>
      <c r="N47" s="15">
        <f t="shared" si="12"/>
        <v>0.5</v>
      </c>
    </row>
    <row r="48" spans="1:14" x14ac:dyDescent="0.2">
      <c r="A48" s="3" t="s">
        <v>47</v>
      </c>
      <c r="B48" s="10"/>
      <c r="C48" s="10">
        <f>C47*C43</f>
        <v>15</v>
      </c>
      <c r="D48" s="10">
        <f>ROUNDUP(D47*D43,0)</f>
        <v>29</v>
      </c>
      <c r="E48" s="10">
        <f t="shared" ref="E48:N48" si="13">ROUNDUP(E47*E43,0)</f>
        <v>41</v>
      </c>
      <c r="F48" s="10">
        <f t="shared" si="13"/>
        <v>52</v>
      </c>
      <c r="G48" s="10">
        <f t="shared" si="13"/>
        <v>62</v>
      </c>
      <c r="H48" s="10">
        <f t="shared" si="13"/>
        <v>71</v>
      </c>
      <c r="I48" s="10">
        <f t="shared" si="13"/>
        <v>79</v>
      </c>
      <c r="J48" s="10">
        <f t="shared" si="13"/>
        <v>87</v>
      </c>
      <c r="K48" s="10">
        <f t="shared" si="13"/>
        <v>93</v>
      </c>
      <c r="L48" s="10">
        <f t="shared" si="13"/>
        <v>99</v>
      </c>
      <c r="M48" s="10">
        <f t="shared" si="13"/>
        <v>105</v>
      </c>
      <c r="N48" s="10">
        <f t="shared" si="13"/>
        <v>110</v>
      </c>
    </row>
    <row r="49" spans="1:14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">
      <c r="A50" s="3" t="s">
        <v>49</v>
      </c>
      <c r="B50" s="10">
        <f>$B$19</f>
        <v>12500</v>
      </c>
      <c r="C50" s="10">
        <f>B50</f>
        <v>12500</v>
      </c>
      <c r="D50" s="10">
        <f>C50*(1+$B$8/4)</f>
        <v>12812.499999999998</v>
      </c>
      <c r="E50" s="11">
        <f t="shared" ref="E50:N50" si="14">D50*(1+$B$8/4)</f>
        <v>13132.812499999996</v>
      </c>
      <c r="F50" s="11">
        <f t="shared" si="14"/>
        <v>13461.132812499995</v>
      </c>
      <c r="G50" s="11">
        <f t="shared" si="14"/>
        <v>13797.661132812493</v>
      </c>
      <c r="H50" s="11">
        <f t="shared" si="14"/>
        <v>14142.602661132803</v>
      </c>
      <c r="I50" s="11">
        <f t="shared" si="14"/>
        <v>14496.167727661123</v>
      </c>
      <c r="J50" s="11">
        <f t="shared" si="14"/>
        <v>14858.57192085265</v>
      </c>
      <c r="K50" s="11">
        <f t="shared" si="14"/>
        <v>15230.036218873965</v>
      </c>
      <c r="L50" s="11">
        <f t="shared" si="14"/>
        <v>15610.787124345814</v>
      </c>
      <c r="M50" s="11">
        <f t="shared" si="14"/>
        <v>16001.056802454457</v>
      </c>
      <c r="N50" s="11">
        <f t="shared" si="14"/>
        <v>16401.083222515816</v>
      </c>
    </row>
  </sheetData>
  <mergeCells count="29">
    <mergeCell ref="F16:M16"/>
    <mergeCell ref="F17:M17"/>
    <mergeCell ref="F18:M18"/>
    <mergeCell ref="F29:M29"/>
    <mergeCell ref="F28:M28"/>
    <mergeCell ref="F24:M24"/>
    <mergeCell ref="F30:M30"/>
    <mergeCell ref="F27:M27"/>
    <mergeCell ref="F26:M26"/>
    <mergeCell ref="F25:M25"/>
    <mergeCell ref="F23:M23"/>
    <mergeCell ref="O2:Q2"/>
    <mergeCell ref="Q4:Q6"/>
    <mergeCell ref="Q7:Q9"/>
    <mergeCell ref="Q10:Q12"/>
    <mergeCell ref="Q13:Q15"/>
    <mergeCell ref="A1:B1"/>
    <mergeCell ref="F14:M14"/>
    <mergeCell ref="F8:M8"/>
    <mergeCell ref="A2:F2"/>
    <mergeCell ref="F3:M3"/>
    <mergeCell ref="F5:M5"/>
    <mergeCell ref="F4:M4"/>
    <mergeCell ref="F6:M6"/>
    <mergeCell ref="F7:M7"/>
    <mergeCell ref="F12:M12"/>
    <mergeCell ref="F13:M13"/>
    <mergeCell ref="F10:M10"/>
    <mergeCell ref="F11:M11"/>
  </mergeCells>
  <phoneticPr fontId="13" type="noConversion"/>
  <hyperlinks>
    <hyperlink ref="F5:M5" r:id="rId1" display="Financial Stability Report 2022 - Central Bank UAE" xr:uid="{CB2A311F-9A30-4FBA-86A9-D1F31389F990}"/>
    <hyperlink ref="F7:M7" r:id="rId2" display="Mordor Intelligence Report on UAE Payment Market" xr:uid="{07A81F80-8C62-42B0-A459-F105A1EF03A1}"/>
    <hyperlink ref="F12:M12" r:id="rId3" display="Average integration cost " xr:uid="{C031C7B9-4705-4FE5-A4DA-9262DC642A04}"/>
    <hyperlink ref="F13:M13" r:id="rId4" display="Average POS Machine Price in UAE" xr:uid="{4BB49652-4368-4843-8DC8-9FC4459DBC81}"/>
    <hyperlink ref="F24:M24" r:id="rId5" display="500-750 Sq Ft in Currency House/Park Tower at DIFC" xr:uid="{FEECAC47-B9F8-4804-B767-C1C3CC094932}"/>
    <hyperlink ref="F27:M27" r:id="rId6" display="IT Auditor &amp; Assistant - Glassdoor" xr:uid="{019792E7-54A2-4BF5-96DD-6BCF204D49E8}"/>
    <hyperlink ref="F19" r:id="rId7" xr:uid="{3D2E1110-8A22-4682-AE1E-7646A792B799}"/>
    <hyperlink ref="F29" r:id="rId8" xr:uid="{054E49CD-FBE6-4127-B422-F3D38C07FBEC}"/>
    <hyperlink ref="F22" r:id="rId9" xr:uid="{7EDA9443-9396-4338-98DF-E70F386C120D}"/>
    <hyperlink ref="F30:M30" r:id="rId10" location=":~:text=VAT%20Rates%20in%20UAE,-The%20VAT%20rates&amp;text=Standard%20rate%20of%205%25%20VAT,5%25%20is%20to%20be%20levied." display="Standard Rate in UAE" xr:uid="{F4AC43C5-2596-4914-8F0E-F57966933B82}"/>
  </hyperlinks>
  <pageMargins left="0.7" right="0.7" top="0.75" bottom="0.75" header="0.3" footer="0.3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08FE-76AD-4DBE-955E-CC306D39F698}">
  <dimension ref="A1:P80"/>
  <sheetViews>
    <sheetView showGridLines="0" workbookViewId="0">
      <selection activeCell="G109" sqref="G109"/>
    </sheetView>
  </sheetViews>
  <sheetFormatPr defaultRowHeight="11.4" x14ac:dyDescent="0.2"/>
  <cols>
    <col min="1" max="3" width="4.77734375" style="3" customWidth="1"/>
    <col min="4" max="4" width="26.88671875" style="3" customWidth="1"/>
    <col min="5" max="16" width="13" style="10" customWidth="1"/>
    <col min="17" max="19" width="13" style="3" customWidth="1"/>
    <col min="20" max="16384" width="8.88671875" style="3"/>
  </cols>
  <sheetData>
    <row r="1" spans="1:16" ht="15.6" x14ac:dyDescent="0.3">
      <c r="A1" s="1" t="s">
        <v>71</v>
      </c>
    </row>
    <row r="2" spans="1:16" ht="15.6" x14ac:dyDescent="0.3">
      <c r="A2" s="1" t="s">
        <v>72</v>
      </c>
    </row>
    <row r="3" spans="1:16" ht="15.6" x14ac:dyDescent="0.3">
      <c r="A3" s="1" t="s">
        <v>70</v>
      </c>
    </row>
    <row r="4" spans="1:16" ht="12" x14ac:dyDescent="0.25">
      <c r="A4" s="68" t="s">
        <v>85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16" ht="12" x14ac:dyDescent="0.25">
      <c r="A5" s="33"/>
      <c r="B5" s="33"/>
      <c r="C5" s="33"/>
      <c r="D5" s="33"/>
      <c r="E5" s="31" t="str">
        <f>Assumptions!C34</f>
        <v>Q1 FY1</v>
      </c>
      <c r="F5" s="31" t="str">
        <f>Assumptions!D34</f>
        <v>Q2 FY1</v>
      </c>
      <c r="G5" s="31" t="str">
        <f>Assumptions!E34</f>
        <v>Q3 FY1</v>
      </c>
      <c r="H5" s="31" t="str">
        <f>Assumptions!F34</f>
        <v>Q4 FY1</v>
      </c>
      <c r="I5" s="31" t="str">
        <f>Assumptions!G34</f>
        <v>Q1 FY2</v>
      </c>
      <c r="J5" s="31" t="str">
        <f>Assumptions!H34</f>
        <v>Q2 FY2</v>
      </c>
      <c r="K5" s="31" t="str">
        <f>Assumptions!I34</f>
        <v>Q3 FY2</v>
      </c>
      <c r="L5" s="31" t="str">
        <f>Assumptions!J34</f>
        <v>Q4 FY2</v>
      </c>
      <c r="M5" s="31" t="str">
        <f>Assumptions!K34</f>
        <v>Q1 FY3</v>
      </c>
      <c r="N5" s="31" t="str">
        <f>Assumptions!L34</f>
        <v>Q2 FY3</v>
      </c>
      <c r="O5" s="31" t="str">
        <f>Assumptions!M34</f>
        <v>Q3 FY3</v>
      </c>
      <c r="P5" s="31" t="str">
        <f>Assumptions!N34</f>
        <v>Q4 FY3</v>
      </c>
    </row>
    <row r="6" spans="1:16" ht="12" x14ac:dyDescent="0.25">
      <c r="A6" s="2" t="s">
        <v>73</v>
      </c>
    </row>
    <row r="7" spans="1:16" x14ac:dyDescent="0.2">
      <c r="B7" s="3" t="s">
        <v>18</v>
      </c>
      <c r="E7" s="52">
        <f>Assumptions!C37*10^3*Assumptions!$B$10</f>
        <v>11250</v>
      </c>
      <c r="F7" s="52">
        <f>Assumptions!D37*10^3*Assumptions!$B$10</f>
        <v>16875</v>
      </c>
      <c r="G7" s="52">
        <f>Assumptions!E37*10^3*Assumptions!$B$10</f>
        <v>45000</v>
      </c>
      <c r="H7" s="52">
        <f>Assumptions!F37*10^3*Assumptions!$B$10</f>
        <v>90000</v>
      </c>
      <c r="I7" s="52">
        <f>Assumptions!G37*10^3*Assumptions!$B$10</f>
        <v>93075.75</v>
      </c>
      <c r="J7" s="52">
        <f>Assumptions!H37*10^3*Assumptions!$B$10</f>
        <v>96256.613756249993</v>
      </c>
      <c r="K7" s="52">
        <f>Assumptions!I37*10^3*Assumptions!$B$10</f>
        <v>99546.183531369854</v>
      </c>
      <c r="L7" s="52">
        <f>Assumptions!J37*10^3*Assumptions!$B$10</f>
        <v>102948.17435355444</v>
      </c>
      <c r="M7" s="52">
        <f>Assumptions!K37*10^3*Assumptions!$B$10</f>
        <v>106466.42821208718</v>
      </c>
      <c r="N7" s="52">
        <f>Assumptions!L37*10^3*Assumptions!$B$10</f>
        <v>110104.91839623524</v>
      </c>
      <c r="O7" s="52">
        <f>Assumptions!M37*10^3*Assumptions!$B$10</f>
        <v>113867.75398242658</v>
      </c>
      <c r="P7" s="52">
        <f>Assumptions!N37*10^3*Assumptions!$B$10</f>
        <v>117759.18447477603</v>
      </c>
    </row>
    <row r="8" spans="1:16" x14ac:dyDescent="0.2">
      <c r="B8" s="7" t="s">
        <v>19</v>
      </c>
      <c r="E8" s="52">
        <f>Assumptions!C43*Assumptions!C50*Assumptions!$B$11</f>
        <v>2250</v>
      </c>
      <c r="F8" s="52">
        <f>Assumptions!D43*Assumptions!D50*Assumptions!$B$11</f>
        <v>4381.8749999999991</v>
      </c>
      <c r="G8" s="52">
        <f>Assumptions!E43*Assumptions!E50*Assumptions!$B$11</f>
        <v>6461.3437499999991</v>
      </c>
      <c r="H8" s="52">
        <f>Assumptions!F43*Assumptions!F50*Assumptions!$B$11</f>
        <v>8399.7468749999971</v>
      </c>
      <c r="I8" s="52">
        <f>Assumptions!G43*Assumptions!G50*Assumptions!$B$11</f>
        <v>10265.459882812494</v>
      </c>
      <c r="J8" s="52">
        <f>Assumptions!H43*Assumptions!H50*Assumptions!$B$11</f>
        <v>12049.497467285148</v>
      </c>
      <c r="K8" s="52">
        <f>Assumptions!I43*Assumptions!I50*Assumptions!$B$11</f>
        <v>13742.367005822744</v>
      </c>
      <c r="L8" s="52">
        <f>Assumptions!J43*Assumptions!J50*Assumptions!$B$11</f>
        <v>15423.197653845051</v>
      </c>
      <c r="M8" s="52">
        <f>Assumptions!K43*Assumptions!K50*Assumptions!$B$11</f>
        <v>16996.720420263347</v>
      </c>
      <c r="N8" s="52">
        <f>Assumptions!L43*Assumptions!L50*Assumptions!$B$11</f>
        <v>18545.615103722826</v>
      </c>
      <c r="O8" s="52">
        <f>Assumptions!M43*Assumptions!M50*Assumptions!$B$11</f>
        <v>20065.325230277889</v>
      </c>
      <c r="P8" s="52">
        <f>Assumptions!N43*Assumptions!N50*Assumptions!$B$11</f>
        <v>21551.023354385783</v>
      </c>
    </row>
    <row r="9" spans="1:16" x14ac:dyDescent="0.2">
      <c r="B9" s="7" t="s">
        <v>20</v>
      </c>
      <c r="E9" s="52">
        <f>Assumptions!$B$12*Assumptions!C41*Assumptions!C47</f>
        <v>20400</v>
      </c>
      <c r="F9" s="52">
        <f>Assumptions!$B$12*Assumptions!D41*Assumptions!D47</f>
        <v>20400</v>
      </c>
      <c r="G9" s="52">
        <f>Assumptions!$B$12*Assumptions!E41*Assumptions!E47</f>
        <v>20400</v>
      </c>
      <c r="H9" s="52">
        <f>Assumptions!$B$12*Assumptions!F41*Assumptions!F47</f>
        <v>20400</v>
      </c>
      <c r="I9" s="52">
        <f>Assumptions!$B$12*Assumptions!G41*Assumptions!G47</f>
        <v>20400</v>
      </c>
      <c r="J9" s="52">
        <f>Assumptions!$B$12*Assumptions!H41*Assumptions!H47</f>
        <v>20400</v>
      </c>
      <c r="K9" s="52">
        <f>Assumptions!$B$12*Assumptions!I41*Assumptions!I47</f>
        <v>20400</v>
      </c>
      <c r="L9" s="52">
        <f>Assumptions!$B$12*Assumptions!J41*Assumptions!J47</f>
        <v>20400</v>
      </c>
      <c r="M9" s="52">
        <f>Assumptions!$B$12*Assumptions!K41*Assumptions!K47</f>
        <v>20400</v>
      </c>
      <c r="N9" s="52">
        <f>Assumptions!$B$12*Assumptions!L41*Assumptions!L47</f>
        <v>20400</v>
      </c>
      <c r="O9" s="52">
        <f>Assumptions!$B$12*Assumptions!M41*Assumptions!M47</f>
        <v>20400</v>
      </c>
      <c r="P9" s="52">
        <f>Assumptions!$B$12*Assumptions!N41*Assumptions!N47</f>
        <v>20400</v>
      </c>
    </row>
    <row r="10" spans="1:16" x14ac:dyDescent="0.2">
      <c r="B10" s="7" t="s">
        <v>22</v>
      </c>
      <c r="E10" s="52">
        <f>Assumptions!$B$13*Assumptions!C41*Assumptions!C45</f>
        <v>8250</v>
      </c>
      <c r="F10" s="52">
        <f>Assumptions!$B$13*Assumptions!D41*Assumptions!D45</f>
        <v>8250</v>
      </c>
      <c r="G10" s="52">
        <f>Assumptions!$B$13*Assumptions!E41*Assumptions!E45</f>
        <v>8250</v>
      </c>
      <c r="H10" s="52">
        <f>Assumptions!$B$13*Assumptions!F41*Assumptions!F45</f>
        <v>8250</v>
      </c>
      <c r="I10" s="52">
        <f>Assumptions!$B$13*Assumptions!G41*Assumptions!G45</f>
        <v>8250</v>
      </c>
      <c r="J10" s="52">
        <f>Assumptions!$B$13*Assumptions!H41*Assumptions!H45</f>
        <v>8250</v>
      </c>
      <c r="K10" s="52">
        <f>Assumptions!$B$13*Assumptions!I41*Assumptions!I45</f>
        <v>8250</v>
      </c>
      <c r="L10" s="52">
        <f>Assumptions!$B$13*Assumptions!J41*Assumptions!J45</f>
        <v>8250</v>
      </c>
      <c r="M10" s="52">
        <f>Assumptions!$B$13*Assumptions!K41*Assumptions!K45</f>
        <v>8250</v>
      </c>
      <c r="N10" s="52">
        <f>Assumptions!$B$13*Assumptions!L41*Assumptions!L45</f>
        <v>8250</v>
      </c>
      <c r="O10" s="52">
        <f>Assumptions!$B$13*Assumptions!M41*Assumptions!M45</f>
        <v>8250</v>
      </c>
      <c r="P10" s="52">
        <f>Assumptions!$B$13*Assumptions!N41*Assumptions!N45</f>
        <v>8250</v>
      </c>
    </row>
    <row r="11" spans="1:16" ht="12" thickBot="1" x14ac:dyDescent="0.25">
      <c r="B11" s="7" t="s">
        <v>50</v>
      </c>
      <c r="E11" s="52">
        <f>Assumptions!$B$14*Assumptions!C48</f>
        <v>750</v>
      </c>
      <c r="F11" s="52">
        <f>Assumptions!$B$14*Assumptions!D48</f>
        <v>1450</v>
      </c>
      <c r="G11" s="52">
        <f>Assumptions!$B$14*Assumptions!E48</f>
        <v>2050</v>
      </c>
      <c r="H11" s="52">
        <f>Assumptions!$B$14*Assumptions!F48</f>
        <v>2600</v>
      </c>
      <c r="I11" s="52">
        <f>Assumptions!$B$14*Assumptions!G48</f>
        <v>3100</v>
      </c>
      <c r="J11" s="52">
        <f>Assumptions!$B$14*Assumptions!H48</f>
        <v>3550</v>
      </c>
      <c r="K11" s="52">
        <f>Assumptions!$B$14*Assumptions!I48</f>
        <v>3950</v>
      </c>
      <c r="L11" s="52">
        <f>Assumptions!$B$14*Assumptions!J48</f>
        <v>4350</v>
      </c>
      <c r="M11" s="52">
        <f>Assumptions!$B$14*Assumptions!K48</f>
        <v>4650</v>
      </c>
      <c r="N11" s="52">
        <f>Assumptions!$B$14*Assumptions!L48</f>
        <v>4950</v>
      </c>
      <c r="O11" s="52">
        <f>Assumptions!$B$14*Assumptions!M48</f>
        <v>5250</v>
      </c>
      <c r="P11" s="52">
        <f>Assumptions!$B$14*Assumptions!N48</f>
        <v>5500</v>
      </c>
    </row>
    <row r="12" spans="1:16" ht="12.6" thickTop="1" x14ac:dyDescent="0.25">
      <c r="A12" s="9" t="s">
        <v>74</v>
      </c>
      <c r="E12" s="53">
        <f>SUM(E7:E11)</f>
        <v>42900</v>
      </c>
      <c r="F12" s="53">
        <f t="shared" ref="F12:P12" si="0">SUM(F7:F11)</f>
        <v>51356.875</v>
      </c>
      <c r="G12" s="53">
        <f t="shared" si="0"/>
        <v>82161.34375</v>
      </c>
      <c r="H12" s="53">
        <f t="shared" si="0"/>
        <v>129649.746875</v>
      </c>
      <c r="I12" s="53">
        <f t="shared" si="0"/>
        <v>135091.20988281249</v>
      </c>
      <c r="J12" s="53">
        <f t="shared" si="0"/>
        <v>140506.11122353515</v>
      </c>
      <c r="K12" s="53">
        <f t="shared" si="0"/>
        <v>145888.55053719261</v>
      </c>
      <c r="L12" s="53">
        <f t="shared" si="0"/>
        <v>151371.37200739951</v>
      </c>
      <c r="M12" s="53">
        <f t="shared" si="0"/>
        <v>156763.14863235052</v>
      </c>
      <c r="N12" s="53">
        <f t="shared" si="0"/>
        <v>162250.53349995805</v>
      </c>
      <c r="O12" s="53">
        <f t="shared" si="0"/>
        <v>167833.07921270447</v>
      </c>
      <c r="P12" s="53">
        <f t="shared" si="0"/>
        <v>173460.20782916181</v>
      </c>
    </row>
    <row r="15" spans="1:16" ht="12" x14ac:dyDescent="0.25">
      <c r="A15" s="9" t="s">
        <v>75</v>
      </c>
    </row>
    <row r="16" spans="1:16" ht="12" x14ac:dyDescent="0.25">
      <c r="A16" s="9"/>
      <c r="B16" s="3" t="s">
        <v>78</v>
      </c>
      <c r="E16" s="10">
        <f>Assumptions!$B$22*Assumptions!C41*Assumptions!C45</f>
        <v>5400</v>
      </c>
      <c r="F16" s="10">
        <f>Assumptions!$B$22*Assumptions!D41*Assumptions!D45</f>
        <v>5400</v>
      </c>
      <c r="G16" s="10">
        <f>Assumptions!$B$22*Assumptions!E41*Assumptions!E45</f>
        <v>5400</v>
      </c>
      <c r="H16" s="10">
        <f>Assumptions!$B$22*Assumptions!F41*Assumptions!F45</f>
        <v>5400</v>
      </c>
      <c r="I16" s="10">
        <f>Assumptions!$B$22*Assumptions!G41*Assumptions!G45</f>
        <v>5400</v>
      </c>
      <c r="J16" s="10">
        <f>Assumptions!$B$22*Assumptions!H41*Assumptions!H45</f>
        <v>5400</v>
      </c>
      <c r="K16" s="10">
        <f>Assumptions!$B$22*Assumptions!I41*Assumptions!I45</f>
        <v>5400</v>
      </c>
      <c r="L16" s="10">
        <f>Assumptions!$B$22*Assumptions!J41*Assumptions!J45</f>
        <v>5400</v>
      </c>
      <c r="M16" s="10">
        <f>Assumptions!$B$22*Assumptions!K41*Assumptions!K45</f>
        <v>5400</v>
      </c>
      <c r="N16" s="10">
        <f>Assumptions!$B$22*Assumptions!L41*Assumptions!L45</f>
        <v>5400</v>
      </c>
      <c r="O16" s="10">
        <f>Assumptions!$B$22*Assumptions!M41*Assumptions!M45</f>
        <v>5400</v>
      </c>
      <c r="P16" s="10">
        <f>Assumptions!$B$22*Assumptions!N41*Assumptions!N45</f>
        <v>5400</v>
      </c>
    </row>
    <row r="17" spans="1:16" x14ac:dyDescent="0.2">
      <c r="B17" s="7" t="s">
        <v>57</v>
      </c>
      <c r="E17" s="22">
        <f>Assumptions!$B$23</f>
        <v>30000</v>
      </c>
      <c r="F17" s="22">
        <f>E17*(1+Assumptions!$B$29/4)</f>
        <v>30300</v>
      </c>
      <c r="G17" s="22">
        <f>F17*(1+Assumptions!$B$29/4)</f>
        <v>30603</v>
      </c>
      <c r="H17" s="22">
        <f>G17*(1+Assumptions!$B$29/4)</f>
        <v>30909.03</v>
      </c>
      <c r="I17" s="22">
        <f>H17*(1+Assumptions!$B$29/4)</f>
        <v>31218.120299999999</v>
      </c>
      <c r="J17" s="22">
        <f>I17*(1+Assumptions!$B$29/4)</f>
        <v>31530.301502999999</v>
      </c>
      <c r="K17" s="22">
        <f>J17*(1+Assumptions!$B$29/4)</f>
        <v>31845.604518029999</v>
      </c>
      <c r="L17" s="22">
        <f>K17*(1+Assumptions!$B$29/4)</f>
        <v>32164.0605632103</v>
      </c>
      <c r="M17" s="22">
        <f>L17*(1+Assumptions!$B$29/4)</f>
        <v>32485.701168842403</v>
      </c>
      <c r="N17" s="22">
        <f>M17*(1+Assumptions!$B$29/4)</f>
        <v>32810.558180530825</v>
      </c>
      <c r="O17" s="22">
        <f>N17*(1+Assumptions!$B$29/4)</f>
        <v>33138.663762336131</v>
      </c>
      <c r="P17" s="22">
        <f>O17*(1+Assumptions!$B$29/4)</f>
        <v>33470.050399959495</v>
      </c>
    </row>
    <row r="18" spans="1:16" x14ac:dyDescent="0.2">
      <c r="B18" s="7" t="s">
        <v>58</v>
      </c>
      <c r="E18" s="22">
        <f>Assumptions!$B$24</f>
        <v>15000</v>
      </c>
      <c r="F18" s="22">
        <f>E18*(1+Assumptions!$B$29/4)</f>
        <v>15150</v>
      </c>
      <c r="G18" s="22">
        <f>F18*(1+Assumptions!$B$29/4)</f>
        <v>15301.5</v>
      </c>
      <c r="H18" s="22">
        <f>G18*(1+Assumptions!$B$29/4)</f>
        <v>15454.514999999999</v>
      </c>
      <c r="I18" s="22">
        <f>H18*(1+Assumptions!$B$29/4)</f>
        <v>15609.060149999999</v>
      </c>
      <c r="J18" s="22">
        <f>I18*(1+Assumptions!$B$29/4)</f>
        <v>15765.150751499999</v>
      </c>
      <c r="K18" s="22">
        <f>J18*(1+Assumptions!$B$29/4)</f>
        <v>15922.802259014999</v>
      </c>
      <c r="L18" s="22">
        <f>K18*(1+Assumptions!$B$29/4)</f>
        <v>16082.03028160515</v>
      </c>
      <c r="M18" s="22">
        <f>L18*(1+Assumptions!$B$29/4)</f>
        <v>16242.850584421201</v>
      </c>
      <c r="N18" s="22">
        <f>M18*(1+Assumptions!$B$29/4)</f>
        <v>16405.279090265412</v>
      </c>
      <c r="O18" s="22">
        <f>N18*(1+Assumptions!$B$29/4)</f>
        <v>16569.331881168066</v>
      </c>
      <c r="P18" s="22">
        <f>O18*(1+Assumptions!$B$29/4)</f>
        <v>16735.025199979747</v>
      </c>
    </row>
    <row r="19" spans="1:16" x14ac:dyDescent="0.2">
      <c r="B19" s="7" t="s">
        <v>59</v>
      </c>
      <c r="E19" s="22">
        <f>Assumptions!$B$25</f>
        <v>1500</v>
      </c>
      <c r="F19" s="22">
        <f>E19*(1+Assumptions!$B$29/4)</f>
        <v>1515</v>
      </c>
      <c r="G19" s="22">
        <f>F19*(1+Assumptions!$B$29/4)</f>
        <v>1530.15</v>
      </c>
      <c r="H19" s="22">
        <f>G19*(1+Assumptions!$B$29/4)</f>
        <v>1545.4515000000001</v>
      </c>
      <c r="I19" s="22">
        <f>H19*(1+Assumptions!$B$29/4)</f>
        <v>1560.9060150000003</v>
      </c>
      <c r="J19" s="22">
        <f>I19*(1+Assumptions!$B$29/4)</f>
        <v>1576.5150751500003</v>
      </c>
      <c r="K19" s="22">
        <f>J19*(1+Assumptions!$B$29/4)</f>
        <v>1592.2802259015002</v>
      </c>
      <c r="L19" s="22">
        <f>K19*(1+Assumptions!$B$29/4)</f>
        <v>1608.2030281605153</v>
      </c>
      <c r="M19" s="22">
        <f>L19*(1+Assumptions!$B$29/4)</f>
        <v>1624.2850584421203</v>
      </c>
      <c r="N19" s="22">
        <f>M19*(1+Assumptions!$B$29/4)</f>
        <v>1640.5279090265415</v>
      </c>
      <c r="O19" s="22">
        <f>N19*(1+Assumptions!$B$29/4)</f>
        <v>1656.9331881168068</v>
      </c>
      <c r="P19" s="22">
        <f>O19*(1+Assumptions!$B$29/4)</f>
        <v>1673.502519997975</v>
      </c>
    </row>
    <row r="20" spans="1:16" x14ac:dyDescent="0.2">
      <c r="B20" s="7" t="s">
        <v>61</v>
      </c>
      <c r="E20" s="22">
        <f>Assumptions!$B$26</f>
        <v>20000</v>
      </c>
      <c r="F20" s="22">
        <f>E20*(1+Assumptions!$B$29/4)</f>
        <v>20200</v>
      </c>
      <c r="G20" s="22">
        <f>F20*(1+Assumptions!$B$29/4)</f>
        <v>20402</v>
      </c>
      <c r="H20" s="22">
        <f>G20*(1+Assumptions!$B$29/4)</f>
        <v>20606.02</v>
      </c>
      <c r="I20" s="22">
        <f>H20*(1+Assumptions!$B$29/4)</f>
        <v>20812.0802</v>
      </c>
      <c r="J20" s="22">
        <f>I20*(1+Assumptions!$B$29/4)</f>
        <v>21020.201002000002</v>
      </c>
      <c r="K20" s="22">
        <f>J20*(1+Assumptions!$B$29/4)</f>
        <v>21230.40301202</v>
      </c>
      <c r="L20" s="22">
        <f>K20*(1+Assumptions!$B$29/4)</f>
        <v>21442.707042140202</v>
      </c>
      <c r="M20" s="22">
        <f>L20*(1+Assumptions!$B$29/4)</f>
        <v>21657.134112561605</v>
      </c>
      <c r="N20" s="22">
        <f>M20*(1+Assumptions!$B$29/4)</f>
        <v>21873.70545368722</v>
      </c>
      <c r="O20" s="22">
        <f>N20*(1+Assumptions!$B$29/4)</f>
        <v>22092.442508224092</v>
      </c>
      <c r="P20" s="22">
        <f>O20*(1+Assumptions!$B$29/4)</f>
        <v>22313.366933306334</v>
      </c>
    </row>
    <row r="21" spans="1:16" x14ac:dyDescent="0.2">
      <c r="B21" s="7" t="s">
        <v>62</v>
      </c>
      <c r="E21" s="22">
        <f>Assumptions!$B$27</f>
        <v>9800</v>
      </c>
      <c r="F21" s="22">
        <f>E21*(1+Assumptions!$B$29/4)</f>
        <v>9898</v>
      </c>
      <c r="G21" s="22">
        <f>F21*(1+Assumptions!$B$29/4)</f>
        <v>9996.98</v>
      </c>
      <c r="H21" s="22">
        <f>G21*(1+Assumptions!$B$29/4)</f>
        <v>10096.9498</v>
      </c>
      <c r="I21" s="22">
        <f>H21*(1+Assumptions!$B$29/4)</f>
        <v>10197.919298000001</v>
      </c>
      <c r="J21" s="22">
        <f>I21*(1+Assumptions!$B$29/4)</f>
        <v>10299.89849098</v>
      </c>
      <c r="K21" s="22">
        <f>J21*(1+Assumptions!$B$29/4)</f>
        <v>10402.8974758898</v>
      </c>
      <c r="L21" s="22">
        <f>K21*(1+Assumptions!$B$29/4)</f>
        <v>10506.926450648698</v>
      </c>
      <c r="M21" s="22">
        <f>L21*(1+Assumptions!$B$29/4)</f>
        <v>10611.995715155184</v>
      </c>
      <c r="N21" s="22">
        <f>M21*(1+Assumptions!$B$29/4)</f>
        <v>10718.115672306736</v>
      </c>
      <c r="O21" s="22">
        <f>N21*(1+Assumptions!$B$29/4)</f>
        <v>10825.296829029803</v>
      </c>
      <c r="P21" s="22">
        <f>O21*(1+Assumptions!$B$29/4)</f>
        <v>10933.549797320102</v>
      </c>
    </row>
    <row r="22" spans="1:16" x14ac:dyDescent="0.2">
      <c r="B22" s="7" t="s">
        <v>76</v>
      </c>
      <c r="E22" s="22">
        <f>Assumptions!$B$28</f>
        <v>0</v>
      </c>
      <c r="F22" s="22">
        <f>E22*(1+Assumptions!$B$29/4)</f>
        <v>0</v>
      </c>
      <c r="G22" s="22">
        <f>F22*(1+Assumptions!$B$29/4)</f>
        <v>0</v>
      </c>
      <c r="H22" s="22">
        <f>G22*(1+Assumptions!$B$29/4)</f>
        <v>0</v>
      </c>
      <c r="I22" s="22">
        <f>H22*(1+Assumptions!$B$29/4)</f>
        <v>0</v>
      </c>
      <c r="J22" s="22">
        <f>I22*(1+Assumptions!$B$29/4)</f>
        <v>0</v>
      </c>
      <c r="K22" s="22">
        <f>J22*(1+Assumptions!$B$29/4)</f>
        <v>0</v>
      </c>
      <c r="L22" s="22">
        <f>K22*(1+Assumptions!$B$29/4)</f>
        <v>0</v>
      </c>
      <c r="M22" s="22">
        <f>L22*(1+Assumptions!$B$29/4)</f>
        <v>0</v>
      </c>
      <c r="N22" s="22">
        <f>M22*(1+Assumptions!$B$29/4)</f>
        <v>0</v>
      </c>
      <c r="O22" s="22">
        <f>N22*(1+Assumptions!$B$29/4)</f>
        <v>0</v>
      </c>
      <c r="P22" s="22">
        <f>O22*(1+Assumptions!$B$29/4)</f>
        <v>0</v>
      </c>
    </row>
    <row r="23" spans="1:16" s="9" customFormat="1" ht="12" x14ac:dyDescent="0.25">
      <c r="A23" s="9" t="s">
        <v>80</v>
      </c>
      <c r="E23" s="24">
        <f>SUM(E16:E22)</f>
        <v>81700</v>
      </c>
      <c r="F23" s="25">
        <f t="shared" ref="F23:P23" si="1">SUM(F16:F22)</f>
        <v>82463</v>
      </c>
      <c r="G23" s="25">
        <f t="shared" si="1"/>
        <v>83233.62999999999</v>
      </c>
      <c r="H23" s="25">
        <f t="shared" si="1"/>
        <v>84011.9663</v>
      </c>
      <c r="I23" s="25">
        <f t="shared" si="1"/>
        <v>84798.08596299999</v>
      </c>
      <c r="J23" s="25">
        <f t="shared" si="1"/>
        <v>85592.066822630004</v>
      </c>
      <c r="K23" s="25">
        <f t="shared" si="1"/>
        <v>86393.987490856292</v>
      </c>
      <c r="L23" s="25">
        <f t="shared" si="1"/>
        <v>87203.927365764859</v>
      </c>
      <c r="M23" s="25">
        <f t="shared" si="1"/>
        <v>88021.966639422506</v>
      </c>
      <c r="N23" s="25">
        <f t="shared" si="1"/>
        <v>88848.186305816736</v>
      </c>
      <c r="O23" s="25">
        <f t="shared" si="1"/>
        <v>89682.668168874894</v>
      </c>
      <c r="P23" s="25">
        <f t="shared" si="1"/>
        <v>90525.494850563642</v>
      </c>
    </row>
    <row r="24" spans="1:16" ht="12" x14ac:dyDescent="0.25">
      <c r="A24" s="9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ht="12" x14ac:dyDescent="0.25">
      <c r="A25" s="9" t="s">
        <v>82</v>
      </c>
      <c r="E25" s="37">
        <f>E12-E23</f>
        <v>-38800</v>
      </c>
      <c r="F25" s="37">
        <f t="shared" ref="F25:P25" si="2">F12-F23</f>
        <v>-31106.125</v>
      </c>
      <c r="G25" s="37">
        <f t="shared" si="2"/>
        <v>-1072.2862499999901</v>
      </c>
      <c r="H25" s="37">
        <f t="shared" si="2"/>
        <v>45637.780574999997</v>
      </c>
      <c r="I25" s="37">
        <f t="shared" si="2"/>
        <v>50293.123919812497</v>
      </c>
      <c r="J25" s="37">
        <f t="shared" si="2"/>
        <v>54914.044400905143</v>
      </c>
      <c r="K25" s="37">
        <f t="shared" si="2"/>
        <v>59494.56304633632</v>
      </c>
      <c r="L25" s="37">
        <f t="shared" si="2"/>
        <v>64167.444641634647</v>
      </c>
      <c r="M25" s="37">
        <f t="shared" si="2"/>
        <v>68741.181992928017</v>
      </c>
      <c r="N25" s="37">
        <f t="shared" si="2"/>
        <v>73402.347194141315</v>
      </c>
      <c r="O25" s="37">
        <f t="shared" si="2"/>
        <v>78150.411043829576</v>
      </c>
      <c r="P25" s="37">
        <f t="shared" si="2"/>
        <v>82934.712978598167</v>
      </c>
    </row>
    <row r="26" spans="1:16" x14ac:dyDescent="0.2">
      <c r="B26" s="3" t="s">
        <v>84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</row>
    <row r="27" spans="1:16" x14ac:dyDescent="0.2">
      <c r="B27" s="3" t="s">
        <v>83</v>
      </c>
      <c r="E27" s="36">
        <f>IF(E25&gt;0,E25*Assumptions!$B$30,0)</f>
        <v>0</v>
      </c>
      <c r="F27" s="37">
        <f>IF(F25&gt;0,F25*Assumptions!$B$30,0)</f>
        <v>0</v>
      </c>
      <c r="G27" s="37">
        <f>IF(G25&gt;0,G25*Assumptions!$B$30,0)</f>
        <v>0</v>
      </c>
      <c r="H27" s="37">
        <f>IF(H25&gt;0,H25*Assumptions!$B$30,0)</f>
        <v>2281.8890287499999</v>
      </c>
      <c r="I27" s="37">
        <f>IF(I25&gt;0,I25*Assumptions!$B$30,0)</f>
        <v>2514.6561959906248</v>
      </c>
      <c r="J27" s="37">
        <f>IF(J25&gt;0,J25*Assumptions!$B$30,0)</f>
        <v>2745.7022200452575</v>
      </c>
      <c r="K27" s="37">
        <f>IF(K25&gt;0,K25*Assumptions!$B$30,0)</f>
        <v>2974.7281523168162</v>
      </c>
      <c r="L27" s="37">
        <f>IF(L25&gt;0,L25*Assumptions!$B$30,0)</f>
        <v>3208.3722320817324</v>
      </c>
      <c r="M27" s="37">
        <f>IF(M25&gt;0,M25*Assumptions!$B$30,0)</f>
        <v>3437.0590996464011</v>
      </c>
      <c r="N27" s="37">
        <f>IF(N25&gt;0,N25*Assumptions!$B$30,0)</f>
        <v>3670.117359707066</v>
      </c>
      <c r="O27" s="37">
        <f>IF(O25&gt;0,O25*Assumptions!$B$30,0)</f>
        <v>3907.5205521914791</v>
      </c>
      <c r="P27" s="37">
        <f>IF(P25&gt;0,P25*Assumptions!$B$30,0)</f>
        <v>4146.7356489299082</v>
      </c>
    </row>
    <row r="28" spans="1:16" ht="12" thickBot="1" x14ac:dyDescent="0.25"/>
    <row r="29" spans="1:16" s="9" customFormat="1" ht="12.6" thickBot="1" x14ac:dyDescent="0.3">
      <c r="A29" s="27" t="s">
        <v>81</v>
      </c>
      <c r="B29" s="27"/>
      <c r="C29" s="27"/>
      <c r="D29" s="27"/>
      <c r="E29" s="51">
        <f>E25-E26-E27</f>
        <v>-38800</v>
      </c>
      <c r="F29" s="51">
        <f t="shared" ref="F29:P29" si="3">F25-F26-F27</f>
        <v>-31106.125</v>
      </c>
      <c r="G29" s="51">
        <f t="shared" si="3"/>
        <v>-1072.2862499999901</v>
      </c>
      <c r="H29" s="51">
        <f t="shared" si="3"/>
        <v>43355.891546250001</v>
      </c>
      <c r="I29" s="51">
        <f t="shared" si="3"/>
        <v>47778.467723821872</v>
      </c>
      <c r="J29" s="51">
        <f t="shared" si="3"/>
        <v>52168.342180859887</v>
      </c>
      <c r="K29" s="51">
        <f t="shared" si="3"/>
        <v>56519.834894019506</v>
      </c>
      <c r="L29" s="51">
        <f t="shared" si="3"/>
        <v>60959.072409552915</v>
      </c>
      <c r="M29" s="51">
        <f t="shared" si="3"/>
        <v>65304.122893281616</v>
      </c>
      <c r="N29" s="51">
        <f t="shared" si="3"/>
        <v>69732.229834434256</v>
      </c>
      <c r="O29" s="51">
        <f t="shared" si="3"/>
        <v>74242.8904916381</v>
      </c>
      <c r="P29" s="51">
        <f t="shared" si="3"/>
        <v>78787.977329668254</v>
      </c>
    </row>
    <row r="30" spans="1:16" ht="12" thickTop="1" x14ac:dyDescent="0.2"/>
    <row r="32" spans="1:16" ht="12" x14ac:dyDescent="0.25">
      <c r="A32" s="68" t="s">
        <v>86</v>
      </c>
      <c r="B32" s="68"/>
      <c r="C32" s="68"/>
      <c r="D32" s="68"/>
      <c r="E32" s="68"/>
      <c r="F32" s="68"/>
      <c r="G32" s="68"/>
    </row>
    <row r="33" spans="1:7" ht="12" x14ac:dyDescent="0.25">
      <c r="A33" s="32"/>
      <c r="B33" s="32"/>
      <c r="C33" s="32"/>
      <c r="D33" s="32"/>
      <c r="E33" s="31" t="s">
        <v>14</v>
      </c>
      <c r="F33" s="31" t="s">
        <v>15</v>
      </c>
      <c r="G33" s="31" t="s">
        <v>16</v>
      </c>
    </row>
    <row r="34" spans="1:7" ht="12" x14ac:dyDescent="0.25">
      <c r="A34" s="2" t="s">
        <v>73</v>
      </c>
    </row>
    <row r="35" spans="1:7" x14ac:dyDescent="0.2">
      <c r="B35" s="3" t="s">
        <v>18</v>
      </c>
      <c r="E35" s="23">
        <f>SUM(E7:H7)</f>
        <v>163125</v>
      </c>
      <c r="F35" s="23">
        <f>SUM(I7:L7)</f>
        <v>391826.72164117428</v>
      </c>
      <c r="G35" s="23">
        <f>SUM(M7:P7)</f>
        <v>448198.28506552504</v>
      </c>
    </row>
    <row r="36" spans="1:7" x14ac:dyDescent="0.2">
      <c r="B36" s="7" t="s">
        <v>19</v>
      </c>
      <c r="E36" s="23">
        <f t="shared" ref="E36:E40" si="4">SUM(E8:H8)</f>
        <v>21492.965624999997</v>
      </c>
      <c r="F36" s="23">
        <f t="shared" ref="F36:F40" si="5">SUM(I8:L8)</f>
        <v>51480.522009765438</v>
      </c>
      <c r="G36" s="23">
        <f t="shared" ref="G36:G40" si="6">SUM(M8:P8)</f>
        <v>77158.684108649846</v>
      </c>
    </row>
    <row r="37" spans="1:7" x14ac:dyDescent="0.2">
      <c r="B37" s="7" t="s">
        <v>20</v>
      </c>
      <c r="E37" s="23">
        <f t="shared" si="4"/>
        <v>81600</v>
      </c>
      <c r="F37" s="23">
        <f t="shared" si="5"/>
        <v>81600</v>
      </c>
      <c r="G37" s="23">
        <f t="shared" si="6"/>
        <v>81600</v>
      </c>
    </row>
    <row r="38" spans="1:7" x14ac:dyDescent="0.2">
      <c r="B38" s="7" t="s">
        <v>22</v>
      </c>
      <c r="E38" s="23">
        <f t="shared" si="4"/>
        <v>33000</v>
      </c>
      <c r="F38" s="23">
        <f t="shared" si="5"/>
        <v>33000</v>
      </c>
      <c r="G38" s="23">
        <f t="shared" si="6"/>
        <v>33000</v>
      </c>
    </row>
    <row r="39" spans="1:7" ht="12" thickBot="1" x14ac:dyDescent="0.25">
      <c r="B39" s="7" t="s">
        <v>50</v>
      </c>
      <c r="E39" s="23">
        <f t="shared" si="4"/>
        <v>6850</v>
      </c>
      <c r="F39" s="23">
        <f t="shared" si="5"/>
        <v>14950</v>
      </c>
      <c r="G39" s="23">
        <f t="shared" si="6"/>
        <v>20350</v>
      </c>
    </row>
    <row r="40" spans="1:7" ht="12" x14ac:dyDescent="0.25">
      <c r="A40" s="9" t="s">
        <v>74</v>
      </c>
      <c r="E40" s="29">
        <f t="shared" si="4"/>
        <v>306067.96562500001</v>
      </c>
      <c r="F40" s="29">
        <f t="shared" si="5"/>
        <v>572857.24365093978</v>
      </c>
      <c r="G40" s="29">
        <f t="shared" si="6"/>
        <v>660306.96917417482</v>
      </c>
    </row>
    <row r="43" spans="1:7" ht="12" x14ac:dyDescent="0.25">
      <c r="A43" s="9" t="s">
        <v>75</v>
      </c>
    </row>
    <row r="44" spans="1:7" ht="12" x14ac:dyDescent="0.25">
      <c r="A44" s="9"/>
      <c r="B44" s="3" t="s">
        <v>78</v>
      </c>
      <c r="E44" s="23">
        <f t="shared" ref="E44:E51" si="7">SUM(E16:H16)</f>
        <v>21600</v>
      </c>
      <c r="F44" s="23">
        <f t="shared" ref="F44:F51" si="8">SUM(I16:L16)</f>
        <v>21600</v>
      </c>
      <c r="G44" s="23">
        <f t="shared" ref="G44:G51" si="9">SUM(M16:P16)</f>
        <v>21600</v>
      </c>
    </row>
    <row r="45" spans="1:7" x14ac:dyDescent="0.2">
      <c r="B45" s="7" t="s">
        <v>57</v>
      </c>
      <c r="E45" s="23">
        <f t="shared" si="7"/>
        <v>121812.03</v>
      </c>
      <c r="F45" s="23">
        <f t="shared" si="8"/>
        <v>126758.08688424029</v>
      </c>
      <c r="G45" s="23">
        <f t="shared" si="9"/>
        <v>131904.97351166885</v>
      </c>
    </row>
    <row r="46" spans="1:7" x14ac:dyDescent="0.2">
      <c r="B46" s="7" t="s">
        <v>58</v>
      </c>
      <c r="E46" s="23">
        <f t="shared" si="7"/>
        <v>60906.014999999999</v>
      </c>
      <c r="F46" s="23">
        <f t="shared" si="8"/>
        <v>63379.043442120143</v>
      </c>
      <c r="G46" s="23">
        <f t="shared" si="9"/>
        <v>65952.486755834427</v>
      </c>
    </row>
    <row r="47" spans="1:7" x14ac:dyDescent="0.2">
      <c r="B47" s="7" t="s">
        <v>59</v>
      </c>
      <c r="E47" s="23">
        <f t="shared" si="7"/>
        <v>6090.6014999999998</v>
      </c>
      <c r="F47" s="23">
        <f t="shared" si="8"/>
        <v>6337.9043442120164</v>
      </c>
      <c r="G47" s="23">
        <f t="shared" si="9"/>
        <v>6595.2486755834434</v>
      </c>
    </row>
    <row r="48" spans="1:7" x14ac:dyDescent="0.2">
      <c r="B48" s="7" t="s">
        <v>61</v>
      </c>
      <c r="E48" s="23">
        <f t="shared" si="7"/>
        <v>81208.02</v>
      </c>
      <c r="F48" s="23">
        <f t="shared" si="8"/>
        <v>84505.391256160205</v>
      </c>
      <c r="G48" s="23">
        <f t="shared" si="9"/>
        <v>87936.649007779255</v>
      </c>
    </row>
    <row r="49" spans="1:7" x14ac:dyDescent="0.2">
      <c r="B49" s="7" t="s">
        <v>62</v>
      </c>
      <c r="E49" s="23">
        <f t="shared" si="7"/>
        <v>39791.929799999998</v>
      </c>
      <c r="F49" s="23">
        <f t="shared" si="8"/>
        <v>41407.641715518497</v>
      </c>
      <c r="G49" s="23">
        <f t="shared" si="9"/>
        <v>43088.958013811818</v>
      </c>
    </row>
    <row r="50" spans="1:7" x14ac:dyDescent="0.2">
      <c r="B50" s="7" t="s">
        <v>76</v>
      </c>
      <c r="E50" s="23">
        <f t="shared" si="7"/>
        <v>0</v>
      </c>
      <c r="F50" s="23">
        <f t="shared" si="8"/>
        <v>0</v>
      </c>
      <c r="G50" s="23">
        <f t="shared" si="9"/>
        <v>0</v>
      </c>
    </row>
    <row r="51" spans="1:7" ht="12" x14ac:dyDescent="0.25">
      <c r="A51" s="9" t="s">
        <v>80</v>
      </c>
      <c r="E51" s="26">
        <f t="shared" si="7"/>
        <v>331408.59629999998</v>
      </c>
      <c r="F51" s="26">
        <f t="shared" si="8"/>
        <v>343988.06764225115</v>
      </c>
      <c r="G51" s="26">
        <f t="shared" si="9"/>
        <v>357078.31596467778</v>
      </c>
    </row>
    <row r="52" spans="1:7" ht="12" x14ac:dyDescent="0.25">
      <c r="A52" s="9"/>
      <c r="E52" s="24"/>
      <c r="F52" s="24"/>
      <c r="G52" s="24"/>
    </row>
    <row r="53" spans="1:7" ht="12" x14ac:dyDescent="0.25">
      <c r="A53" s="9" t="s">
        <v>82</v>
      </c>
      <c r="E53" s="23">
        <f t="shared" ref="E53" si="10">SUM(E25:H25)</f>
        <v>-25340.630674999993</v>
      </c>
      <c r="F53" s="23">
        <f t="shared" ref="F53" si="11">SUM(I25:L25)</f>
        <v>228869.17600868861</v>
      </c>
      <c r="G53" s="23">
        <f t="shared" ref="G53" si="12">SUM(M25:P25)</f>
        <v>303228.6532094971</v>
      </c>
    </row>
    <row r="54" spans="1:7" x14ac:dyDescent="0.2">
      <c r="B54" s="3" t="s">
        <v>84</v>
      </c>
      <c r="E54" s="23">
        <f t="shared" ref="E54:E55" si="13">SUM(E26:H26)</f>
        <v>0</v>
      </c>
      <c r="F54" s="23">
        <f t="shared" ref="F54:F55" si="14">SUM(I26:L26)</f>
        <v>0</v>
      </c>
      <c r="G54" s="23">
        <f t="shared" ref="G54:G55" si="15">SUM(M26:P26)</f>
        <v>0</v>
      </c>
    </row>
    <row r="55" spans="1:7" x14ac:dyDescent="0.2">
      <c r="B55" s="3" t="s">
        <v>83</v>
      </c>
      <c r="E55" s="23">
        <f t="shared" si="13"/>
        <v>2281.8890287499999</v>
      </c>
      <c r="F55" s="23">
        <f t="shared" si="14"/>
        <v>11443.458800434431</v>
      </c>
      <c r="G55" s="23">
        <f t="shared" si="15"/>
        <v>15161.432660474853</v>
      </c>
    </row>
    <row r="56" spans="1:7" ht="12" thickBot="1" x14ac:dyDescent="0.25"/>
    <row r="57" spans="1:7" ht="12.6" thickBot="1" x14ac:dyDescent="0.3">
      <c r="A57" s="27" t="s">
        <v>81</v>
      </c>
      <c r="B57" s="30"/>
      <c r="C57" s="30"/>
      <c r="D57" s="30"/>
      <c r="E57" s="28">
        <f t="shared" ref="E57" si="16">SUM(E29:H29)</f>
        <v>-27622.519703749989</v>
      </c>
      <c r="F57" s="28">
        <f t="shared" ref="F57" si="17">SUM(I29:L29)</f>
        <v>217425.71720825415</v>
      </c>
      <c r="G57" s="28">
        <f t="shared" ref="G57" si="18">SUM(M29:P29)</f>
        <v>288067.2205490222</v>
      </c>
    </row>
    <row r="58" spans="1:7" ht="12" thickTop="1" x14ac:dyDescent="0.2"/>
    <row r="61" spans="1:7" ht="12" x14ac:dyDescent="0.25">
      <c r="D61" s="69" t="s">
        <v>89</v>
      </c>
      <c r="E61" s="69"/>
      <c r="F61" s="69"/>
    </row>
    <row r="62" spans="1:7" ht="12" x14ac:dyDescent="0.25">
      <c r="D62" s="38" t="s">
        <v>90</v>
      </c>
      <c r="E62" s="38" t="s">
        <v>91</v>
      </c>
      <c r="F62" s="38" t="s">
        <v>92</v>
      </c>
    </row>
    <row r="63" spans="1:7" x14ac:dyDescent="0.2">
      <c r="D63" s="39" t="s">
        <v>93</v>
      </c>
      <c r="E63" s="40">
        <v>35000</v>
      </c>
      <c r="F63" s="41">
        <f>E63/$E$67</f>
        <v>0.59322033898305082</v>
      </c>
    </row>
    <row r="64" spans="1:7" x14ac:dyDescent="0.2">
      <c r="D64" s="39" t="s">
        <v>96</v>
      </c>
      <c r="E64" s="40">
        <v>12000</v>
      </c>
      <c r="F64" s="41">
        <f>E64/$E$67</f>
        <v>0.20338983050847459</v>
      </c>
    </row>
    <row r="65" spans="4:7" x14ac:dyDescent="0.2">
      <c r="D65" s="39" t="s">
        <v>94</v>
      </c>
      <c r="E65" s="40">
        <v>5000</v>
      </c>
      <c r="F65" s="41">
        <f>E65/$E$67</f>
        <v>8.4745762711864403E-2</v>
      </c>
    </row>
    <row r="66" spans="4:7" x14ac:dyDescent="0.2">
      <c r="D66" s="39" t="s">
        <v>97</v>
      </c>
      <c r="E66" s="40">
        <v>7000</v>
      </c>
      <c r="F66" s="41">
        <f>E66/$E$67</f>
        <v>0.11864406779661017</v>
      </c>
    </row>
    <row r="67" spans="4:7" ht="12.6" thickBot="1" x14ac:dyDescent="0.3">
      <c r="D67" s="42" t="s">
        <v>95</v>
      </c>
      <c r="E67" s="43">
        <f>SUM(E63:E66)</f>
        <v>59000</v>
      </c>
      <c r="F67" s="44">
        <f>SUM(F63:F66)</f>
        <v>1</v>
      </c>
    </row>
    <row r="70" spans="4:7" ht="12" x14ac:dyDescent="0.25">
      <c r="D70" s="66" t="s">
        <v>102</v>
      </c>
      <c r="E70" s="67"/>
      <c r="F70" s="67"/>
      <c r="G70" s="67"/>
    </row>
    <row r="71" spans="4:7" ht="12" x14ac:dyDescent="0.25">
      <c r="D71" s="38" t="s">
        <v>98</v>
      </c>
      <c r="E71" s="38" t="s">
        <v>14</v>
      </c>
      <c r="F71" s="38" t="s">
        <v>15</v>
      </c>
      <c r="G71" s="38" t="s">
        <v>16</v>
      </c>
    </row>
    <row r="72" spans="4:7" x14ac:dyDescent="0.2">
      <c r="D72" s="6" t="s">
        <v>99</v>
      </c>
      <c r="E72" s="45">
        <v>400219.66055999999</v>
      </c>
      <c r="F72" s="45">
        <v>800948.83480902691</v>
      </c>
      <c r="G72" s="45">
        <v>1065458.3478409117</v>
      </c>
    </row>
    <row r="73" spans="4:7" x14ac:dyDescent="0.2">
      <c r="D73" s="6" t="s">
        <v>100</v>
      </c>
      <c r="E73" s="45">
        <v>306067.96562500001</v>
      </c>
      <c r="F73" s="45">
        <v>572857.24365093978</v>
      </c>
      <c r="G73" s="45">
        <v>660306.96917417482</v>
      </c>
    </row>
    <row r="74" spans="4:7" x14ac:dyDescent="0.2">
      <c r="D74" s="6" t="s">
        <v>101</v>
      </c>
      <c r="E74" s="45">
        <v>223775.80697599999</v>
      </c>
      <c r="F74" s="45">
        <v>414847.58275739377</v>
      </c>
      <c r="G74" s="45">
        <v>463506.31702225446</v>
      </c>
    </row>
    <row r="76" spans="4:7" ht="12" x14ac:dyDescent="0.25">
      <c r="D76" s="66" t="s">
        <v>103</v>
      </c>
      <c r="E76" s="67"/>
      <c r="F76" s="67"/>
      <c r="G76" s="67"/>
    </row>
    <row r="77" spans="4:7" ht="12" x14ac:dyDescent="0.25">
      <c r="D77" s="38" t="s">
        <v>98</v>
      </c>
      <c r="E77" s="38" t="s">
        <v>14</v>
      </c>
      <c r="F77" s="38" t="s">
        <v>15</v>
      </c>
      <c r="G77" s="38" t="s">
        <v>16</v>
      </c>
    </row>
    <row r="78" spans="4:7" x14ac:dyDescent="0.2">
      <c r="D78" s="6" t="s">
        <v>99</v>
      </c>
      <c r="E78" s="45">
        <v>122651.56774481919</v>
      </c>
      <c r="F78" s="45">
        <v>500118.99188223667</v>
      </c>
      <c r="G78" s="45">
        <v>746116.65012245649</v>
      </c>
    </row>
    <row r="79" spans="4:7" x14ac:dyDescent="0.2">
      <c r="D79" s="6" t="s">
        <v>100</v>
      </c>
      <c r="E79" s="45">
        <v>-27622.519703749989</v>
      </c>
      <c r="F79" s="45">
        <v>217425.71720825415</v>
      </c>
      <c r="G79" s="45">
        <v>288067.2205490222</v>
      </c>
    </row>
    <row r="80" spans="4:7" x14ac:dyDescent="0.2">
      <c r="D80" s="6" t="s">
        <v>101</v>
      </c>
      <c r="E80" s="45">
        <v>-165698.20979968001</v>
      </c>
      <c r="F80" s="45">
        <v>6666.5057483537839</v>
      </c>
      <c r="G80" s="45">
        <v>34493.503423309776</v>
      </c>
    </row>
  </sheetData>
  <mergeCells count="5">
    <mergeCell ref="D76:G76"/>
    <mergeCell ref="A4:P4"/>
    <mergeCell ref="A32:G32"/>
    <mergeCell ref="D61:F61"/>
    <mergeCell ref="D70:G70"/>
  </mergeCells>
  <conditionalFormatting sqref="E53:G53">
    <cfRule type="cellIs" dxfId="5" priority="3" operator="lessThan">
      <formula>0</formula>
    </cfRule>
  </conditionalFormatting>
  <conditionalFormatting sqref="E57:G57">
    <cfRule type="cellIs" dxfId="4" priority="2" operator="lessThan">
      <formula>0</formula>
    </cfRule>
  </conditionalFormatting>
  <conditionalFormatting sqref="E78:G80">
    <cfRule type="cellIs" dxfId="3" priority="1" operator="lessThan">
      <formula>0</formula>
    </cfRule>
  </conditionalFormatting>
  <conditionalFormatting sqref="E25:P25">
    <cfRule type="cellIs" dxfId="2" priority="5" operator="lessThan">
      <formula>0</formula>
    </cfRule>
  </conditionalFormatting>
  <conditionalFormatting sqref="E29:P29">
    <cfRule type="cellIs" dxfId="1" priority="4" operator="lessThan">
      <formula>0</formula>
    </cfRule>
    <cfRule type="cellIs" dxfId="0" priority="6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Dhoot</dc:creator>
  <cp:lastModifiedBy>Nikhil Dhoot</cp:lastModifiedBy>
  <dcterms:created xsi:type="dcterms:W3CDTF">2015-06-05T18:17:20Z</dcterms:created>
  <dcterms:modified xsi:type="dcterms:W3CDTF">2025-03-31T07:20:14Z</dcterms:modified>
</cp:coreProperties>
</file>