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8616E710-5BF1-4060-8D62-3A7425A417A2}" xr6:coauthVersionLast="34" xr6:coauthVersionMax="34" xr10:uidLastSave="{00000000-0000-0000-0000-000000000000}"/>
  <bookViews>
    <workbookView xWindow="240" yWindow="165" windowWidth="14805" windowHeight="7950" activeTab="5" xr2:uid="{00000000-000D-0000-FFFF-FFFF00000000}"/>
  </bookViews>
  <sheets>
    <sheet name="Assumptions" sheetId="1" r:id="rId1"/>
    <sheet name="Revenue Build Up" sheetId="2" r:id="rId2"/>
    <sheet name="Cost Build Up" sheetId="4" r:id="rId3"/>
    <sheet name="P &amp; L" sheetId="3" r:id="rId4"/>
    <sheet name="BS" sheetId="5" r:id="rId5"/>
    <sheet name="Asset Schedule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a">#REF!</definedName>
    <definedName name="abc">#REF!</definedName>
    <definedName name="Apr">'[1]Intersector Operator'!$C$11:$G$11</definedName>
    <definedName name="BoomName">[1]VLOOKUP!$B$31:$B$39</definedName>
    <definedName name="CCF">#REF!</definedName>
    <definedName name="CCFNew">#REF!</definedName>
    <definedName name="Costs_per_Unit">#REF!</definedName>
    <definedName name="_xlnm.Criteria">'[2]Any-Column Lookup'!#REF!</definedName>
    <definedName name="_xlnm.Database">#REF!</definedName>
    <definedName name="Dept03">'[1]Intersector Operator'!$E$8:$E$19</definedName>
    <definedName name="Dept04">'[1]Intersector Operator'!$F$8:$F$19</definedName>
    <definedName name="Fac">#REF!</definedName>
    <definedName name="FebSales">#REF!</definedName>
    <definedName name="iemr">#REF!</definedName>
    <definedName name="JanSales">#REF!</definedName>
    <definedName name="k">[0]!p</definedName>
    <definedName name="MarSales">#REF!</definedName>
    <definedName name="Max_CFA">#REF!</definedName>
    <definedName name="Max_FRMPRM">#REF!</definedName>
    <definedName name="May">'[1]Intersector Operator'!$C$12:$G$12</definedName>
    <definedName name="NAME">[1]Table1!$A$1:$B$4</definedName>
    <definedName name="NFB">#REF!</definedName>
    <definedName name="p">INDEX(#REF!,MATCH(#REF!,#REF!,0),1)</definedName>
    <definedName name="_xlnm.Print_Area" localSheetId="5">'Asset Schedule'!$C$1:$P$139</definedName>
    <definedName name="_xlnm.Print_Area" localSheetId="4">BS!$C$1:$P$40</definedName>
    <definedName name="_xlnm.Print_Area" localSheetId="2">'Cost Build Up'!$C$1:$P$47</definedName>
    <definedName name="_xlnm.Print_Area" localSheetId="3">'P &amp; L'!$C$1:$P$27</definedName>
    <definedName name="_xlnm.Print_Area" localSheetId="1">'Revenue Build Up'!$C$1:$P$17</definedName>
    <definedName name="_xlnm.Print_Titles" localSheetId="5">'Asset Schedule'!$1:$4</definedName>
    <definedName name="_xlnm.Print_Titles" localSheetId="0">Assumptions!$1:$4</definedName>
    <definedName name="_xlnm.Print_Titles" localSheetId="4">BS!$1:$4</definedName>
    <definedName name="_xlnm.Print_Titles" localSheetId="2">'Cost Build Up'!$1:$4</definedName>
    <definedName name="_xlnm.Print_Titles" localSheetId="3">'P &amp; L'!$1:$4</definedName>
    <definedName name="Pristine_Course">#REF!</definedName>
    <definedName name="Pristine_Month">'[3]D-I'!$K$3:$K$5</definedName>
    <definedName name="Pristine_product">'[4]D-I'!$I$3:$I$6</definedName>
    <definedName name="pristine_region">'[4]D-I'!$G$3:$G$7</definedName>
    <definedName name="product">#REF!</definedName>
    <definedName name="Prov">#REF!</definedName>
    <definedName name="RAROC">#REF!</definedName>
    <definedName name="Rating">#REF!</definedName>
    <definedName name="region">#REF!</definedName>
    <definedName name="RR">#REF!</definedName>
    <definedName name="RW">#REF!</definedName>
    <definedName name="ss">#REF!</definedName>
    <definedName name="Tax">[1]VLOOKUP!$I$70:$M$77</definedName>
    <definedName name="Tenor">#REF!</definedName>
    <definedName name="test">'[5]Scroll Bars and Spinners'!#REF!</definedName>
    <definedName name="TL">#REF!</definedName>
    <definedName name="Total_Costs">'[6]Break Even (Solver)'!$B$10:$C$10</definedName>
    <definedName name="Total_Revenue">#REF!</definedName>
    <definedName name="valuevx">42.314159</definedName>
    <definedName name="WC">#REF!</definedName>
    <definedName name="WCFB">#REF!</definedName>
  </definedNames>
  <calcPr calcId="162913" iterate="1"/>
</workbook>
</file>

<file path=xl/calcChain.xml><?xml version="1.0" encoding="utf-8"?>
<calcChain xmlns="http://schemas.openxmlformats.org/spreadsheetml/2006/main">
  <c r="M10" i="6" l="1"/>
  <c r="P9" i="6"/>
  <c r="O9" i="6"/>
  <c r="N9" i="6"/>
  <c r="M9" i="6"/>
  <c r="L9" i="6"/>
  <c r="P8" i="6"/>
  <c r="O8" i="6"/>
  <c r="N8" i="6"/>
  <c r="M8" i="6"/>
  <c r="L8" i="6"/>
  <c r="P7" i="6"/>
  <c r="O7" i="6"/>
  <c r="N7" i="6"/>
  <c r="N10" i="6" s="1"/>
  <c r="M7" i="6"/>
  <c r="L7" i="6"/>
  <c r="P6" i="6"/>
  <c r="O6" i="6"/>
  <c r="O10" i="6" s="1"/>
  <c r="N6" i="6"/>
  <c r="M6" i="6"/>
  <c r="L6" i="6"/>
  <c r="P89" i="1"/>
  <c r="O89" i="1"/>
  <c r="N89" i="1"/>
  <c r="M89" i="1"/>
  <c r="L89" i="1"/>
  <c r="P4" i="6"/>
  <c r="O4" i="6"/>
  <c r="N4" i="6"/>
  <c r="M4" i="6"/>
  <c r="L4" i="6"/>
  <c r="K4" i="6"/>
  <c r="J4" i="6"/>
  <c r="I4" i="6"/>
  <c r="H4" i="6"/>
  <c r="G4" i="6"/>
  <c r="P4" i="5"/>
  <c r="O4" i="5"/>
  <c r="N4" i="5"/>
  <c r="M4" i="5"/>
  <c r="L4" i="5"/>
  <c r="K4" i="5"/>
  <c r="J4" i="5"/>
  <c r="I4" i="5"/>
  <c r="H4" i="5"/>
  <c r="G4" i="5"/>
  <c r="P4" i="3"/>
  <c r="O4" i="3"/>
  <c r="N4" i="3"/>
  <c r="M4" i="3"/>
  <c r="L4" i="3"/>
  <c r="K4" i="3"/>
  <c r="J4" i="3"/>
  <c r="I4" i="3"/>
  <c r="H4" i="3"/>
  <c r="G4" i="3"/>
  <c r="P4" i="4"/>
  <c r="O4" i="4"/>
  <c r="N4" i="4"/>
  <c r="M4" i="4"/>
  <c r="L4" i="4"/>
  <c r="K4" i="4"/>
  <c r="J4" i="4"/>
  <c r="I4" i="4"/>
  <c r="H4" i="4"/>
  <c r="G4" i="4"/>
  <c r="H4" i="2"/>
  <c r="I4" i="2"/>
  <c r="J4" i="2"/>
  <c r="K4" i="2"/>
  <c r="L4" i="2"/>
  <c r="M4" i="2"/>
  <c r="N4" i="2"/>
  <c r="O4" i="2"/>
  <c r="P4" i="2"/>
  <c r="G4" i="2"/>
  <c r="G29" i="6"/>
  <c r="L10" i="6" l="1"/>
  <c r="P10" i="6"/>
  <c r="J42" i="4"/>
  <c r="I42" i="4"/>
  <c r="H42" i="4"/>
  <c r="G42" i="4"/>
  <c r="K42" i="4"/>
  <c r="L41" i="4"/>
  <c r="M41" i="4" s="1"/>
  <c r="N41" i="4" s="1"/>
  <c r="O41" i="4" s="1"/>
  <c r="P41" i="4" s="1"/>
  <c r="L40" i="4"/>
  <c r="M40" i="4" s="1"/>
  <c r="N40" i="4" s="1"/>
  <c r="O40" i="4" s="1"/>
  <c r="P40" i="4" s="1"/>
  <c r="L39" i="4"/>
  <c r="M39" i="4" s="1"/>
  <c r="N39" i="4" s="1"/>
  <c r="O39" i="4" s="1"/>
  <c r="P39" i="4" s="1"/>
  <c r="L34" i="4"/>
  <c r="L28" i="4"/>
  <c r="M28" i="4" s="1"/>
  <c r="N28" i="4" s="1"/>
  <c r="O28" i="4" s="1"/>
  <c r="P28" i="4" s="1"/>
  <c r="L27" i="4"/>
  <c r="M27" i="4" s="1"/>
  <c r="N27" i="4" s="1"/>
  <c r="O27" i="4" s="1"/>
  <c r="P27" i="4" s="1"/>
  <c r="L26" i="4"/>
  <c r="M26" i="4" s="1"/>
  <c r="N26" i="4" s="1"/>
  <c r="O26" i="4" s="1"/>
  <c r="P26" i="4" s="1"/>
  <c r="L24" i="4"/>
  <c r="M24" i="4" s="1"/>
  <c r="N24" i="4" s="1"/>
  <c r="O24" i="4" s="1"/>
  <c r="P24" i="4" s="1"/>
  <c r="L23" i="4"/>
  <c r="M23" i="4" s="1"/>
  <c r="N23" i="4" s="1"/>
  <c r="O23" i="4" s="1"/>
  <c r="P23" i="4" s="1"/>
  <c r="L22" i="4"/>
  <c r="M22" i="4" s="1"/>
  <c r="N22" i="4" s="1"/>
  <c r="O22" i="4" s="1"/>
  <c r="P22" i="4" s="1"/>
  <c r="L8" i="4"/>
  <c r="L7" i="4"/>
  <c r="L6" i="4"/>
  <c r="L12" i="2"/>
  <c r="M12" i="2" s="1"/>
  <c r="N12" i="2" s="1"/>
  <c r="O12" i="2" s="1"/>
  <c r="P12" i="2" s="1"/>
  <c r="L10" i="2"/>
  <c r="L8" i="2"/>
  <c r="M8" i="2" s="1"/>
  <c r="N8" i="2" s="1"/>
  <c r="O8" i="2" s="1"/>
  <c r="P8" i="2" s="1"/>
  <c r="L6" i="2"/>
  <c r="M6" i="2" s="1"/>
  <c r="N6" i="2" s="1"/>
  <c r="O6" i="2" s="1"/>
  <c r="P6" i="2" s="1"/>
  <c r="M10" i="2" l="1"/>
  <c r="N10" i="2" l="1"/>
  <c r="K10" i="1"/>
  <c r="O10" i="2" l="1"/>
  <c r="P10" i="2" l="1"/>
  <c r="G3" i="1"/>
  <c r="G3" i="5" l="1"/>
  <c r="G3" i="4"/>
  <c r="G3" i="2"/>
  <c r="G3" i="6"/>
  <c r="G3" i="3"/>
  <c r="K83" i="1" l="1"/>
  <c r="L83" i="1" s="1"/>
  <c r="M83" i="1" s="1"/>
  <c r="G44" i="4"/>
  <c r="H44" i="4"/>
  <c r="I44" i="4"/>
  <c r="J44" i="4"/>
  <c r="K44" i="4"/>
  <c r="G45" i="4"/>
  <c r="H45" i="4"/>
  <c r="I45" i="4"/>
  <c r="J45" i="4"/>
  <c r="K45" i="4"/>
  <c r="G46" i="4"/>
  <c r="H46" i="4"/>
  <c r="I46" i="4"/>
  <c r="J46" i="4"/>
  <c r="K46" i="4"/>
  <c r="G47" i="4"/>
  <c r="H47" i="4"/>
  <c r="I47" i="4"/>
  <c r="J47" i="4"/>
  <c r="K47" i="4"/>
  <c r="H43" i="4"/>
  <c r="I43" i="4"/>
  <c r="J43" i="4"/>
  <c r="K43" i="4"/>
  <c r="G43" i="4"/>
  <c r="M38" i="5" l="1"/>
  <c r="N83" i="1"/>
  <c r="L38" i="5"/>
  <c r="O83" i="1" l="1"/>
  <c r="N38" i="5"/>
  <c r="P83" i="1" l="1"/>
  <c r="P38" i="5" s="1"/>
  <c r="O38" i="5"/>
  <c r="E123" i="6" l="1"/>
  <c r="E91" i="6"/>
  <c r="E59" i="6"/>
  <c r="E110" i="6"/>
  <c r="E78" i="6"/>
  <c r="E46" i="6"/>
  <c r="G97" i="1"/>
  <c r="H96" i="1"/>
  <c r="H29" i="6" s="1"/>
  <c r="G13" i="6"/>
  <c r="G14" i="6"/>
  <c r="G15" i="6"/>
  <c r="G12" i="6"/>
  <c r="H6" i="6"/>
  <c r="I6" i="6"/>
  <c r="J6" i="6"/>
  <c r="K6" i="6"/>
  <c r="H7" i="6"/>
  <c r="I7" i="6"/>
  <c r="J7" i="6"/>
  <c r="K7" i="6"/>
  <c r="H8" i="6"/>
  <c r="I8" i="6"/>
  <c r="J8" i="6"/>
  <c r="K8" i="6"/>
  <c r="H9" i="6"/>
  <c r="I9" i="6"/>
  <c r="J9" i="6"/>
  <c r="G7" i="6"/>
  <c r="G8" i="6"/>
  <c r="G9" i="6"/>
  <c r="G6" i="6"/>
  <c r="H92" i="1"/>
  <c r="H13" i="6" s="1"/>
  <c r="H18" i="6" s="1"/>
  <c r="H93" i="1"/>
  <c r="H14" i="6" s="1"/>
  <c r="H19" i="6" s="1"/>
  <c r="H94" i="1"/>
  <c r="H15" i="6" s="1"/>
  <c r="H20" i="6" s="1"/>
  <c r="H91" i="1"/>
  <c r="H12" i="6" s="1"/>
  <c r="H17" i="6" s="1"/>
  <c r="G23" i="6" l="1"/>
  <c r="G17" i="6"/>
  <c r="G10" i="6"/>
  <c r="J10" i="6"/>
  <c r="I10" i="6"/>
  <c r="G19" i="6"/>
  <c r="H25" i="6" s="1"/>
  <c r="G25" i="6"/>
  <c r="H21" i="6"/>
  <c r="G26" i="6"/>
  <c r="G20" i="6"/>
  <c r="H26" i="6" s="1"/>
  <c r="H10" i="6"/>
  <c r="G18" i="6"/>
  <c r="H24" i="6" s="1"/>
  <c r="H43" i="6" s="1"/>
  <c r="G24" i="6"/>
  <c r="G43" i="6" s="1"/>
  <c r="H97" i="1"/>
  <c r="G30" i="6"/>
  <c r="I96" i="1"/>
  <c r="I93" i="1"/>
  <c r="J93" i="1" s="1"/>
  <c r="K93" i="1" s="1"/>
  <c r="L93" i="1" s="1"/>
  <c r="M93" i="1" s="1"/>
  <c r="N93" i="1" s="1"/>
  <c r="O93" i="1" s="1"/>
  <c r="P93" i="1" s="1"/>
  <c r="P14" i="6" s="1"/>
  <c r="P19" i="6" s="1"/>
  <c r="G98" i="1"/>
  <c r="I94" i="1"/>
  <c r="I91" i="1"/>
  <c r="I92" i="1"/>
  <c r="G45" i="6" l="1"/>
  <c r="H42" i="6" s="1"/>
  <c r="H45" i="6" s="1"/>
  <c r="I42" i="6" s="1"/>
  <c r="G37" i="6"/>
  <c r="G39" i="6" s="1"/>
  <c r="G27" i="6"/>
  <c r="H23" i="6"/>
  <c r="G21" i="6"/>
  <c r="I97" i="1"/>
  <c r="H30" i="6"/>
  <c r="J96" i="1"/>
  <c r="I29" i="6"/>
  <c r="H98" i="1"/>
  <c r="H31" i="6" s="1"/>
  <c r="H76" i="6" s="1"/>
  <c r="G31" i="6"/>
  <c r="L14" i="6"/>
  <c r="L19" i="6" s="1"/>
  <c r="M25" i="6" s="1"/>
  <c r="O14" i="6"/>
  <c r="G99" i="1"/>
  <c r="K14" i="6"/>
  <c r="K19" i="6" s="1"/>
  <c r="G76" i="6"/>
  <c r="J14" i="6"/>
  <c r="J19" i="6" s="1"/>
  <c r="K25" i="6" s="1"/>
  <c r="M14" i="6"/>
  <c r="M19" i="6" s="1"/>
  <c r="N14" i="6"/>
  <c r="N19" i="6" s="1"/>
  <c r="I14" i="6"/>
  <c r="J92" i="1"/>
  <c r="I13" i="6"/>
  <c r="J91" i="1"/>
  <c r="I12" i="6"/>
  <c r="J94" i="1"/>
  <c r="I15" i="6"/>
  <c r="H75" i="6"/>
  <c r="H107" i="6"/>
  <c r="G107" i="6"/>
  <c r="G75" i="6"/>
  <c r="I17" i="6" l="1"/>
  <c r="I23" i="6"/>
  <c r="I75" i="6"/>
  <c r="I19" i="6"/>
  <c r="J25" i="6" s="1"/>
  <c r="I25" i="6"/>
  <c r="H27" i="6"/>
  <c r="H37" i="6"/>
  <c r="O19" i="6"/>
  <c r="P25" i="6" s="1"/>
  <c r="P75" i="6" s="1"/>
  <c r="O25" i="6"/>
  <c r="L25" i="6"/>
  <c r="L75" i="6" s="1"/>
  <c r="G77" i="6"/>
  <c r="I20" i="6"/>
  <c r="I26" i="6"/>
  <c r="I107" i="6" s="1"/>
  <c r="I18" i="6"/>
  <c r="I24" i="6"/>
  <c r="I43" i="6" s="1"/>
  <c r="N25" i="6"/>
  <c r="N75" i="6" s="1"/>
  <c r="H36" i="6"/>
  <c r="G32" i="6"/>
  <c r="G33" i="6" s="1"/>
  <c r="K96" i="1"/>
  <c r="J29" i="6"/>
  <c r="I98" i="1"/>
  <c r="I31" i="6" s="1"/>
  <c r="J97" i="1"/>
  <c r="I30" i="6"/>
  <c r="M75" i="6"/>
  <c r="O75" i="6"/>
  <c r="H99" i="1"/>
  <c r="H32" i="6" s="1"/>
  <c r="H33" i="6" s="1"/>
  <c r="K75" i="6"/>
  <c r="J98" i="1"/>
  <c r="J31" i="6" s="1"/>
  <c r="I76" i="6"/>
  <c r="J75" i="6"/>
  <c r="K94" i="1"/>
  <c r="J15" i="6"/>
  <c r="J20" i="6" s="1"/>
  <c r="K91" i="1"/>
  <c r="J12" i="6"/>
  <c r="J17" i="6" s="1"/>
  <c r="K92" i="1"/>
  <c r="J13" i="6"/>
  <c r="J18" i="6" s="1"/>
  <c r="H74" i="6"/>
  <c r="H77" i="6" s="1"/>
  <c r="I74" i="6" s="1"/>
  <c r="H39" i="6" l="1"/>
  <c r="I37" i="6"/>
  <c r="I27" i="6"/>
  <c r="G108" i="6"/>
  <c r="G109" i="6" s="1"/>
  <c r="J23" i="6"/>
  <c r="I21" i="6"/>
  <c r="J26" i="6"/>
  <c r="J21" i="6"/>
  <c r="J24" i="6"/>
  <c r="J43" i="6" s="1"/>
  <c r="I45" i="6"/>
  <c r="J42" i="6" s="1"/>
  <c r="J45" i="6" s="1"/>
  <c r="K42" i="6" s="1"/>
  <c r="K97" i="1"/>
  <c r="J30" i="6"/>
  <c r="L96" i="1"/>
  <c r="K29" i="6"/>
  <c r="I99" i="1"/>
  <c r="I32" i="6" s="1"/>
  <c r="I33" i="6" s="1"/>
  <c r="E93" i="6" a="1"/>
  <c r="E97" i="6" s="1"/>
  <c r="E80" i="6" a="1"/>
  <c r="E81" i="6" s="1"/>
  <c r="K98" i="1"/>
  <c r="K31" i="6" s="1"/>
  <c r="J76" i="6"/>
  <c r="I77" i="6"/>
  <c r="J74" i="6" s="1"/>
  <c r="H108" i="6"/>
  <c r="L92" i="1"/>
  <c r="K13" i="6"/>
  <c r="K18" i="6" s="1"/>
  <c r="J99" i="1"/>
  <c r="J32" i="6" s="1"/>
  <c r="J33" i="6" s="1"/>
  <c r="L91" i="1"/>
  <c r="K12" i="6"/>
  <c r="K17" i="6" s="1"/>
  <c r="L94" i="1"/>
  <c r="K15" i="6"/>
  <c r="J107" i="6"/>
  <c r="I89" i="1"/>
  <c r="J89" i="1"/>
  <c r="K88" i="1"/>
  <c r="K9" i="6" s="1"/>
  <c r="K10" i="6" s="1"/>
  <c r="H89" i="1"/>
  <c r="G89" i="1"/>
  <c r="H109" i="6" l="1"/>
  <c r="H137" i="6" s="1"/>
  <c r="K20" i="6"/>
  <c r="L26" i="6" s="1"/>
  <c r="J37" i="6"/>
  <c r="J27" i="6"/>
  <c r="K21" i="6"/>
  <c r="K26" i="6"/>
  <c r="K24" i="6"/>
  <c r="K43" i="6" s="1"/>
  <c r="K23" i="6"/>
  <c r="H106" i="6"/>
  <c r="G137" i="6"/>
  <c r="I36" i="6"/>
  <c r="I39" i="6" s="1"/>
  <c r="M96" i="1"/>
  <c r="L29" i="6"/>
  <c r="L97" i="1"/>
  <c r="K30" i="6"/>
  <c r="E102" i="6"/>
  <c r="P102" i="6" s="1"/>
  <c r="E95" i="6"/>
  <c r="I95" i="6" s="1"/>
  <c r="E96" i="6"/>
  <c r="J96" i="6" s="1"/>
  <c r="E99" i="6"/>
  <c r="E93" i="6"/>
  <c r="G93" i="6" s="1"/>
  <c r="G103" i="6" s="1"/>
  <c r="E100" i="6"/>
  <c r="N100" i="6" s="1"/>
  <c r="E98" i="6"/>
  <c r="L98" i="6" s="1"/>
  <c r="E101" i="6"/>
  <c r="O101" i="6" s="1"/>
  <c r="P101" i="6" s="1"/>
  <c r="E94" i="6"/>
  <c r="H94" i="6" s="1"/>
  <c r="I94" i="6" s="1"/>
  <c r="J94" i="6" s="1"/>
  <c r="E82" i="6"/>
  <c r="I82" i="6" s="1"/>
  <c r="J82" i="6" s="1"/>
  <c r="K82" i="6" s="1"/>
  <c r="E89" i="6"/>
  <c r="P89" i="6" s="1"/>
  <c r="E84" i="6"/>
  <c r="K84" i="6" s="1"/>
  <c r="E88" i="6"/>
  <c r="O88" i="6" s="1"/>
  <c r="P88" i="6" s="1"/>
  <c r="E83" i="6"/>
  <c r="J83" i="6" s="1"/>
  <c r="K83" i="6" s="1"/>
  <c r="E86" i="6"/>
  <c r="M86" i="6" s="1"/>
  <c r="N86" i="6" s="1"/>
  <c r="E87" i="6"/>
  <c r="N87" i="6" s="1"/>
  <c r="O87" i="6" s="1"/>
  <c r="E85" i="6"/>
  <c r="L85" i="6" s="1"/>
  <c r="M85" i="6" s="1"/>
  <c r="N85" i="6" s="1"/>
  <c r="E80" i="6"/>
  <c r="G80" i="6" s="1"/>
  <c r="H80" i="6" s="1"/>
  <c r="J77" i="6"/>
  <c r="K74" i="6" s="1"/>
  <c r="L98" i="1"/>
  <c r="L31" i="6" s="1"/>
  <c r="K76" i="6"/>
  <c r="I106" i="6"/>
  <c r="I108" i="6"/>
  <c r="M94" i="1"/>
  <c r="L15" i="6"/>
  <c r="L20" i="6" s="1"/>
  <c r="K89" i="1"/>
  <c r="M92" i="1"/>
  <c r="L13" i="6"/>
  <c r="L18" i="6" s="1"/>
  <c r="M91" i="1"/>
  <c r="L12" i="6"/>
  <c r="L17" i="6" s="1"/>
  <c r="K99" i="1"/>
  <c r="K32" i="6" s="1"/>
  <c r="M99" i="6"/>
  <c r="N99" i="6" s="1"/>
  <c r="K97" i="6"/>
  <c r="L97" i="6" s="1"/>
  <c r="H81" i="6"/>
  <c r="I81" i="6" s="1"/>
  <c r="K82" i="1"/>
  <c r="L82" i="1" s="1"/>
  <c r="L30" i="5" s="1"/>
  <c r="C82" i="1"/>
  <c r="H30" i="4"/>
  <c r="H32" i="4" s="1"/>
  <c r="I30" i="4"/>
  <c r="J30" i="4"/>
  <c r="K30" i="4"/>
  <c r="K32" i="4" s="1"/>
  <c r="G30" i="4"/>
  <c r="G32" i="4" s="1"/>
  <c r="G31" i="5"/>
  <c r="G17" i="5"/>
  <c r="M60" i="1"/>
  <c r="M34" i="4" s="1"/>
  <c r="N34" i="4" s="1"/>
  <c r="O60" i="1"/>
  <c r="P60" i="1" s="1"/>
  <c r="K37" i="4"/>
  <c r="K19" i="4"/>
  <c r="J19" i="4"/>
  <c r="I19" i="4"/>
  <c r="H19" i="4"/>
  <c r="G19" i="4"/>
  <c r="K18" i="4"/>
  <c r="J18" i="4"/>
  <c r="I18" i="4"/>
  <c r="H18" i="4"/>
  <c r="G18" i="4"/>
  <c r="K17" i="4"/>
  <c r="J17" i="4"/>
  <c r="I17" i="4"/>
  <c r="H17" i="4"/>
  <c r="G17" i="4"/>
  <c r="K16" i="4"/>
  <c r="J16" i="4"/>
  <c r="I16" i="4"/>
  <c r="H16" i="4"/>
  <c r="G16" i="4"/>
  <c r="M29" i="1"/>
  <c r="M8" i="4" s="1"/>
  <c r="N8" i="4" s="1"/>
  <c r="M28" i="1"/>
  <c r="M27" i="1"/>
  <c r="I27" i="1"/>
  <c r="J27" i="1"/>
  <c r="K27" i="1"/>
  <c r="I28" i="1"/>
  <c r="J28" i="1"/>
  <c r="K28" i="1"/>
  <c r="I29" i="1"/>
  <c r="J29" i="1"/>
  <c r="K29" i="1"/>
  <c r="I30" i="1"/>
  <c r="J30" i="1"/>
  <c r="K30" i="1"/>
  <c r="H28" i="1"/>
  <c r="H29" i="1"/>
  <c r="H30" i="1"/>
  <c r="H27" i="1"/>
  <c r="L51" i="1"/>
  <c r="M51" i="1" s="1"/>
  <c r="N51" i="1" s="1"/>
  <c r="O51" i="1" s="1"/>
  <c r="P51" i="1" s="1"/>
  <c r="L50" i="1"/>
  <c r="M50" i="1" s="1"/>
  <c r="N50" i="1" s="1"/>
  <c r="O50" i="1" s="1"/>
  <c r="P50" i="1" s="1"/>
  <c r="L49" i="1"/>
  <c r="M49" i="1" s="1"/>
  <c r="N49" i="1" s="1"/>
  <c r="O49" i="1" s="1"/>
  <c r="P49" i="1" s="1"/>
  <c r="L48" i="1"/>
  <c r="M48" i="1" s="1"/>
  <c r="N48" i="1" s="1"/>
  <c r="O48" i="1" s="1"/>
  <c r="P48" i="1" s="1"/>
  <c r="L46" i="1"/>
  <c r="M46" i="1" s="1"/>
  <c r="N46" i="1" s="1"/>
  <c r="O46" i="1" s="1"/>
  <c r="P46" i="1" s="1"/>
  <c r="L45" i="1"/>
  <c r="M45" i="1" s="1"/>
  <c r="N45" i="1" s="1"/>
  <c r="O45" i="1" s="1"/>
  <c r="P45" i="1" s="1"/>
  <c r="L44" i="1"/>
  <c r="M44" i="1" s="1"/>
  <c r="N44" i="1" s="1"/>
  <c r="O44" i="1" s="1"/>
  <c r="P44" i="1" s="1"/>
  <c r="L43" i="1"/>
  <c r="M43" i="1" s="1"/>
  <c r="N43" i="1" s="1"/>
  <c r="O43" i="1" s="1"/>
  <c r="P43" i="1" s="1"/>
  <c r="L41" i="1"/>
  <c r="M41" i="1" s="1"/>
  <c r="N41" i="1" s="1"/>
  <c r="O41" i="1" s="1"/>
  <c r="P41" i="1" s="1"/>
  <c r="L40" i="1"/>
  <c r="M40" i="1" s="1"/>
  <c r="N40" i="1" s="1"/>
  <c r="O40" i="1" s="1"/>
  <c r="P40" i="1" s="1"/>
  <c r="L39" i="1"/>
  <c r="M39" i="1" s="1"/>
  <c r="N39" i="1" s="1"/>
  <c r="O39" i="1" s="1"/>
  <c r="P39" i="1" s="1"/>
  <c r="L38" i="1"/>
  <c r="M38" i="1" s="1"/>
  <c r="N38" i="1" s="1"/>
  <c r="O38" i="1" s="1"/>
  <c r="P38" i="1" s="1"/>
  <c r="H18" i="1"/>
  <c r="I18" i="1"/>
  <c r="J18" i="1"/>
  <c r="K18" i="1"/>
  <c r="H19" i="1"/>
  <c r="I19" i="1"/>
  <c r="J19" i="1"/>
  <c r="K19" i="1"/>
  <c r="I17" i="1"/>
  <c r="J17" i="1"/>
  <c r="K17" i="1"/>
  <c r="H17" i="1"/>
  <c r="H3" i="1"/>
  <c r="H9" i="1"/>
  <c r="I9" i="1"/>
  <c r="J9" i="1"/>
  <c r="K9" i="1"/>
  <c r="H10" i="1"/>
  <c r="I10" i="1"/>
  <c r="J10" i="1"/>
  <c r="I8" i="1"/>
  <c r="J8" i="1"/>
  <c r="K8" i="1"/>
  <c r="H8" i="1"/>
  <c r="H14" i="2"/>
  <c r="I14" i="2"/>
  <c r="J14" i="2"/>
  <c r="K14" i="2"/>
  <c r="H15" i="2"/>
  <c r="I15" i="2"/>
  <c r="J15" i="2"/>
  <c r="K15" i="2"/>
  <c r="H16" i="2"/>
  <c r="I16" i="2"/>
  <c r="J16" i="2"/>
  <c r="K16" i="2"/>
  <c r="G15" i="2"/>
  <c r="G16" i="2"/>
  <c r="G14" i="2"/>
  <c r="J36" i="6" l="1"/>
  <c r="J39" i="6" s="1"/>
  <c r="I137" i="6"/>
  <c r="M23" i="6"/>
  <c r="L21" i="6"/>
  <c r="L36" i="5" s="1"/>
  <c r="K37" i="6"/>
  <c r="K27" i="6"/>
  <c r="L23" i="6"/>
  <c r="L24" i="6"/>
  <c r="L43" i="6" s="1"/>
  <c r="K45" i="6"/>
  <c r="L42" i="6" s="1"/>
  <c r="L45" i="6" s="1"/>
  <c r="M42" i="6" s="1"/>
  <c r="K33" i="6"/>
  <c r="H3" i="6"/>
  <c r="H3" i="5"/>
  <c r="H3" i="3"/>
  <c r="H3" i="4"/>
  <c r="H3" i="2"/>
  <c r="H33" i="1"/>
  <c r="H34" i="1"/>
  <c r="H32" i="1"/>
  <c r="H35" i="1"/>
  <c r="M97" i="1"/>
  <c r="L30" i="6"/>
  <c r="N96" i="1"/>
  <c r="M29" i="6"/>
  <c r="O27" i="1"/>
  <c r="P27" i="1" s="1"/>
  <c r="M6" i="4"/>
  <c r="N6" i="4" s="1"/>
  <c r="O28" i="1"/>
  <c r="P28" i="1" s="1"/>
  <c r="M7" i="4"/>
  <c r="N7" i="4" s="1"/>
  <c r="O34" i="4"/>
  <c r="P34" i="4" s="1"/>
  <c r="H23" i="1"/>
  <c r="H22" i="1"/>
  <c r="H21" i="1"/>
  <c r="H14" i="1"/>
  <c r="H13" i="1"/>
  <c r="H12" i="1"/>
  <c r="L84" i="6"/>
  <c r="M84" i="6" s="1"/>
  <c r="I3" i="1"/>
  <c r="P87" i="6"/>
  <c r="K77" i="6"/>
  <c r="L74" i="6" s="1"/>
  <c r="M98" i="1"/>
  <c r="M31" i="6" s="1"/>
  <c r="L76" i="6"/>
  <c r="I109" i="6"/>
  <c r="J108" i="6"/>
  <c r="L107" i="6"/>
  <c r="L99" i="1"/>
  <c r="L32" i="6" s="1"/>
  <c r="N92" i="1"/>
  <c r="M13" i="6"/>
  <c r="M18" i="6" s="1"/>
  <c r="N91" i="1"/>
  <c r="M12" i="6"/>
  <c r="M17" i="6" s="1"/>
  <c r="K107" i="6"/>
  <c r="N94" i="1"/>
  <c r="M15" i="6"/>
  <c r="H93" i="6"/>
  <c r="I93" i="6" s="1"/>
  <c r="J93" i="6" s="1"/>
  <c r="K93" i="6" s="1"/>
  <c r="O85" i="6"/>
  <c r="P85" i="6" s="1"/>
  <c r="K94" i="6"/>
  <c r="J95" i="6"/>
  <c r="M98" i="6"/>
  <c r="N98" i="6" s="1"/>
  <c r="O100" i="6"/>
  <c r="P100" i="6" s="1"/>
  <c r="M97" i="6"/>
  <c r="N97" i="6" s="1"/>
  <c r="O99" i="6"/>
  <c r="P99" i="6" s="1"/>
  <c r="K96" i="6"/>
  <c r="L96" i="6" s="1"/>
  <c r="L83" i="6"/>
  <c r="M83" i="6" s="1"/>
  <c r="N83" i="6" s="1"/>
  <c r="J81" i="6"/>
  <c r="K81" i="6" s="1"/>
  <c r="O86" i="6"/>
  <c r="P86" i="6" s="1"/>
  <c r="H90" i="6"/>
  <c r="G90" i="6"/>
  <c r="I80" i="6"/>
  <c r="L82" i="6"/>
  <c r="M82" i="6" s="1"/>
  <c r="N82" i="6" s="1"/>
  <c r="M82" i="1"/>
  <c r="L30" i="4"/>
  <c r="I32" i="4"/>
  <c r="J32" i="4"/>
  <c r="G20" i="4"/>
  <c r="I20" i="4"/>
  <c r="G17" i="2"/>
  <c r="G71" i="1" s="1"/>
  <c r="O29" i="1"/>
  <c r="P29" i="1" s="1"/>
  <c r="J20" i="4"/>
  <c r="K20" i="4"/>
  <c r="H20" i="4"/>
  <c r="I17" i="2"/>
  <c r="J17" i="2"/>
  <c r="L14" i="2"/>
  <c r="K17" i="2"/>
  <c r="H17" i="2"/>
  <c r="L16" i="2"/>
  <c r="M20" i="6" l="1"/>
  <c r="N24" i="6"/>
  <c r="N43" i="6" s="1"/>
  <c r="M45" i="6"/>
  <c r="N42" i="6" s="1"/>
  <c r="L27" i="6"/>
  <c r="L37" i="6"/>
  <c r="M26" i="6"/>
  <c r="M107" i="6" s="1"/>
  <c r="M37" i="6"/>
  <c r="M27" i="6"/>
  <c r="M24" i="6"/>
  <c r="M43" i="6" s="1"/>
  <c r="K36" i="6"/>
  <c r="K39" i="6" s="1"/>
  <c r="I3" i="2"/>
  <c r="I3" i="6"/>
  <c r="I3" i="5"/>
  <c r="I3" i="3"/>
  <c r="I3" i="4"/>
  <c r="I34" i="1"/>
  <c r="I33" i="1"/>
  <c r="I35" i="1"/>
  <c r="I32" i="1"/>
  <c r="N97" i="1"/>
  <c r="M30" i="6"/>
  <c r="O96" i="1"/>
  <c r="N29" i="6"/>
  <c r="L33" i="6"/>
  <c r="O6" i="4"/>
  <c r="P6" i="4" s="1"/>
  <c r="O7" i="4"/>
  <c r="P7" i="4" s="1"/>
  <c r="L31" i="4"/>
  <c r="L32" i="4" s="1"/>
  <c r="L8" i="3" s="1"/>
  <c r="O8" i="4"/>
  <c r="P8" i="4" s="1"/>
  <c r="I23" i="1"/>
  <c r="I22" i="1"/>
  <c r="I21" i="1"/>
  <c r="I14" i="1"/>
  <c r="I13" i="1"/>
  <c r="I12" i="1"/>
  <c r="M16" i="2"/>
  <c r="I70" i="1"/>
  <c r="I71" i="1"/>
  <c r="K71" i="1"/>
  <c r="K70" i="1"/>
  <c r="L70" i="1" s="1"/>
  <c r="M70" i="1" s="1"/>
  <c r="N70" i="1" s="1"/>
  <c r="O70" i="1" s="1"/>
  <c r="J70" i="1"/>
  <c r="J71" i="1"/>
  <c r="H71" i="1"/>
  <c r="H70" i="1"/>
  <c r="N84" i="6"/>
  <c r="O84" i="6" s="1"/>
  <c r="J3" i="1"/>
  <c r="L77" i="6"/>
  <c r="M74" i="6" s="1"/>
  <c r="N98" i="1"/>
  <c r="N31" i="6" s="1"/>
  <c r="M76" i="6"/>
  <c r="J106" i="6"/>
  <c r="J109" i="6" s="1"/>
  <c r="J137" i="6" s="1"/>
  <c r="G16" i="3"/>
  <c r="K108" i="6"/>
  <c r="H78" i="1"/>
  <c r="I78" i="1"/>
  <c r="K16" i="3"/>
  <c r="K76" i="1"/>
  <c r="K77" i="1"/>
  <c r="J16" i="3"/>
  <c r="J76" i="1"/>
  <c r="J77" i="1"/>
  <c r="I16" i="3"/>
  <c r="I77" i="1"/>
  <c r="I76" i="1"/>
  <c r="H16" i="3"/>
  <c r="H77" i="1"/>
  <c r="H76" i="1"/>
  <c r="G67" i="1"/>
  <c r="G70" i="1"/>
  <c r="G69" i="1"/>
  <c r="G68" i="1"/>
  <c r="H103" i="6"/>
  <c r="M99" i="1"/>
  <c r="M32" i="6" s="1"/>
  <c r="O91" i="1"/>
  <c r="N12" i="6"/>
  <c r="N17" i="6" s="1"/>
  <c r="O94" i="1"/>
  <c r="N15" i="6"/>
  <c r="O92" i="1"/>
  <c r="N13" i="6"/>
  <c r="N18" i="6" s="1"/>
  <c r="M96" i="6"/>
  <c r="N96" i="6" s="1"/>
  <c r="O96" i="6" s="1"/>
  <c r="P96" i="6" s="1"/>
  <c r="O97" i="6"/>
  <c r="P97" i="6" s="1"/>
  <c r="L94" i="6"/>
  <c r="O98" i="6"/>
  <c r="P98" i="6" s="1"/>
  <c r="L93" i="6"/>
  <c r="M93" i="6" s="1"/>
  <c r="K95" i="6"/>
  <c r="L95" i="6" s="1"/>
  <c r="J103" i="6"/>
  <c r="I90" i="6"/>
  <c r="J80" i="6"/>
  <c r="O83" i="6"/>
  <c r="P83" i="6" s="1"/>
  <c r="O82" i="6"/>
  <c r="P82" i="6" s="1"/>
  <c r="L81" i="6"/>
  <c r="M81" i="6" s="1"/>
  <c r="N82" i="1"/>
  <c r="M30" i="5"/>
  <c r="K67" i="1"/>
  <c r="K68" i="1"/>
  <c r="K69" i="1"/>
  <c r="L69" i="1" s="1"/>
  <c r="M69" i="1" s="1"/>
  <c r="N69" i="1" s="1"/>
  <c r="M30" i="4"/>
  <c r="J67" i="1"/>
  <c r="J68" i="1"/>
  <c r="J69" i="1"/>
  <c r="H67" i="1"/>
  <c r="H69" i="1"/>
  <c r="H68" i="1"/>
  <c r="I68" i="1"/>
  <c r="I67" i="1"/>
  <c r="I69" i="1"/>
  <c r="M14" i="2"/>
  <c r="N23" i="6" l="1"/>
  <c r="N45" i="6"/>
  <c r="O42" i="6" s="1"/>
  <c r="N26" i="6"/>
  <c r="N107" i="6" s="1"/>
  <c r="N20" i="6"/>
  <c r="N21" i="6"/>
  <c r="N36" i="5" s="1"/>
  <c r="L36" i="6"/>
  <c r="L39" i="6" s="1"/>
  <c r="M21" i="6"/>
  <c r="M36" i="5" s="1"/>
  <c r="P96" i="1"/>
  <c r="O29" i="6"/>
  <c r="O97" i="1"/>
  <c r="N30" i="6"/>
  <c r="N33" i="6" s="1"/>
  <c r="J3" i="6"/>
  <c r="J3" i="5"/>
  <c r="J3" i="3"/>
  <c r="J3" i="4"/>
  <c r="J3" i="2"/>
  <c r="J35" i="1"/>
  <c r="J33" i="1"/>
  <c r="J32" i="1"/>
  <c r="J34" i="1"/>
  <c r="M33" i="6"/>
  <c r="M31" i="4"/>
  <c r="M32" i="4" s="1"/>
  <c r="M8" i="3" s="1"/>
  <c r="J23" i="1"/>
  <c r="J22" i="1"/>
  <c r="J21" i="1"/>
  <c r="J14" i="1"/>
  <c r="J13" i="1"/>
  <c r="J12" i="1"/>
  <c r="N16" i="2"/>
  <c r="P84" i="6"/>
  <c r="K3" i="1"/>
  <c r="J78" i="1"/>
  <c r="M77" i="6"/>
  <c r="N74" i="6" s="1"/>
  <c r="O98" i="1"/>
  <c r="O31" i="6" s="1"/>
  <c r="N76" i="6"/>
  <c r="K78" i="1"/>
  <c r="K106" i="6"/>
  <c r="K109" i="6" s="1"/>
  <c r="K137" i="6" s="1"/>
  <c r="H17" i="3"/>
  <c r="L108" i="6"/>
  <c r="J17" i="3"/>
  <c r="K17" i="3"/>
  <c r="G17" i="3"/>
  <c r="I17" i="3"/>
  <c r="P94" i="1"/>
  <c r="P15" i="6" s="1"/>
  <c r="P20" i="6" s="1"/>
  <c r="O15" i="6"/>
  <c r="N99" i="1"/>
  <c r="N32" i="6" s="1"/>
  <c r="P91" i="1"/>
  <c r="P12" i="6" s="1"/>
  <c r="P17" i="6" s="1"/>
  <c r="O12" i="6"/>
  <c r="O17" i="6" s="1"/>
  <c r="P92" i="1"/>
  <c r="P13" i="6" s="1"/>
  <c r="P18" i="6" s="1"/>
  <c r="O13" i="6"/>
  <c r="O18" i="6" s="1"/>
  <c r="P24" i="6" s="1"/>
  <c r="P43" i="6" s="1"/>
  <c r="N93" i="6"/>
  <c r="M94" i="6"/>
  <c r="N94" i="6" s="1"/>
  <c r="O94" i="6" s="1"/>
  <c r="P94" i="6" s="1"/>
  <c r="M95" i="6"/>
  <c r="N95" i="6" s="1"/>
  <c r="O95" i="6" s="1"/>
  <c r="P95" i="6" s="1"/>
  <c r="I103" i="6"/>
  <c r="J90" i="6"/>
  <c r="K80" i="6"/>
  <c r="K90" i="6" s="1"/>
  <c r="N81" i="6"/>
  <c r="O81" i="6" s="1"/>
  <c r="P81" i="6" s="1"/>
  <c r="O82" i="1"/>
  <c r="N30" i="5"/>
  <c r="N30" i="4"/>
  <c r="N31" i="4" s="1"/>
  <c r="P70" i="1"/>
  <c r="O69" i="1"/>
  <c r="N14" i="2"/>
  <c r="O24" i="6" l="1"/>
  <c r="O43" i="6" s="1"/>
  <c r="O45" i="6"/>
  <c r="P42" i="6" s="1"/>
  <c r="P45" i="6" s="1"/>
  <c r="O21" i="6"/>
  <c r="O36" i="5" s="1"/>
  <c r="P23" i="6"/>
  <c r="M36" i="6"/>
  <c r="M39" i="6" s="1"/>
  <c r="O26" i="6"/>
  <c r="N37" i="6"/>
  <c r="N27" i="6"/>
  <c r="E61" i="6" a="1"/>
  <c r="O107" i="6"/>
  <c r="O20" i="6"/>
  <c r="P26" i="6" s="1"/>
  <c r="P21" i="6"/>
  <c r="P36" i="5" s="1"/>
  <c r="O23" i="6"/>
  <c r="E48" i="6" a="1"/>
  <c r="P29" i="6"/>
  <c r="P97" i="1"/>
  <c r="O30" i="6"/>
  <c r="K3" i="6"/>
  <c r="K3" i="3"/>
  <c r="K3" i="2"/>
  <c r="K3" i="4"/>
  <c r="K3" i="5"/>
  <c r="K32" i="1"/>
  <c r="K23" i="1"/>
  <c r="K22" i="1"/>
  <c r="L18" i="1" s="1"/>
  <c r="L11" i="2" s="1"/>
  <c r="L42" i="4" s="1"/>
  <c r="K21" i="1"/>
  <c r="K14" i="1"/>
  <c r="K13" i="1"/>
  <c r="L9" i="1" s="1"/>
  <c r="L7" i="2" s="1"/>
  <c r="K12" i="1"/>
  <c r="K35" i="1"/>
  <c r="L30" i="1" s="1"/>
  <c r="L9" i="4" s="1"/>
  <c r="K34" i="1"/>
  <c r="K33" i="1"/>
  <c r="O16" i="2"/>
  <c r="L3" i="1"/>
  <c r="N77" i="6"/>
  <c r="O74" i="6" s="1"/>
  <c r="P98" i="1"/>
  <c r="O76" i="6"/>
  <c r="L106" i="6"/>
  <c r="L109" i="6" s="1"/>
  <c r="L137" i="6" s="1"/>
  <c r="L33" i="5" s="1"/>
  <c r="M108" i="6"/>
  <c r="P107" i="6"/>
  <c r="O99" i="1"/>
  <c r="O32" i="6" s="1"/>
  <c r="O33" i="6" s="1"/>
  <c r="O93" i="6"/>
  <c r="P93" i="6" s="1"/>
  <c r="L103" i="6"/>
  <c r="K103" i="6"/>
  <c r="L80" i="6"/>
  <c r="L90" i="6" s="1"/>
  <c r="P82" i="1"/>
  <c r="P30" i="5" s="1"/>
  <c r="O30" i="5"/>
  <c r="O30" i="4"/>
  <c r="P69" i="1"/>
  <c r="N32" i="4"/>
  <c r="N8" i="3" s="1"/>
  <c r="O14" i="2"/>
  <c r="E62" i="6" l="1"/>
  <c r="E66" i="6"/>
  <c r="E70" i="6"/>
  <c r="P70" i="6" s="1"/>
  <c r="E63" i="6"/>
  <c r="E67" i="6"/>
  <c r="E64" i="6"/>
  <c r="E65" i="6"/>
  <c r="E68" i="6"/>
  <c r="E61" i="6"/>
  <c r="E69" i="6"/>
  <c r="O69" i="6" s="1"/>
  <c r="P69" i="6" s="1"/>
  <c r="P27" i="6"/>
  <c r="P37" i="6"/>
  <c r="E48" i="6"/>
  <c r="E57" i="6"/>
  <c r="P57" i="6" s="1"/>
  <c r="E49" i="6"/>
  <c r="E50" i="6"/>
  <c r="E53" i="6"/>
  <c r="E54" i="6"/>
  <c r="E51" i="6"/>
  <c r="E52" i="6"/>
  <c r="E55" i="6"/>
  <c r="E56" i="6"/>
  <c r="O56" i="6" s="1"/>
  <c r="P56" i="6" s="1"/>
  <c r="O37" i="6"/>
  <c r="O27" i="6"/>
  <c r="E112" i="6" a="1"/>
  <c r="N36" i="6"/>
  <c r="N39" i="6" s="1"/>
  <c r="M137" i="6"/>
  <c r="M33" i="5" s="1"/>
  <c r="P30" i="6"/>
  <c r="L3" i="6"/>
  <c r="L3" i="5"/>
  <c r="L3" i="3"/>
  <c r="L3" i="4"/>
  <c r="L3" i="2"/>
  <c r="P31" i="6"/>
  <c r="O31" i="4"/>
  <c r="O32" i="4" s="1"/>
  <c r="O8" i="3" s="1"/>
  <c r="M30" i="1"/>
  <c r="M18" i="1"/>
  <c r="L13" i="1"/>
  <c r="L35" i="1"/>
  <c r="L33" i="1"/>
  <c r="L32" i="1"/>
  <c r="L21" i="1"/>
  <c r="L12" i="1"/>
  <c r="L34" i="1"/>
  <c r="L23" i="1"/>
  <c r="L14" i="1"/>
  <c r="M9" i="1"/>
  <c r="L15" i="2"/>
  <c r="L22" i="1"/>
  <c r="P16" i="2"/>
  <c r="M3" i="1"/>
  <c r="O77" i="6"/>
  <c r="P74" i="6" s="1"/>
  <c r="M106" i="6"/>
  <c r="M109" i="6" s="1"/>
  <c r="N108" i="6"/>
  <c r="P99" i="1"/>
  <c r="P32" i="6" s="1"/>
  <c r="E125" i="6" a="1"/>
  <c r="E114" i="6"/>
  <c r="E117" i="6"/>
  <c r="E115" i="6"/>
  <c r="E112" i="6"/>
  <c r="E116" i="6"/>
  <c r="E113" i="6"/>
  <c r="E119" i="6"/>
  <c r="E118" i="6"/>
  <c r="E121" i="6"/>
  <c r="P121" i="6" s="1"/>
  <c r="E120" i="6"/>
  <c r="O120" i="6" s="1"/>
  <c r="P120" i="6" s="1"/>
  <c r="M103" i="6"/>
  <c r="M80" i="6"/>
  <c r="M90" i="6" s="1"/>
  <c r="P30" i="4"/>
  <c r="L62" i="1"/>
  <c r="L35" i="4" s="1"/>
  <c r="L10" i="3"/>
  <c r="L11" i="4"/>
  <c r="L16" i="4" s="1"/>
  <c r="L12" i="4"/>
  <c r="L17" i="4" s="1"/>
  <c r="L14" i="4"/>
  <c r="L19" i="4" s="1"/>
  <c r="L13" i="4"/>
  <c r="L18" i="4" s="1"/>
  <c r="P14" i="2"/>
  <c r="J51" i="6" l="1"/>
  <c r="L51" i="6"/>
  <c r="M51" i="6" s="1"/>
  <c r="K51" i="6"/>
  <c r="N51" i="6" s="1"/>
  <c r="O51" i="6" s="1"/>
  <c r="P51" i="6" s="1"/>
  <c r="H49" i="6"/>
  <c r="K65" i="6"/>
  <c r="P33" i="6"/>
  <c r="O36" i="6"/>
  <c r="O39" i="6" s="1"/>
  <c r="M54" i="6"/>
  <c r="N54" i="6" s="1"/>
  <c r="J64" i="6"/>
  <c r="L66" i="6"/>
  <c r="M66" i="6"/>
  <c r="N66" i="6" s="1"/>
  <c r="K52" i="6"/>
  <c r="L52" i="6"/>
  <c r="M52" i="6"/>
  <c r="I50" i="6"/>
  <c r="K50" i="6" s="1"/>
  <c r="J50" i="6"/>
  <c r="N68" i="6"/>
  <c r="O68" i="6" s="1"/>
  <c r="I63" i="6"/>
  <c r="N55" i="6"/>
  <c r="L53" i="6"/>
  <c r="M53" i="6" s="1"/>
  <c r="H48" i="6"/>
  <c r="G48" i="6"/>
  <c r="G58" i="6" s="1"/>
  <c r="I48" i="6"/>
  <c r="I61" i="6"/>
  <c r="G61" i="6"/>
  <c r="G71" i="6" s="1"/>
  <c r="H61" i="6"/>
  <c r="M67" i="6"/>
  <c r="N67" i="6" s="1"/>
  <c r="H62" i="6"/>
  <c r="L17" i="2"/>
  <c r="M3" i="2"/>
  <c r="M3" i="6"/>
  <c r="M3" i="5"/>
  <c r="M3" i="3"/>
  <c r="M3" i="4"/>
  <c r="P76" i="6"/>
  <c r="P77" i="6" s="1"/>
  <c r="N18" i="1"/>
  <c r="M11" i="2"/>
  <c r="M42" i="4" s="1"/>
  <c r="N9" i="1"/>
  <c r="M7" i="2"/>
  <c r="M13" i="1" s="1"/>
  <c r="O30" i="1"/>
  <c r="P30" i="1" s="1"/>
  <c r="M9" i="4"/>
  <c r="N9" i="4" s="1"/>
  <c r="P31" i="4"/>
  <c r="P32" i="4" s="1"/>
  <c r="P8" i="3" s="1"/>
  <c r="M12" i="1"/>
  <c r="M33" i="1"/>
  <c r="M14" i="1"/>
  <c r="M23" i="1"/>
  <c r="M21" i="1"/>
  <c r="M32" i="1"/>
  <c r="M34" i="1"/>
  <c r="N3" i="1"/>
  <c r="L47" i="4"/>
  <c r="L15" i="3" s="1"/>
  <c r="N106" i="6"/>
  <c r="N109" i="6" s="1"/>
  <c r="N137" i="6" s="1"/>
  <c r="N33" i="5" s="1"/>
  <c r="P108" i="6"/>
  <c r="O108" i="6"/>
  <c r="N119" i="6"/>
  <c r="O119" i="6" s="1"/>
  <c r="J115" i="6"/>
  <c r="K115" i="6" s="1"/>
  <c r="E126" i="6"/>
  <c r="E127" i="6"/>
  <c r="E125" i="6"/>
  <c r="E133" i="6"/>
  <c r="O133" i="6" s="1"/>
  <c r="P133" i="6" s="1"/>
  <c r="E131" i="6"/>
  <c r="E128" i="6"/>
  <c r="E134" i="6"/>
  <c r="P134" i="6" s="1"/>
  <c r="E129" i="6"/>
  <c r="E130" i="6"/>
  <c r="E132" i="6"/>
  <c r="N132" i="6" s="1"/>
  <c r="O132" i="6" s="1"/>
  <c r="P132" i="6" s="1"/>
  <c r="M118" i="6"/>
  <c r="N118" i="6" s="1"/>
  <c r="G112" i="6"/>
  <c r="G122" i="6" s="1"/>
  <c r="K116" i="6"/>
  <c r="L116" i="6" s="1"/>
  <c r="M116" i="6" s="1"/>
  <c r="N116" i="6" s="1"/>
  <c r="O116" i="6" s="1"/>
  <c r="P116" i="6" s="1"/>
  <c r="I114" i="6"/>
  <c r="J114" i="6" s="1"/>
  <c r="H113" i="6"/>
  <c r="I113" i="6" s="1"/>
  <c r="L117" i="6"/>
  <c r="M117" i="6" s="1"/>
  <c r="N117" i="6" s="1"/>
  <c r="N80" i="6"/>
  <c r="O80" i="6" s="1"/>
  <c r="L5" i="3"/>
  <c r="L29" i="5" s="1"/>
  <c r="L43" i="4"/>
  <c r="L11" i="3" s="1"/>
  <c r="L44" i="4"/>
  <c r="L12" i="3" s="1"/>
  <c r="L45" i="4"/>
  <c r="L13" i="3" s="1"/>
  <c r="L46" i="4"/>
  <c r="L14" i="3" s="1"/>
  <c r="L36" i="4"/>
  <c r="L37" i="4" s="1"/>
  <c r="L9" i="3" s="1"/>
  <c r="L20" i="4"/>
  <c r="L7" i="3" s="1"/>
  <c r="N53" i="6" l="1"/>
  <c r="O53" i="6"/>
  <c r="O54" i="6"/>
  <c r="P54" i="6" s="1"/>
  <c r="P66" i="6"/>
  <c r="M50" i="6"/>
  <c r="I62" i="6"/>
  <c r="O67" i="6"/>
  <c r="P67" i="6" s="1"/>
  <c r="J48" i="6"/>
  <c r="H58" i="6"/>
  <c r="K63" i="6"/>
  <c r="J63" i="6"/>
  <c r="L63" i="6" s="1"/>
  <c r="L50" i="6"/>
  <c r="N52" i="6"/>
  <c r="O52" i="6" s="1"/>
  <c r="O66" i="6"/>
  <c r="K64" i="6"/>
  <c r="L64" i="6" s="1"/>
  <c r="M65" i="6"/>
  <c r="L65" i="6"/>
  <c r="J61" i="6"/>
  <c r="I71" i="6"/>
  <c r="O55" i="6"/>
  <c r="P55" i="6" s="1"/>
  <c r="P36" i="6"/>
  <c r="P39" i="6" s="1"/>
  <c r="I49" i="6"/>
  <c r="I58" i="6" s="1"/>
  <c r="H71" i="6"/>
  <c r="G138" i="6"/>
  <c r="P68" i="6"/>
  <c r="N3" i="6"/>
  <c r="N3" i="5"/>
  <c r="N3" i="3"/>
  <c r="N3" i="4"/>
  <c r="N3" i="2"/>
  <c r="L28" i="5"/>
  <c r="L12" i="5"/>
  <c r="O9" i="4"/>
  <c r="P9" i="4" s="1"/>
  <c r="M12" i="4"/>
  <c r="M17" i="4" s="1"/>
  <c r="N35" i="1"/>
  <c r="M35" i="1"/>
  <c r="M62" i="1"/>
  <c r="M35" i="4" s="1"/>
  <c r="M36" i="4" s="1"/>
  <c r="M37" i="4" s="1"/>
  <c r="M9" i="3" s="1"/>
  <c r="M14" i="4"/>
  <c r="M19" i="4" s="1"/>
  <c r="M22" i="1"/>
  <c r="O9" i="1"/>
  <c r="P9" i="1" s="1"/>
  <c r="N7" i="2"/>
  <c r="N13" i="1" s="1"/>
  <c r="O18" i="1"/>
  <c r="P18" i="1" s="1"/>
  <c r="N11" i="2"/>
  <c r="N12" i="4" s="1"/>
  <c r="N17" i="4" s="1"/>
  <c r="M13" i="4"/>
  <c r="M18" i="4" s="1"/>
  <c r="M10" i="3"/>
  <c r="M11" i="4"/>
  <c r="M16" i="4" s="1"/>
  <c r="M15" i="2"/>
  <c r="N21" i="1"/>
  <c r="N12" i="1"/>
  <c r="N14" i="1"/>
  <c r="N34" i="1"/>
  <c r="N23" i="1"/>
  <c r="N33" i="1"/>
  <c r="N32" i="1"/>
  <c r="O3" i="1"/>
  <c r="O106" i="6"/>
  <c r="O109" i="6" s="1"/>
  <c r="O137" i="6" s="1"/>
  <c r="O33" i="5" s="1"/>
  <c r="L16" i="3"/>
  <c r="L115" i="6"/>
  <c r="M115" i="6" s="1"/>
  <c r="O118" i="6"/>
  <c r="P118" i="6" s="1"/>
  <c r="J128" i="6"/>
  <c r="K128" i="6" s="1"/>
  <c r="I127" i="6"/>
  <c r="J127" i="6" s="1"/>
  <c r="K129" i="6"/>
  <c r="L129" i="6" s="1"/>
  <c r="L130" i="6"/>
  <c r="M130" i="6" s="1"/>
  <c r="M131" i="6"/>
  <c r="N131" i="6" s="1"/>
  <c r="H126" i="6"/>
  <c r="I126" i="6" s="1"/>
  <c r="J113" i="6"/>
  <c r="K113" i="6" s="1"/>
  <c r="L113" i="6" s="1"/>
  <c r="M113" i="6" s="1"/>
  <c r="N113" i="6" s="1"/>
  <c r="O113" i="6" s="1"/>
  <c r="P113" i="6" s="1"/>
  <c r="K114" i="6"/>
  <c r="H112" i="6"/>
  <c r="G125" i="6"/>
  <c r="O117" i="6"/>
  <c r="P117" i="6" s="1"/>
  <c r="P119" i="6"/>
  <c r="N90" i="6"/>
  <c r="N103" i="6"/>
  <c r="P80" i="6"/>
  <c r="P90" i="6" s="1"/>
  <c r="O90" i="6"/>
  <c r="M63" i="6" l="1"/>
  <c r="N63" i="6" s="1"/>
  <c r="O63" i="6" s="1"/>
  <c r="P63" i="6" s="1"/>
  <c r="M64" i="6"/>
  <c r="N64" i="6" s="1"/>
  <c r="O64" i="6" s="1"/>
  <c r="P64" i="6" s="1"/>
  <c r="K61" i="6"/>
  <c r="N65" i="6"/>
  <c r="O65" i="6" s="1"/>
  <c r="P65" i="6" s="1"/>
  <c r="K48" i="6"/>
  <c r="J58" i="6"/>
  <c r="J62" i="6"/>
  <c r="N50" i="6"/>
  <c r="O50" i="6" s="1"/>
  <c r="P50" i="6" s="1"/>
  <c r="J49" i="6"/>
  <c r="P52" i="6"/>
  <c r="P53" i="6"/>
  <c r="M17" i="2"/>
  <c r="M44" i="4" s="1"/>
  <c r="M12" i="3" s="1"/>
  <c r="O3" i="6"/>
  <c r="O3" i="3"/>
  <c r="O3" i="2"/>
  <c r="O3" i="4"/>
  <c r="O3" i="5"/>
  <c r="O35" i="1"/>
  <c r="N14" i="4"/>
  <c r="N19" i="4" s="1"/>
  <c r="O7" i="2"/>
  <c r="P7" i="2" s="1"/>
  <c r="O11" i="2"/>
  <c r="O22" i="1" s="1"/>
  <c r="N42" i="4"/>
  <c r="N10" i="3" s="1"/>
  <c r="M47" i="4"/>
  <c r="M15" i="3" s="1"/>
  <c r="N22" i="1"/>
  <c r="N62" i="1"/>
  <c r="M20" i="4"/>
  <c r="M7" i="3" s="1"/>
  <c r="N11" i="4"/>
  <c r="N16" i="4" s="1"/>
  <c r="N13" i="4"/>
  <c r="N18" i="4" s="1"/>
  <c r="N15" i="2"/>
  <c r="O21" i="1"/>
  <c r="O23" i="1"/>
  <c r="O34" i="1"/>
  <c r="O14" i="1"/>
  <c r="O12" i="1"/>
  <c r="O32" i="1"/>
  <c r="O33" i="1"/>
  <c r="P3" i="1"/>
  <c r="P106" i="6"/>
  <c r="P109" i="6" s="1"/>
  <c r="P137" i="6" s="1"/>
  <c r="P33" i="5" s="1"/>
  <c r="L17" i="3"/>
  <c r="N115" i="6"/>
  <c r="O115" i="6" s="1"/>
  <c r="L128" i="6"/>
  <c r="M128" i="6" s="1"/>
  <c r="N128" i="6" s="1"/>
  <c r="O128" i="6" s="1"/>
  <c r="P128" i="6" s="1"/>
  <c r="M129" i="6"/>
  <c r="N129" i="6" s="1"/>
  <c r="G135" i="6"/>
  <c r="G139" i="6" s="1"/>
  <c r="L114" i="6"/>
  <c r="M114" i="6" s="1"/>
  <c r="O131" i="6"/>
  <c r="P131" i="6" s="1"/>
  <c r="N130" i="6"/>
  <c r="O130" i="6" s="1"/>
  <c r="J126" i="6"/>
  <c r="I112" i="6"/>
  <c r="H122" i="6"/>
  <c r="H138" i="6" s="1"/>
  <c r="H125" i="6"/>
  <c r="K127" i="6"/>
  <c r="L127" i="6" s="1"/>
  <c r="M127" i="6" s="1"/>
  <c r="N127" i="6" s="1"/>
  <c r="O127" i="6" s="1"/>
  <c r="P127" i="6" s="1"/>
  <c r="O103" i="6"/>
  <c r="P103" i="6"/>
  <c r="K71" i="6" l="1"/>
  <c r="M61" i="6"/>
  <c r="L61" i="6"/>
  <c r="K62" i="6"/>
  <c r="L62" i="6" s="1"/>
  <c r="M62" i="6" s="1"/>
  <c r="N62" i="6" s="1"/>
  <c r="O62" i="6" s="1"/>
  <c r="P62" i="6" s="1"/>
  <c r="K49" i="6"/>
  <c r="M48" i="6"/>
  <c r="J71" i="6"/>
  <c r="L48" i="6"/>
  <c r="N17" i="2"/>
  <c r="N45" i="4" s="1"/>
  <c r="N13" i="3" s="1"/>
  <c r="M45" i="4"/>
  <c r="M13" i="3" s="1"/>
  <c r="M46" i="4"/>
  <c r="M14" i="3" s="1"/>
  <c r="P3" i="6"/>
  <c r="P3" i="5"/>
  <c r="P3" i="3"/>
  <c r="P3" i="4"/>
  <c r="P3" i="2"/>
  <c r="M43" i="4"/>
  <c r="M11" i="3" s="1"/>
  <c r="M5" i="3"/>
  <c r="M29" i="5" s="1"/>
  <c r="M28" i="5"/>
  <c r="M12" i="5"/>
  <c r="O12" i="4"/>
  <c r="O17" i="4" s="1"/>
  <c r="O13" i="4"/>
  <c r="O18" i="4" s="1"/>
  <c r="O14" i="4"/>
  <c r="O19" i="4" s="1"/>
  <c r="O11" i="4"/>
  <c r="O16" i="4" s="1"/>
  <c r="O62" i="1"/>
  <c r="N35" i="4"/>
  <c r="P11" i="2"/>
  <c r="P42" i="4" s="1"/>
  <c r="P10" i="3" s="1"/>
  <c r="O42" i="4"/>
  <c r="O10" i="3" s="1"/>
  <c r="N20" i="4"/>
  <c r="N7" i="3" s="1"/>
  <c r="O13" i="1"/>
  <c r="O15" i="2"/>
  <c r="N46" i="4"/>
  <c r="N14" i="3" s="1"/>
  <c r="M16" i="3"/>
  <c r="N44" i="4"/>
  <c r="N12" i="3" s="1"/>
  <c r="N47" i="4"/>
  <c r="N15" i="3" s="1"/>
  <c r="P13" i="1"/>
  <c r="P33" i="1"/>
  <c r="P23" i="1"/>
  <c r="P32" i="1"/>
  <c r="P34" i="1"/>
  <c r="P12" i="1"/>
  <c r="P14" i="1"/>
  <c r="P21" i="1"/>
  <c r="P35" i="1"/>
  <c r="P115" i="6"/>
  <c r="O129" i="6"/>
  <c r="P129" i="6" s="1"/>
  <c r="I122" i="6"/>
  <c r="I138" i="6" s="1"/>
  <c r="K126" i="6"/>
  <c r="L126" i="6" s="1"/>
  <c r="G19" i="3"/>
  <c r="G22" i="3" s="1"/>
  <c r="I125" i="6"/>
  <c r="N114" i="6"/>
  <c r="O114" i="6" s="1"/>
  <c r="P114" i="6" s="1"/>
  <c r="P130" i="6"/>
  <c r="J112" i="6"/>
  <c r="H135" i="6"/>
  <c r="H139" i="6" s="1"/>
  <c r="K58" i="6" l="1"/>
  <c r="N5" i="3"/>
  <c r="N29" i="5" s="1"/>
  <c r="L49" i="6"/>
  <c r="M49" i="6" s="1"/>
  <c r="N48" i="6"/>
  <c r="M71" i="6"/>
  <c r="N61" i="6"/>
  <c r="N43" i="4"/>
  <c r="N11" i="3" s="1"/>
  <c r="L71" i="6"/>
  <c r="O17" i="2"/>
  <c r="N12" i="5"/>
  <c r="N28" i="5"/>
  <c r="P14" i="4"/>
  <c r="P19" i="4" s="1"/>
  <c r="O35" i="4"/>
  <c r="O36" i="4" s="1"/>
  <c r="O37" i="4" s="1"/>
  <c r="O9" i="3" s="1"/>
  <c r="O20" i="4"/>
  <c r="O7" i="3" s="1"/>
  <c r="O12" i="5" s="1"/>
  <c r="P62" i="1"/>
  <c r="P11" i="4"/>
  <c r="P16" i="4" s="1"/>
  <c r="N36" i="4"/>
  <c r="N37" i="4" s="1"/>
  <c r="N9" i="3" s="1"/>
  <c r="P22" i="1"/>
  <c r="P13" i="4"/>
  <c r="P18" i="4" s="1"/>
  <c r="P15" i="2"/>
  <c r="P12" i="4"/>
  <c r="P17" i="4" s="1"/>
  <c r="O44" i="4"/>
  <c r="O12" i="3" s="1"/>
  <c r="O47" i="4"/>
  <c r="O15" i="3" s="1"/>
  <c r="O45" i="4"/>
  <c r="O13" i="3" s="1"/>
  <c r="O5" i="3"/>
  <c r="O43" i="4"/>
  <c r="O11" i="3" s="1"/>
  <c r="M17" i="3"/>
  <c r="M126" i="6"/>
  <c r="N126" i="6" s="1"/>
  <c r="J122" i="6"/>
  <c r="J138" i="6" s="1"/>
  <c r="K112" i="6"/>
  <c r="K122" i="6" s="1"/>
  <c r="I135" i="6"/>
  <c r="I139" i="6" s="1"/>
  <c r="G35" i="5"/>
  <c r="H19" i="3"/>
  <c r="H22" i="3" s="1"/>
  <c r="J125" i="6"/>
  <c r="N49" i="6" l="1"/>
  <c r="O49" i="6" s="1"/>
  <c r="P49" i="6" s="1"/>
  <c r="M58" i="6"/>
  <c r="K138" i="6"/>
  <c r="L58" i="6"/>
  <c r="N58" i="6"/>
  <c r="O48" i="6"/>
  <c r="N71" i="6"/>
  <c r="O61" i="6"/>
  <c r="P17" i="2"/>
  <c r="P5" i="3" s="1"/>
  <c r="O46" i="4"/>
  <c r="O14" i="3" s="1"/>
  <c r="O16" i="3" s="1"/>
  <c r="O29" i="5"/>
  <c r="O28" i="5"/>
  <c r="P35" i="4"/>
  <c r="P36" i="4" s="1"/>
  <c r="P37" i="4" s="1"/>
  <c r="P9" i="3" s="1"/>
  <c r="P44" i="4"/>
  <c r="P12" i="3" s="1"/>
  <c r="N16" i="3"/>
  <c r="P20" i="4"/>
  <c r="P7" i="3" s="1"/>
  <c r="P12" i="5" s="1"/>
  <c r="P45" i="4"/>
  <c r="P13" i="3" s="1"/>
  <c r="P47" i="4"/>
  <c r="P15" i="3" s="1"/>
  <c r="I19" i="3"/>
  <c r="I22" i="3" s="1"/>
  <c r="O126" i="6"/>
  <c r="P126" i="6" s="1"/>
  <c r="L112" i="6"/>
  <c r="L122" i="6" s="1"/>
  <c r="H35" i="5"/>
  <c r="J19" i="3"/>
  <c r="J22" i="3" s="1"/>
  <c r="K125" i="6"/>
  <c r="J135" i="6"/>
  <c r="J139" i="6" s="1"/>
  <c r="P46" i="4" l="1"/>
  <c r="P14" i="3" s="1"/>
  <c r="O71" i="6"/>
  <c r="P61" i="6"/>
  <c r="P71" i="6" s="1"/>
  <c r="L138" i="6"/>
  <c r="P48" i="6"/>
  <c r="P58" i="6" s="1"/>
  <c r="O58" i="6"/>
  <c r="P43" i="4"/>
  <c r="P11" i="3" s="1"/>
  <c r="P28" i="5"/>
  <c r="P29" i="5"/>
  <c r="N17" i="3"/>
  <c r="O17" i="3"/>
  <c r="P16" i="3"/>
  <c r="G39" i="5"/>
  <c r="K19" i="3"/>
  <c r="K22" i="3" s="1"/>
  <c r="M112" i="6"/>
  <c r="L34" i="5"/>
  <c r="K135" i="6"/>
  <c r="K139" i="6" s="1"/>
  <c r="I35" i="5"/>
  <c r="L125" i="6"/>
  <c r="L135" i="6" s="1"/>
  <c r="L139" i="6" s="1"/>
  <c r="P17" i="3" l="1"/>
  <c r="L19" i="3"/>
  <c r="M122" i="6"/>
  <c r="M138" i="6" s="1"/>
  <c r="N112" i="6"/>
  <c r="N122" i="6" s="1"/>
  <c r="N138" i="6" s="1"/>
  <c r="M125" i="6"/>
  <c r="J35" i="5"/>
  <c r="M34" i="5" l="1"/>
  <c r="M19" i="3"/>
  <c r="O112" i="6"/>
  <c r="O122" i="6" s="1"/>
  <c r="O138" i="6" s="1"/>
  <c r="M135" i="6"/>
  <c r="M139" i="6" s="1"/>
  <c r="N125" i="6"/>
  <c r="K35" i="5"/>
  <c r="N34" i="5" l="1"/>
  <c r="O34" i="5" s="1"/>
  <c r="N19" i="3"/>
  <c r="P112" i="6"/>
  <c r="P122" i="6" s="1"/>
  <c r="P138" i="6" s="1"/>
  <c r="O19" i="3"/>
  <c r="O125" i="6"/>
  <c r="O135" i="6" s="1"/>
  <c r="O139" i="6" s="1"/>
  <c r="N135" i="6"/>
  <c r="N139" i="6" s="1"/>
  <c r="L35" i="5"/>
  <c r="P34" i="5" l="1"/>
  <c r="P19" i="3"/>
  <c r="P125" i="6"/>
  <c r="P135" i="6" s="1"/>
  <c r="P139" i="6" s="1"/>
  <c r="M35" i="5"/>
  <c r="N35" i="5" l="1"/>
  <c r="O35" i="5" l="1"/>
  <c r="P35" i="5"/>
  <c r="H17" i="5" l="1"/>
  <c r="I17" i="5" l="1"/>
  <c r="J17" i="5" l="1"/>
  <c r="K17" i="5" l="1"/>
  <c r="H75" i="1" l="1"/>
  <c r="I75" i="1"/>
  <c r="J75" i="1"/>
  <c r="K75" i="1"/>
  <c r="K80" i="1"/>
  <c r="L80" i="1" s="1"/>
  <c r="K81" i="1"/>
  <c r="L81" i="1" s="1"/>
  <c r="L10" i="5"/>
  <c r="M10" i="5" s="1"/>
  <c r="M80" i="1" l="1"/>
  <c r="N80" i="1" s="1"/>
  <c r="L9" i="5"/>
  <c r="N10" i="5"/>
  <c r="M81" i="1"/>
  <c r="L11" i="5"/>
  <c r="M9" i="5" l="1"/>
  <c r="O80" i="1"/>
  <c r="N9" i="5"/>
  <c r="O10" i="5"/>
  <c r="N81" i="1"/>
  <c r="M11" i="5"/>
  <c r="P80" i="1" l="1"/>
  <c r="P9" i="5" s="1"/>
  <c r="O9" i="5"/>
  <c r="N11" i="5"/>
  <c r="O81" i="1"/>
  <c r="P10" i="5"/>
  <c r="O11" i="5" l="1"/>
  <c r="P81" i="1"/>
  <c r="P11" i="5" s="1"/>
  <c r="H74" i="1" l="1"/>
  <c r="I74" i="1"/>
  <c r="J74" i="1"/>
  <c r="K74" i="1"/>
  <c r="L8" i="5"/>
  <c r="M8" i="5" l="1"/>
  <c r="N8" i="5" l="1"/>
  <c r="O8" i="5" l="1"/>
  <c r="P8" i="5" l="1"/>
  <c r="H26" i="3" l="1"/>
  <c r="H27" i="3" s="1"/>
  <c r="G26" i="3" l="1"/>
  <c r="G27" i="3" s="1"/>
  <c r="K26" i="3" l="1"/>
  <c r="K27" i="3" s="1"/>
  <c r="J26" i="3"/>
  <c r="J27" i="3" s="1"/>
  <c r="I26" i="3"/>
  <c r="I27" i="3" s="1"/>
  <c r="G22" i="5" l="1"/>
  <c r="H22" i="5" l="1"/>
  <c r="G13" i="5" l="1"/>
  <c r="G23" i="5" l="1"/>
  <c r="G40" i="5" s="1"/>
  <c r="H13" i="5"/>
  <c r="H23" i="5" s="1"/>
  <c r="H31" i="5"/>
  <c r="H39" i="5" l="1"/>
  <c r="H40" i="5" s="1"/>
  <c r="I13" i="5" l="1"/>
  <c r="J13" i="5" l="1"/>
  <c r="L13" i="5" l="1"/>
  <c r="K13" i="5"/>
  <c r="M13" i="5" l="1"/>
  <c r="N13" i="5" l="1"/>
  <c r="I22" i="5"/>
  <c r="I23" i="5" s="1"/>
  <c r="J22" i="5"/>
  <c r="J23" i="5" s="1"/>
  <c r="K22" i="5"/>
  <c r="K23" i="5" s="1"/>
  <c r="I31" i="5" l="1"/>
  <c r="J31" i="5"/>
  <c r="K31" i="5"/>
  <c r="J39" i="5" l="1"/>
  <c r="J40" i="5" s="1"/>
  <c r="O13" i="5"/>
  <c r="I39" i="5"/>
  <c r="I40" i="5" s="1"/>
  <c r="K39" i="5"/>
  <c r="K40" i="5" s="1"/>
  <c r="P13" i="5" l="1"/>
  <c r="L17" i="5" l="1"/>
  <c r="M17" i="5"/>
  <c r="N17" i="5"/>
  <c r="P17" i="5"/>
  <c r="O17" i="5"/>
  <c r="L22" i="3"/>
  <c r="N22" i="3"/>
  <c r="O22" i="3"/>
  <c r="P22" i="3"/>
  <c r="M22" i="3" l="1"/>
  <c r="L26" i="3" l="1"/>
  <c r="L27" i="3" s="1"/>
  <c r="M26" i="3"/>
  <c r="M27" i="3" s="1"/>
  <c r="N26" i="3" l="1"/>
  <c r="N27" i="3" s="1"/>
  <c r="L31" i="5" l="1"/>
  <c r="O26" i="3"/>
  <c r="O27" i="3" s="1"/>
  <c r="P26" i="3" l="1"/>
  <c r="P27" i="3" s="1"/>
  <c r="M31" i="5"/>
  <c r="L39" i="5"/>
  <c r="M39" i="5" l="1"/>
  <c r="N31" i="5" l="1"/>
  <c r="L22" i="5"/>
  <c r="L23" i="5" s="1"/>
  <c r="L40" i="5" s="1"/>
  <c r="M22" i="5" l="1"/>
  <c r="M23" i="5" s="1"/>
  <c r="M40" i="5" s="1"/>
  <c r="N39" i="5"/>
  <c r="O31" i="5"/>
  <c r="O39" i="5" l="1"/>
  <c r="P31" i="5"/>
  <c r="P39" i="5" l="1"/>
  <c r="N22" i="5"/>
  <c r="N23" i="5" s="1"/>
  <c r="N40" i="5" s="1"/>
  <c r="P22" i="5" l="1"/>
  <c r="P23" i="5" s="1"/>
  <c r="P40" i="5" s="1"/>
  <c r="O22" i="5"/>
  <c r="O23" i="5" s="1"/>
  <c r="O40" i="5" s="1"/>
</calcChain>
</file>

<file path=xl/sharedStrings.xml><?xml version="1.0" encoding="utf-8"?>
<sst xmlns="http://schemas.openxmlformats.org/spreadsheetml/2006/main" count="467" uniqueCount="191">
  <si>
    <t>Unit</t>
  </si>
  <si>
    <t>FY09A</t>
  </si>
  <si>
    <t>FY14P</t>
  </si>
  <si>
    <t>FY15P</t>
  </si>
  <si>
    <t>FY16P</t>
  </si>
  <si>
    <t>FY17P</t>
  </si>
  <si>
    <t>FY18P</t>
  </si>
  <si>
    <t>FY13E</t>
  </si>
  <si>
    <t>FY12A</t>
  </si>
  <si>
    <t>FY11A</t>
  </si>
  <si>
    <t>FY10A</t>
  </si>
  <si>
    <t>Revenue Drivers</t>
  </si>
  <si>
    <t>Prices</t>
  </si>
  <si>
    <t>y-o-y growth rates</t>
  </si>
  <si>
    <t>Soap</t>
  </si>
  <si>
    <t>Hair Colour</t>
  </si>
  <si>
    <t>Detergents</t>
  </si>
  <si>
    <t>CAGR w.r.t first year</t>
  </si>
  <si>
    <t>Volumes</t>
  </si>
  <si>
    <t>Sales Price</t>
  </si>
  <si>
    <t>Sales Volume</t>
  </si>
  <si>
    <t>Segmental Revenue</t>
  </si>
  <si>
    <t>Total Revenue</t>
  </si>
  <si>
    <t>INR/ packet</t>
  </si>
  <si>
    <t>INR/ bottle</t>
  </si>
  <si>
    <t>packets</t>
  </si>
  <si>
    <t>bottles</t>
  </si>
  <si>
    <t>INR Lakhs</t>
  </si>
  <si>
    <t>Year Tracker</t>
  </si>
  <si>
    <t>Revenue</t>
  </si>
  <si>
    <t>Operating Expenses</t>
  </si>
  <si>
    <t>Raw Material Cost</t>
  </si>
  <si>
    <t>Power Cost</t>
  </si>
  <si>
    <t>Packaging Cost</t>
  </si>
  <si>
    <t>Advertisement Cost</t>
  </si>
  <si>
    <t>Commission</t>
  </si>
  <si>
    <t>Maintenace Cost</t>
  </si>
  <si>
    <t>Insurance Premium</t>
  </si>
  <si>
    <t>EBITDA</t>
  </si>
  <si>
    <t>EBIT</t>
  </si>
  <si>
    <t>PBT</t>
  </si>
  <si>
    <t>PAT</t>
  </si>
  <si>
    <t>Current Tax</t>
  </si>
  <si>
    <t>Raw Material Cost Drivers</t>
  </si>
  <si>
    <t>Acid</t>
  </si>
  <si>
    <t>paise/ ml</t>
  </si>
  <si>
    <t>Speciality chemicals</t>
  </si>
  <si>
    <t>Ordinary chemicals</t>
  </si>
  <si>
    <t>Perfumes</t>
  </si>
  <si>
    <t xml:space="preserve"> Raw Material Prices</t>
  </si>
  <si>
    <t xml:space="preserve"> Raw Material Volumes</t>
  </si>
  <si>
    <t>litres</t>
  </si>
  <si>
    <t xml:space="preserve"> Raw Material Cost</t>
  </si>
  <si>
    <t>Total</t>
  </si>
  <si>
    <t>INR Lakh</t>
  </si>
  <si>
    <t>Soaps</t>
  </si>
  <si>
    <t>ml</t>
  </si>
  <si>
    <t>Hair Color</t>
  </si>
  <si>
    <t>Volume Conversion Matrix</t>
  </si>
  <si>
    <t>Manufacturing</t>
  </si>
  <si>
    <t>Marketing professionals</t>
  </si>
  <si>
    <t>Corporate employees</t>
  </si>
  <si>
    <t>Headcount</t>
  </si>
  <si>
    <t>Nos.</t>
  </si>
  <si>
    <t>Average Monthly Salary</t>
  </si>
  <si>
    <t>INR/month/person</t>
  </si>
  <si>
    <t>Head Count</t>
  </si>
  <si>
    <t>Average Salary</t>
  </si>
  <si>
    <t>Bonus as % of Salary</t>
  </si>
  <si>
    <t>Employee Cost Drivers</t>
  </si>
  <si>
    <t>Total Employees Cost</t>
  </si>
  <si>
    <t>Salaries</t>
  </si>
  <si>
    <t>Bonus</t>
  </si>
  <si>
    <t>Power Cost Drivers</t>
  </si>
  <si>
    <t>Tariff</t>
  </si>
  <si>
    <t>Consumption in Production Process</t>
  </si>
  <si>
    <t>Other Consumption</t>
  </si>
  <si>
    <t>Units</t>
  </si>
  <si>
    <t>Packaging Cost Drivers</t>
  </si>
  <si>
    <t>Unit Cost</t>
  </si>
  <si>
    <t>INR/ unit</t>
  </si>
  <si>
    <t>Other Cost Drivers</t>
  </si>
  <si>
    <t>% of Sales</t>
  </si>
  <si>
    <t>Inventory (Days of raw materials cost)</t>
  </si>
  <si>
    <t>Current Liabilities &amp; Provisions</t>
  </si>
  <si>
    <t>Provisions for Employees fund</t>
  </si>
  <si>
    <t>Advances from customers</t>
  </si>
  <si>
    <t>Insurance premium payable</t>
  </si>
  <si>
    <t>Non Current Liabilities</t>
  </si>
  <si>
    <t>Secured Loans</t>
  </si>
  <si>
    <t>Networth</t>
  </si>
  <si>
    <t>Paid Up Capital</t>
  </si>
  <si>
    <t>Total Liabilities &amp; Equity</t>
  </si>
  <si>
    <t>Assets</t>
  </si>
  <si>
    <t>Cash &amp; Cash Equivalent</t>
  </si>
  <si>
    <t>Net Fixed Assets</t>
  </si>
  <si>
    <t>Gross Block</t>
  </si>
  <si>
    <t>Investments</t>
  </si>
  <si>
    <t>Total Assets</t>
  </si>
  <si>
    <t>Total Current Assets</t>
  </si>
  <si>
    <t>Check</t>
  </si>
  <si>
    <t>Items having linkage with P&amp;L</t>
  </si>
  <si>
    <t>Other Items</t>
  </si>
  <si>
    <t>Capital Expenditure</t>
  </si>
  <si>
    <t>Laptops, Desktops &amp; Mobile</t>
  </si>
  <si>
    <t>Furnitures, Fixtures &amp; Furnishings</t>
  </si>
  <si>
    <t>Total Capital Expenditure</t>
  </si>
  <si>
    <t>Depreciation Schedule</t>
  </si>
  <si>
    <t>Books (SLM)</t>
  </si>
  <si>
    <t>IT Act (WDV)</t>
  </si>
  <si>
    <t>Capex Completion Schedule</t>
  </si>
  <si>
    <t>Project Completion Schedule</t>
  </si>
  <si>
    <t>CWIP</t>
  </si>
  <si>
    <t>Asset Creation Schedule</t>
  </si>
  <si>
    <t>Opening</t>
  </si>
  <si>
    <t>[+] Asset Creation during the year</t>
  </si>
  <si>
    <t>[-] Asset Deletion during the year</t>
  </si>
  <si>
    <t>Asset Deletion Schedule</t>
  </si>
  <si>
    <t>Closing Balance</t>
  </si>
  <si>
    <t>Book Depreciation Schedule</t>
  </si>
  <si>
    <t>Depreciation due to Asset Created in</t>
  </si>
  <si>
    <t>IT Depreciation Schedule</t>
  </si>
  <si>
    <t>Combined Total</t>
  </si>
  <si>
    <t>Book Depreciation</t>
  </si>
  <si>
    <t>Admin &amp; Misc Expenses</t>
  </si>
  <si>
    <t>Cash Credit / Overdraft Utilization</t>
  </si>
  <si>
    <t>[+] Investments</t>
  </si>
  <si>
    <t>[+] Margin Money with Bank</t>
  </si>
  <si>
    <t>Commissions Payables</t>
  </si>
  <si>
    <t xml:space="preserve">Accounts Payables </t>
  </si>
  <si>
    <t>% of Employee Cost</t>
  </si>
  <si>
    <t>Accouts Receivables</t>
  </si>
  <si>
    <t>Working Capital &amp; Balance Sheet Drivers</t>
  </si>
  <si>
    <t>Land</t>
  </si>
  <si>
    <t>Plant, Machinery &amp; Buildings</t>
  </si>
  <si>
    <t>(All figures in INR Lakhs unless stated otherwise)</t>
  </si>
  <si>
    <t>Taxes for the year</t>
  </si>
  <si>
    <t>Liabilities &amp; Equity</t>
  </si>
  <si>
    <t>Current Assets</t>
  </si>
  <si>
    <t>[-] Total Operating Expenses</t>
  </si>
  <si>
    <t>[-] Depreciation</t>
  </si>
  <si>
    <t>[-] Interest</t>
  </si>
  <si>
    <t>[-] Total Taxes for the year</t>
  </si>
  <si>
    <t>[+] Employee Cost</t>
  </si>
  <si>
    <t>[+] Power Cost</t>
  </si>
  <si>
    <t>[+] Packaging Cost</t>
  </si>
  <si>
    <t>[+] Advertisement Cost</t>
  </si>
  <si>
    <t>[+] Commission</t>
  </si>
  <si>
    <t>[+] Insurance Premium</t>
  </si>
  <si>
    <t>[+] Admin &amp; Misc Expenses</t>
  </si>
  <si>
    <t>Total Current Liab. &amp; Prov.</t>
  </si>
  <si>
    <t>[+] Provisions for Employees fund</t>
  </si>
  <si>
    <t>[+] Advances from customers</t>
  </si>
  <si>
    <t>[+] Commission payable</t>
  </si>
  <si>
    <t>[+] Insurance premium payable</t>
  </si>
  <si>
    <t>[+] Accounts payable</t>
  </si>
  <si>
    <t>[+] Unsecured Loans</t>
  </si>
  <si>
    <t>[+] Share Premium Account</t>
  </si>
  <si>
    <t>[+] Retained Earnings</t>
  </si>
  <si>
    <t>[+] Inventory</t>
  </si>
  <si>
    <t>[+] Account Receivables</t>
  </si>
  <si>
    <t>[+] Loans &amp; Advances</t>
  </si>
  <si>
    <t>[-] Accumulated Depreciation</t>
  </si>
  <si>
    <t>[+] Net Fixed Assets</t>
  </si>
  <si>
    <t>[+] WIP</t>
  </si>
  <si>
    <t>[+] Deferred Tax</t>
  </si>
  <si>
    <t>[+] Total Non Current Liabilities</t>
  </si>
  <si>
    <t>[+] Total Networth</t>
  </si>
  <si>
    <t>Total Depreciation</t>
  </si>
  <si>
    <t>IT Depreciation</t>
  </si>
  <si>
    <t>Assumption Sheet</t>
  </si>
  <si>
    <t>days of commission</t>
  </si>
  <si>
    <t>days of raw material costs</t>
  </si>
  <si>
    <t>days of sales</t>
  </si>
  <si>
    <t>Revenue Build Up Sheet</t>
  </si>
  <si>
    <t>Costs Build Up Sheet</t>
  </si>
  <si>
    <t>Profit &amp; Loss Statement</t>
  </si>
  <si>
    <t>Balance Sheet</t>
  </si>
  <si>
    <t>Asset Schedule Corresponding to Balance Sheet</t>
  </si>
  <si>
    <t>c</t>
  </si>
  <si>
    <t>f</t>
  </si>
  <si>
    <t>FY13A</t>
  </si>
  <si>
    <t>[+] Other Income</t>
  </si>
  <si>
    <t>[+] Deferred Tax Assets</t>
  </si>
  <si>
    <t>[+] Maintenance Cost</t>
  </si>
  <si>
    <t>FY14A</t>
  </si>
  <si>
    <t>FY15A</t>
  </si>
  <si>
    <t>Fiscal year ends 31st March</t>
  </si>
  <si>
    <t>FY19P</t>
  </si>
  <si>
    <t>FY20P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</si>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</sst>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14009]d/m/yy;@"/>
    <numFmt numFmtId="167" formatCode="_([$€-2]* #,##0.00_);_([$€-2]* \(#,##0.00\);_([$€-2]* &quot;-&quot;??_)"/>
    <numFmt numFmtId="168" formatCode="#,##0;\(#,##0\);\-;@"/>
    <numFmt numFmtId="169" formatCode="#,##0.0;\(#,##0.0\);\-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4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8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8"/>
      <color indexed="53"/>
      <name val="Verdana"/>
      <family val="2"/>
    </font>
    <font>
      <sz val="8"/>
      <name val="Comic Sans MS"/>
      <family val="4"/>
    </font>
    <font>
      <b/>
      <sz val="8"/>
      <name val="Comic Sans MS"/>
      <family val="4"/>
    </font>
    <font>
      <sz val="10"/>
      <color indexed="55"/>
      <name val="Arial"/>
      <family val="2"/>
    </font>
    <font>
      <b/>
      <sz val="10"/>
      <color indexed="9"/>
      <name val="Verdana"/>
      <family val="2"/>
    </font>
    <font>
      <sz val="10"/>
      <name val="Tahoma"/>
      <family val="2"/>
    </font>
    <font>
      <b/>
      <sz val="9"/>
      <color indexed="23"/>
      <name val="Verdana"/>
      <family val="2"/>
    </font>
    <font>
      <sz val="9"/>
      <color indexed="23"/>
      <name val="Verdana"/>
      <family val="2"/>
    </font>
    <font>
      <sz val="14"/>
      <color indexed="23"/>
      <name val="Verdana"/>
      <family val="2"/>
    </font>
    <font>
      <b/>
      <sz val="10"/>
      <color indexed="23"/>
      <name val="Verdana"/>
      <family val="2"/>
    </font>
    <font>
      <b/>
      <sz val="10"/>
      <name val="Comic Sans MS"/>
      <family val="4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  <xf numFmtId="0" fontId="16" fillId="3" borderId="0">
      <alignment horizontal="center"/>
    </xf>
    <xf numFmtId="4" fontId="17" fillId="4" borderId="0" applyBorder="0" applyAlignment="0" applyProtection="0"/>
    <xf numFmtId="4" fontId="18" fillId="5" borderId="0" applyBorder="0" applyAlignment="0" applyProtection="0"/>
    <xf numFmtId="0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0" fillId="0" borderId="0" applyNumberFormat="0">
      <alignment vertical="top" wrapText="1"/>
    </xf>
    <xf numFmtId="0" fontId="20" fillId="0" borderId="0" applyNumberFormat="0">
      <alignment vertical="top"/>
    </xf>
    <xf numFmtId="0" fontId="21" fillId="0" borderId="0" applyNumberFormat="0">
      <alignment vertical="top" wrapText="1"/>
    </xf>
    <xf numFmtId="0" fontId="22" fillId="0" borderId="0" applyNumberFormat="0">
      <alignment vertical="top" wrapText="1"/>
    </xf>
    <xf numFmtId="0" fontId="23" fillId="0" borderId="0" applyNumberFormat="0">
      <alignment vertical="top" wrapText="1"/>
    </xf>
    <xf numFmtId="4" fontId="16" fillId="6" borderId="0" applyBorder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3" fontId="17" fillId="7" borderId="0" applyNumberFormat="0" applyBorder="0" applyAlignment="0" applyProtection="0"/>
    <xf numFmtId="167" fontId="1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8" borderId="0" applyNumberFormat="0" applyProtection="0">
      <alignment horizontal="right"/>
    </xf>
    <xf numFmtId="0" fontId="26" fillId="0" borderId="0"/>
    <xf numFmtId="0" fontId="15" fillId="0" borderId="0"/>
    <xf numFmtId="0" fontId="15" fillId="0" borderId="0"/>
    <xf numFmtId="0" fontId="1" fillId="0" borderId="0"/>
    <xf numFmtId="0" fontId="17" fillId="0" borderId="0"/>
    <xf numFmtId="0" fontId="15" fillId="0" borderId="0"/>
    <xf numFmtId="9" fontId="15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7" fillId="0" borderId="4">
      <alignment horizontal="right"/>
    </xf>
    <xf numFmtId="0" fontId="27" fillId="6" borderId="4">
      <alignment horizontal="right"/>
    </xf>
    <xf numFmtId="0" fontId="28" fillId="0" borderId="5"/>
    <xf numFmtId="4" fontId="25" fillId="9" borderId="0" applyBorder="0" applyProtection="0"/>
    <xf numFmtId="0" fontId="29" fillId="0" borderId="6"/>
    <xf numFmtId="0" fontId="30" fillId="0" borderId="0" applyNumberFormat="0" applyAlignment="0" applyProtection="0"/>
    <xf numFmtId="0" fontId="30" fillId="0" borderId="5"/>
    <xf numFmtId="0" fontId="31" fillId="0" borderId="0" applyNumberFormat="0" applyFill="0" applyBorder="0" applyProtection="0">
      <alignment horizontal="left"/>
    </xf>
  </cellStyleXfs>
  <cellXfs count="102">
    <xf numFmtId="0" fontId="0" fillId="0" borderId="0" xfId="0"/>
    <xf numFmtId="0" fontId="2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165" fontId="4" fillId="2" borderId="0" xfId="2" applyNumberFormat="1" applyFont="1" applyFill="1" applyBorder="1" applyAlignment="1">
      <alignment vertical="center"/>
    </xf>
    <xf numFmtId="165" fontId="7" fillId="2" borderId="0" xfId="0" applyNumberFormat="1" applyFont="1" applyFill="1" applyBorder="1" applyAlignment="1">
      <alignment vertical="center"/>
    </xf>
    <xf numFmtId="165" fontId="7" fillId="2" borderId="0" xfId="2" applyNumberFormat="1" applyFont="1" applyFill="1" applyBorder="1" applyAlignment="1">
      <alignment vertical="center"/>
    </xf>
    <xf numFmtId="165" fontId="10" fillId="2" borderId="0" xfId="2" applyNumberFormat="1" applyFont="1" applyFill="1" applyBorder="1"/>
    <xf numFmtId="165" fontId="12" fillId="2" borderId="0" xfId="2" applyNumberFormat="1" applyFont="1" applyFill="1" applyBorder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left" vertical="center"/>
    </xf>
    <xf numFmtId="168" fontId="2" fillId="2" borderId="0" xfId="0" applyNumberFormat="1" applyFont="1" applyFill="1" applyBorder="1" applyAlignment="1">
      <alignment vertical="center"/>
    </xf>
    <xf numFmtId="168" fontId="0" fillId="2" borderId="0" xfId="0" applyNumberFormat="1" applyFont="1" applyFill="1" applyBorder="1" applyAlignment="1">
      <alignment vertical="center"/>
    </xf>
    <xf numFmtId="168" fontId="2" fillId="2" borderId="0" xfId="0" applyNumberFormat="1" applyFont="1" applyFill="1" applyBorder="1" applyAlignment="1">
      <alignment horizontal="left" vertical="center"/>
    </xf>
    <xf numFmtId="168" fontId="2" fillId="2" borderId="0" xfId="0" applyNumberFormat="1" applyFont="1" applyFill="1" applyBorder="1" applyAlignment="1">
      <alignment horizontal="center" vertical="center"/>
    </xf>
    <xf numFmtId="168" fontId="0" fillId="2" borderId="0" xfId="0" applyNumberFormat="1" applyFont="1" applyFill="1" applyBorder="1" applyAlignment="1">
      <alignment horizontal="center" vertical="center"/>
    </xf>
    <xf numFmtId="168" fontId="0" fillId="2" borderId="0" xfId="0" applyNumberFormat="1" applyFont="1" applyFill="1" applyBorder="1" applyAlignment="1">
      <alignment horizontal="left" vertical="center"/>
    </xf>
    <xf numFmtId="168" fontId="9" fillId="2" borderId="0" xfId="1" applyNumberFormat="1" applyFont="1" applyFill="1" applyBorder="1" applyAlignment="1">
      <alignment vertical="center"/>
    </xf>
    <xf numFmtId="168" fontId="0" fillId="2" borderId="0" xfId="1" applyNumberFormat="1" applyFont="1" applyFill="1" applyBorder="1" applyAlignment="1">
      <alignment vertical="center"/>
    </xf>
    <xf numFmtId="168" fontId="3" fillId="2" borderId="0" xfId="0" applyNumberFormat="1" applyFont="1" applyFill="1" applyBorder="1" applyAlignment="1">
      <alignment horizontal="right" vertical="center"/>
    </xf>
    <xf numFmtId="168" fontId="5" fillId="2" borderId="0" xfId="0" applyNumberFormat="1" applyFont="1" applyFill="1" applyBorder="1" applyAlignment="1">
      <alignment vertical="center"/>
    </xf>
    <xf numFmtId="168" fontId="5" fillId="2" borderId="0" xfId="0" applyNumberFormat="1" applyFont="1" applyFill="1" applyBorder="1" applyAlignment="1">
      <alignment horizontal="center" vertical="center"/>
    </xf>
    <xf numFmtId="168" fontId="5" fillId="2" borderId="0" xfId="0" applyNumberFormat="1" applyFont="1" applyFill="1" applyBorder="1" applyAlignment="1">
      <alignment horizontal="left" vertical="center"/>
    </xf>
    <xf numFmtId="168" fontId="8" fillId="2" borderId="0" xfId="0" applyNumberFormat="1" applyFont="1" applyFill="1" applyBorder="1" applyAlignment="1">
      <alignment vertical="center"/>
    </xf>
    <xf numFmtId="168" fontId="0" fillId="2" borderId="0" xfId="0" applyNumberFormat="1" applyFont="1" applyFill="1" applyBorder="1"/>
    <xf numFmtId="168" fontId="0" fillId="2" borderId="0" xfId="0" applyNumberFormat="1" applyFont="1" applyFill="1" applyBorder="1" applyAlignment="1">
      <alignment horizontal="left"/>
    </xf>
    <xf numFmtId="168" fontId="0" fillId="2" borderId="0" xfId="0" applyNumberFormat="1" applyFont="1" applyFill="1" applyBorder="1" applyAlignment="1">
      <alignment horizontal="center"/>
    </xf>
    <xf numFmtId="168" fontId="3" fillId="2" borderId="0" xfId="0" applyNumberFormat="1" applyFont="1" applyFill="1" applyBorder="1"/>
    <xf numFmtId="168" fontId="9" fillId="2" borderId="0" xfId="0" applyNumberFormat="1" applyFont="1" applyFill="1" applyBorder="1" applyAlignment="1">
      <alignment horizontal="left"/>
    </xf>
    <xf numFmtId="168" fontId="9" fillId="2" borderId="0" xfId="0" applyNumberFormat="1" applyFont="1" applyFill="1" applyBorder="1" applyAlignment="1">
      <alignment horizontal="center"/>
    </xf>
    <xf numFmtId="168" fontId="9" fillId="2" borderId="0" xfId="0" applyNumberFormat="1" applyFont="1" applyFill="1" applyBorder="1"/>
    <xf numFmtId="168" fontId="9" fillId="2" borderId="0" xfId="0" applyNumberFormat="1" applyFont="1" applyFill="1" applyBorder="1" applyAlignment="1">
      <alignment horizontal="left" indent="1"/>
    </xf>
    <xf numFmtId="168" fontId="14" fillId="2" borderId="0" xfId="1" applyNumberFormat="1" applyFont="1" applyFill="1" applyBorder="1"/>
    <xf numFmtId="168" fontId="13" fillId="2" borderId="0" xfId="1" applyNumberFormat="1" applyFont="1" applyFill="1" applyBorder="1"/>
    <xf numFmtId="168" fontId="4" fillId="2" borderId="0" xfId="0" applyNumberFormat="1" applyFont="1" applyFill="1" applyBorder="1" applyAlignment="1">
      <alignment horizontal="center" vertical="center"/>
    </xf>
    <xf numFmtId="168" fontId="4" fillId="2" borderId="0" xfId="0" applyNumberFormat="1" applyFont="1" applyFill="1" applyBorder="1" applyAlignment="1">
      <alignment vertical="center"/>
    </xf>
    <xf numFmtId="168" fontId="2" fillId="2" borderId="0" xfId="1" applyNumberFormat="1" applyFont="1" applyFill="1" applyBorder="1" applyAlignment="1">
      <alignment horizontal="left" vertical="center"/>
    </xf>
    <xf numFmtId="168" fontId="2" fillId="2" borderId="0" xfId="1" applyNumberFormat="1" applyFont="1" applyFill="1" applyBorder="1" applyAlignment="1">
      <alignment horizontal="center" vertical="center"/>
    </xf>
    <xf numFmtId="168" fontId="2" fillId="2" borderId="0" xfId="1" applyNumberFormat="1" applyFont="1" applyFill="1" applyBorder="1" applyAlignment="1">
      <alignment vertical="center"/>
    </xf>
    <xf numFmtId="168" fontId="11" fillId="2" borderId="0" xfId="1" applyNumberFormat="1" applyFont="1" applyFill="1" applyBorder="1" applyAlignment="1">
      <alignment vertical="center"/>
    </xf>
    <xf numFmtId="168" fontId="6" fillId="2" borderId="0" xfId="0" applyNumberFormat="1" applyFont="1" applyFill="1" applyBorder="1" applyAlignment="1">
      <alignment vertical="center"/>
    </xf>
    <xf numFmtId="168" fontId="6" fillId="2" borderId="0" xfId="1" applyNumberFormat="1" applyFont="1" applyFill="1" applyBorder="1" applyAlignment="1">
      <alignment vertical="center"/>
    </xf>
    <xf numFmtId="168" fontId="4" fillId="2" borderId="0" xfId="0" applyNumberFormat="1" applyFont="1" applyFill="1" applyBorder="1" applyAlignment="1">
      <alignment horizontal="left" vertical="center"/>
    </xf>
    <xf numFmtId="168" fontId="8" fillId="2" borderId="0" xfId="0" applyNumberFormat="1" applyFont="1" applyFill="1" applyBorder="1" applyAlignment="1">
      <alignment horizontal="right" vertical="center"/>
    </xf>
    <xf numFmtId="168" fontId="5" fillId="2" borderId="0" xfId="2" applyNumberFormat="1" applyFont="1" applyFill="1" applyBorder="1" applyAlignment="1">
      <alignment vertical="center"/>
    </xf>
    <xf numFmtId="168" fontId="4" fillId="2" borderId="0" xfId="2" applyNumberFormat="1" applyFont="1" applyFill="1" applyBorder="1" applyAlignment="1">
      <alignment vertical="center"/>
    </xf>
    <xf numFmtId="168" fontId="0" fillId="2" borderId="0" xfId="0" applyNumberFormat="1" applyFont="1" applyFill="1" applyBorder="1" applyAlignment="1">
      <alignment vertical="center" wrapText="1"/>
    </xf>
    <xf numFmtId="168" fontId="0" fillId="2" borderId="0" xfId="0" applyNumberFormat="1" applyFont="1" applyFill="1" applyBorder="1" applyAlignment="1">
      <alignment horizontal="center" vertical="center" wrapText="1"/>
    </xf>
    <xf numFmtId="168" fontId="0" fillId="2" borderId="0" xfId="2" applyNumberFormat="1" applyFont="1" applyFill="1" applyBorder="1" applyAlignment="1">
      <alignment vertical="center"/>
    </xf>
    <xf numFmtId="168" fontId="6" fillId="2" borderId="0" xfId="1" applyNumberFormat="1" applyFont="1" applyFill="1" applyBorder="1" applyAlignment="1">
      <alignment horizontal="left" vertical="center"/>
    </xf>
    <xf numFmtId="168" fontId="6" fillId="2" borderId="0" xfId="1" applyNumberFormat="1" applyFont="1" applyFill="1" applyBorder="1" applyAlignment="1">
      <alignment horizontal="center" vertical="center"/>
    </xf>
    <xf numFmtId="168" fontId="7" fillId="2" borderId="0" xfId="0" applyNumberFormat="1" applyFont="1" applyFill="1" applyBorder="1" applyAlignment="1">
      <alignment horizontal="left" vertical="center"/>
    </xf>
    <xf numFmtId="168" fontId="7" fillId="2" borderId="0" xfId="0" applyNumberFormat="1" applyFont="1" applyFill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left" vertical="center"/>
    </xf>
    <xf numFmtId="168" fontId="0" fillId="2" borderId="0" xfId="1" applyNumberFormat="1" applyFont="1" applyFill="1" applyBorder="1" applyAlignment="1">
      <alignment horizontal="center" vertical="center"/>
    </xf>
    <xf numFmtId="168" fontId="6" fillId="2" borderId="0" xfId="1" applyNumberFormat="1" applyFont="1" applyFill="1" applyBorder="1" applyAlignment="1">
      <alignment horizontal="right" vertical="center"/>
    </xf>
    <xf numFmtId="165" fontId="6" fillId="2" borderId="0" xfId="1" applyNumberFormat="1" applyFont="1" applyFill="1" applyBorder="1" applyAlignment="1">
      <alignment vertical="center"/>
    </xf>
    <xf numFmtId="169" fontId="0" fillId="2" borderId="0" xfId="1" applyNumberFormat="1" applyFont="1" applyFill="1" applyBorder="1" applyAlignment="1">
      <alignment vertical="center"/>
    </xf>
    <xf numFmtId="169" fontId="6" fillId="2" borderId="0" xfId="1" applyNumberFormat="1" applyFont="1" applyFill="1" applyBorder="1" applyAlignment="1">
      <alignment vertical="center"/>
    </xf>
    <xf numFmtId="168" fontId="3" fillId="2" borderId="0" xfId="0" applyNumberFormat="1" applyFont="1" applyFill="1" applyBorder="1" applyAlignment="1">
      <alignment horizontal="left" vertical="center"/>
    </xf>
    <xf numFmtId="168" fontId="3" fillId="2" borderId="0" xfId="0" applyNumberFormat="1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vertical="center"/>
    </xf>
    <xf numFmtId="168" fontId="2" fillId="2" borderId="2" xfId="0" applyNumberFormat="1" applyFont="1" applyFill="1" applyBorder="1" applyAlignment="1">
      <alignment horizontal="left" vertical="center"/>
    </xf>
    <xf numFmtId="168" fontId="2" fillId="2" borderId="2" xfId="0" applyNumberFormat="1" applyFont="1" applyFill="1" applyBorder="1" applyAlignment="1">
      <alignment horizontal="center" vertical="center"/>
    </xf>
    <xf numFmtId="168" fontId="3" fillId="2" borderId="2" xfId="1" applyNumberFormat="1" applyFont="1" applyFill="1" applyBorder="1" applyAlignment="1">
      <alignment vertical="center"/>
    </xf>
    <xf numFmtId="168" fontId="9" fillId="2" borderId="0" xfId="0" applyNumberFormat="1" applyFont="1" applyFill="1" applyBorder="1" applyAlignment="1">
      <alignment horizontal="left" vertical="center"/>
    </xf>
    <xf numFmtId="168" fontId="9" fillId="2" borderId="0" xfId="0" applyNumberFormat="1" applyFont="1" applyFill="1" applyBorder="1" applyAlignment="1">
      <alignment horizontal="center" vertical="center"/>
    </xf>
    <xf numFmtId="168" fontId="11" fillId="2" borderId="2" xfId="1" applyNumberFormat="1" applyFont="1" applyFill="1" applyBorder="1" applyAlignment="1">
      <alignment vertical="center"/>
    </xf>
    <xf numFmtId="168" fontId="3" fillId="2" borderId="0" xfId="1" applyNumberFormat="1" applyFont="1" applyFill="1" applyBorder="1" applyAlignment="1">
      <alignment vertical="center"/>
    </xf>
    <xf numFmtId="168" fontId="2" fillId="2" borderId="0" xfId="2" applyNumberFormat="1" applyFont="1" applyFill="1" applyBorder="1" applyAlignment="1">
      <alignment vertical="center"/>
    </xf>
    <xf numFmtId="168" fontId="2" fillId="2" borderId="3" xfId="0" applyNumberFormat="1" applyFont="1" applyFill="1" applyBorder="1" applyAlignment="1">
      <alignment vertical="center"/>
    </xf>
    <xf numFmtId="168" fontId="2" fillId="2" borderId="1" xfId="0" applyNumberFormat="1" applyFont="1" applyFill="1" applyBorder="1" applyAlignment="1">
      <alignment vertical="center"/>
    </xf>
    <xf numFmtId="168" fontId="2" fillId="2" borderId="3" xfId="1" applyNumberFormat="1" applyFont="1" applyFill="1" applyBorder="1" applyAlignment="1">
      <alignment vertical="center"/>
    </xf>
    <xf numFmtId="168" fontId="3" fillId="2" borderId="0" xfId="0" applyNumberFormat="1" applyFont="1" applyFill="1" applyBorder="1" applyAlignment="1">
      <alignment vertical="center"/>
    </xf>
    <xf numFmtId="168" fontId="11" fillId="2" borderId="0" xfId="0" applyNumberFormat="1" applyFont="1" applyFill="1" applyBorder="1" applyAlignment="1">
      <alignment vertical="center"/>
    </xf>
    <xf numFmtId="168" fontId="0" fillId="2" borderId="0" xfId="0" applyNumberFormat="1" applyFont="1" applyFill="1" applyBorder="1" applyAlignment="1">
      <alignment horizontal="right" vertical="center"/>
    </xf>
    <xf numFmtId="168" fontId="3" fillId="2" borderId="1" xfId="0" applyNumberFormat="1" applyFont="1" applyFill="1" applyBorder="1" applyAlignment="1">
      <alignment vertical="center"/>
    </xf>
    <xf numFmtId="168" fontId="3" fillId="2" borderId="1" xfId="1" applyNumberFormat="1" applyFont="1" applyFill="1" applyBorder="1" applyAlignment="1">
      <alignment vertical="center"/>
    </xf>
    <xf numFmtId="168" fontId="2" fillId="2" borderId="1" xfId="1" applyNumberFormat="1" applyFont="1" applyFill="1" applyBorder="1" applyAlignment="1">
      <alignment vertical="center"/>
    </xf>
    <xf numFmtId="168" fontId="0" fillId="2" borderId="1" xfId="0" applyNumberFormat="1" applyFont="1" applyFill="1" applyBorder="1" applyAlignment="1">
      <alignment vertical="center"/>
    </xf>
    <xf numFmtId="9" fontId="7" fillId="2" borderId="0" xfId="2" applyNumberFormat="1" applyFont="1" applyFill="1" applyBorder="1" applyAlignment="1">
      <alignment vertical="center"/>
    </xf>
    <xf numFmtId="9" fontId="8" fillId="2" borderId="0" xfId="2" applyNumberFormat="1" applyFont="1" applyFill="1" applyBorder="1" applyAlignment="1">
      <alignment vertical="center"/>
    </xf>
    <xf numFmtId="168" fontId="0" fillId="0" borderId="0" xfId="0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0" fillId="2" borderId="0" xfId="1" applyNumberFormat="1" applyFont="1" applyFill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32" fillId="0" borderId="0" xfId="0" applyFont="1" applyBorder="1" applyAlignment="1">
      <alignment horizontal="right" vertical="center"/>
    </xf>
    <xf numFmtId="165" fontId="2" fillId="2" borderId="0" xfId="2" applyNumberFormat="1" applyFont="1" applyFill="1" applyBorder="1" applyAlignment="1">
      <alignment vertical="center"/>
    </xf>
    <xf numFmtId="168" fontId="0" fillId="2" borderId="0" xfId="0" applyNumberFormat="1" applyFill="1" applyBorder="1" applyAlignment="1">
      <alignment vertical="center"/>
    </xf>
    <xf numFmtId="168" fontId="0" fillId="0" borderId="0" xfId="0" applyNumberFormat="1" applyFont="1" applyFill="1" applyBorder="1" applyAlignment="1">
      <alignment horizontal="center" vertical="center"/>
    </xf>
    <xf numFmtId="168" fontId="6" fillId="0" borderId="0" xfId="0" applyNumberFormat="1" applyFont="1" applyFill="1" applyBorder="1" applyAlignment="1">
      <alignment vertical="center"/>
    </xf>
    <xf numFmtId="168" fontId="0" fillId="11" borderId="0" xfId="0" applyNumberFormat="1" applyFont="1" applyFill="1" applyBorder="1" applyAlignment="1">
      <alignment vertical="center"/>
    </xf>
    <xf numFmtId="168" fontId="0" fillId="11" borderId="0" xfId="1" applyNumberFormat="1" applyFont="1" applyFill="1" applyBorder="1" applyAlignment="1">
      <alignment vertical="center"/>
    </xf>
    <xf numFmtId="168" fontId="0" fillId="10" borderId="7" xfId="0" applyNumberFormat="1" applyFont="1" applyFill="1" applyBorder="1" applyAlignment="1">
      <alignment vertical="center"/>
    </xf>
    <xf numFmtId="168" fontId="9" fillId="11" borderId="0" xfId="0" applyNumberFormat="1" applyFont="1" applyFill="1" applyBorder="1" applyAlignment="1">
      <alignment vertical="center"/>
    </xf>
    <xf numFmtId="168" fontId="9" fillId="11" borderId="0" xfId="1" applyNumberFormat="1" applyFont="1" applyFill="1" applyBorder="1" applyAlignment="1">
      <alignment vertical="center"/>
    </xf>
    <xf numFmtId="168" fontId="3" fillId="10" borderId="7" xfId="1" applyNumberFormat="1" applyFont="1" applyFill="1" applyBorder="1" applyAlignment="1">
      <alignment vertical="center"/>
    </xf>
    <xf numFmtId="168" fontId="9" fillId="10" borderId="7" xfId="1" applyNumberFormat="1" applyFont="1" applyFill="1" applyBorder="1" applyAlignment="1">
      <alignment vertical="center"/>
    </xf>
    <xf numFmtId="168" fontId="0" fillId="10" borderId="7" xfId="1" applyNumberFormat="1" applyFont="1" applyFill="1" applyBorder="1" applyAlignment="1">
      <alignment vertical="center"/>
    </xf>
    <xf numFmtId="168" fontId="2" fillId="10" borderId="7" xfId="1" applyNumberFormat="1" applyFont="1" applyFill="1" applyBorder="1" applyAlignment="1">
      <alignment vertical="center"/>
    </xf>
    <xf numFmtId="168" fontId="2" fillId="10" borderId="7" xfId="0" applyNumberFormat="1" applyFont="1" applyFill="1" applyBorder="1" applyAlignment="1">
      <alignment vertical="center"/>
    </xf>
  </cellXfs>
  <cellStyles count="43">
    <cellStyle name="bullet" xfId="4" xr:uid="{00000000-0005-0000-0000-000000000000}"/>
    <cellStyle name="calc1" xfId="5" xr:uid="{00000000-0005-0000-0000-000001000000}"/>
    <cellStyle name="calc2" xfId="6" xr:uid="{00000000-0005-0000-0000-000002000000}"/>
    <cellStyle name="Comma" xfId="1" builtinId="3"/>
    <cellStyle name="Comma 2" xfId="7" xr:uid="{00000000-0005-0000-0000-000004000000}"/>
    <cellStyle name="Comma 2 2" xfId="8" xr:uid="{00000000-0005-0000-0000-000005000000}"/>
    <cellStyle name="Comma 3" xfId="9" xr:uid="{00000000-0005-0000-0000-000006000000}"/>
    <cellStyle name="Comma 4" xfId="10" xr:uid="{00000000-0005-0000-0000-000007000000}"/>
    <cellStyle name="comment1" xfId="11" xr:uid="{00000000-0005-0000-0000-000008000000}"/>
    <cellStyle name="comment1flat" xfId="12" xr:uid="{00000000-0005-0000-0000-000009000000}"/>
    <cellStyle name="comment1orange" xfId="13" xr:uid="{00000000-0005-0000-0000-00000A000000}"/>
    <cellStyle name="comment2" xfId="14" xr:uid="{00000000-0005-0000-0000-00000B000000}"/>
    <cellStyle name="comment2bold" xfId="15" xr:uid="{00000000-0005-0000-0000-00000C000000}"/>
    <cellStyle name="conclusion" xfId="16" xr:uid="{00000000-0005-0000-0000-00000D000000}"/>
    <cellStyle name="Currency 2" xfId="17" xr:uid="{00000000-0005-0000-0000-00000E000000}"/>
    <cellStyle name="Currency 2 2" xfId="18" xr:uid="{00000000-0005-0000-0000-00000F000000}"/>
    <cellStyle name="Currency 2 2 2" xfId="19" xr:uid="{00000000-0005-0000-0000-000010000000}"/>
    <cellStyle name="Currency 2 3" xfId="20" xr:uid="{00000000-0005-0000-0000-000011000000}"/>
    <cellStyle name="Currency 2 4" xfId="21" xr:uid="{00000000-0005-0000-0000-000012000000}"/>
    <cellStyle name="Currency 3" xfId="22" xr:uid="{00000000-0005-0000-0000-000013000000}"/>
    <cellStyle name="data" xfId="23" xr:uid="{00000000-0005-0000-0000-000014000000}"/>
    <cellStyle name="Euro" xfId="24" xr:uid="{00000000-0005-0000-0000-000015000000}"/>
    <cellStyle name="fade" xfId="25" xr:uid="{00000000-0005-0000-0000-000016000000}"/>
    <cellStyle name="head" xfId="26" xr:uid="{00000000-0005-0000-0000-000017000000}"/>
    <cellStyle name="Normal" xfId="0" builtinId="0"/>
    <cellStyle name="Normal 2" xfId="3" xr:uid="{00000000-0005-0000-0000-00001A000000}"/>
    <cellStyle name="Normal 3" xfId="27" xr:uid="{00000000-0005-0000-0000-00001B000000}"/>
    <cellStyle name="Normal 3 2" xfId="28" xr:uid="{00000000-0005-0000-0000-00001C000000}"/>
    <cellStyle name="Normal 4" xfId="29" xr:uid="{00000000-0005-0000-0000-00001D000000}"/>
    <cellStyle name="Normal 4 2" xfId="30" xr:uid="{00000000-0005-0000-0000-00001E000000}"/>
    <cellStyle name="Normal 5" xfId="31" xr:uid="{00000000-0005-0000-0000-00001F000000}"/>
    <cellStyle name="Normal 6" xfId="32" xr:uid="{00000000-0005-0000-0000-000020000000}"/>
    <cellStyle name="Percent" xfId="2" builtinId="5"/>
    <cellStyle name="Percent 2" xfId="33" xr:uid="{00000000-0005-0000-0000-000022000000}"/>
    <cellStyle name="Percent 3" xfId="34" xr:uid="{00000000-0005-0000-0000-000023000000}"/>
    <cellStyle name="qtag" xfId="35" xr:uid="{00000000-0005-0000-0000-000024000000}"/>
    <cellStyle name="qtagorange" xfId="36" xr:uid="{00000000-0005-0000-0000-000025000000}"/>
    <cellStyle name="qtext" xfId="37" xr:uid="{00000000-0005-0000-0000-000026000000}"/>
    <cellStyle name="result" xfId="38" xr:uid="{00000000-0005-0000-0000-000027000000}"/>
    <cellStyle name="section" xfId="39" xr:uid="{00000000-0005-0000-0000-000028000000}"/>
    <cellStyle name="subsection" xfId="40" xr:uid="{00000000-0005-0000-0000-000029000000}"/>
    <cellStyle name="subtitle" xfId="41" xr:uid="{00000000-0005-0000-0000-00002A000000}"/>
    <cellStyle name="text" xfId="42" xr:uid="{00000000-0005-0000-0000-00002B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D/Documents/Downloads/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ISTINE/AppData/Local/Temp/Rar$DI29.6424/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Ques-Day7-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Answers-Day7-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5/Ques-Day5-v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d/HP%20Laptop/PD/HSBC%20v2/Excel%20Books/Excel/examples%202003/Excel%20ExamplesConverted/Chapter14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2"/>
  <sheetViews>
    <sheetView showGridLines="0" zoomScaleSheetLayoutView="100" workbookViewId="0">
      <pane xSplit="4" ySplit="4" topLeftCell="E71" activePane="bottomRight" state="frozen"/>
      <selection activeCell="Q8" sqref="Q8"/>
      <selection pane="topRight" activeCell="Q8" sqref="Q8"/>
      <selection pane="bottomLeft" activeCell="Q8" sqref="Q8"/>
      <selection pane="bottomRight" activeCell="C87" sqref="C87"/>
    </sheetView>
  </sheetViews>
  <sheetFormatPr defaultColWidth="11.7109375" defaultRowHeight="15" x14ac:dyDescent="0.25"/>
  <cols>
    <col min="1" max="2" width="3.7109375" style="13" customWidth="1"/>
    <col min="3" max="3" width="30.7109375" style="16" customWidth="1"/>
    <col min="4" max="4" width="5.7109375" style="13" customWidth="1"/>
    <col min="5" max="5" width="6.7109375" style="17" customWidth="1"/>
    <col min="6" max="6" width="6.28515625" style="16" customWidth="1"/>
    <col min="7" max="16384" width="11.7109375" style="13"/>
  </cols>
  <sheetData>
    <row r="1" spans="1:16" x14ac:dyDescent="0.25">
      <c r="A1" s="12" t="s">
        <v>170</v>
      </c>
      <c r="C1" s="13"/>
      <c r="D1" s="12"/>
      <c r="E1" s="14"/>
      <c r="F1" s="15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2"/>
      <c r="B2" s="89" t="s">
        <v>187</v>
      </c>
      <c r="C2" s="13"/>
      <c r="D2" s="12"/>
      <c r="E2" s="14"/>
      <c r="F2" s="15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B3" s="13" t="s">
        <v>28</v>
      </c>
      <c r="G3" s="18">
        <f>F3+1</f>
        <v>1</v>
      </c>
      <c r="H3" s="19">
        <f>G3+1</f>
        <v>2</v>
      </c>
      <c r="I3" s="19">
        <f t="shared" ref="I3:P3" si="0">H3+1</f>
        <v>3</v>
      </c>
      <c r="J3" s="19">
        <f t="shared" si="0"/>
        <v>4</v>
      </c>
      <c r="K3" s="19">
        <f t="shared" si="0"/>
        <v>5</v>
      </c>
      <c r="L3" s="19">
        <f t="shared" si="0"/>
        <v>6</v>
      </c>
      <c r="M3" s="19">
        <f t="shared" si="0"/>
        <v>7</v>
      </c>
      <c r="N3" s="19">
        <f t="shared" si="0"/>
        <v>8</v>
      </c>
      <c r="O3" s="19">
        <f t="shared" si="0"/>
        <v>9</v>
      </c>
      <c r="P3" s="19">
        <f t="shared" si="0"/>
        <v>10</v>
      </c>
    </row>
    <row r="4" spans="1:16" x14ac:dyDescent="0.25">
      <c r="A4" s="15"/>
      <c r="B4" s="12"/>
      <c r="C4" s="13"/>
      <c r="E4" s="14" t="s">
        <v>0</v>
      </c>
      <c r="F4" s="15"/>
      <c r="G4" s="20" t="s">
        <v>9</v>
      </c>
      <c r="H4" s="20" t="s">
        <v>8</v>
      </c>
      <c r="I4" s="20" t="s">
        <v>181</v>
      </c>
      <c r="J4" s="20" t="s">
        <v>185</v>
      </c>
      <c r="K4" s="20" t="s">
        <v>186</v>
      </c>
      <c r="L4" s="20" t="s">
        <v>4</v>
      </c>
      <c r="M4" s="20" t="s">
        <v>5</v>
      </c>
      <c r="N4" s="20" t="s">
        <v>6</v>
      </c>
      <c r="O4" s="20" t="s">
        <v>188</v>
      </c>
      <c r="P4" s="20" t="s">
        <v>189</v>
      </c>
    </row>
    <row r="5" spans="1:16" x14ac:dyDescent="0.25">
      <c r="A5" s="12" t="s">
        <v>11</v>
      </c>
      <c r="C5" s="13"/>
      <c r="E5" s="14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s="12" customFormat="1" x14ac:dyDescent="0.25">
      <c r="B6" s="12" t="s">
        <v>12</v>
      </c>
      <c r="E6" s="14"/>
      <c r="F6" s="15"/>
    </row>
    <row r="7" spans="1:16" s="21" customFormat="1" x14ac:dyDescent="0.25">
      <c r="B7" s="22"/>
      <c r="C7" s="21" t="s">
        <v>13</v>
      </c>
      <c r="E7" s="23"/>
      <c r="F7" s="22"/>
    </row>
    <row r="8" spans="1:16" x14ac:dyDescent="0.25">
      <c r="B8" s="16"/>
      <c r="C8" s="13" t="s">
        <v>14</v>
      </c>
      <c r="H8" s="4">
        <f>'Revenue Build Up'!H6/'Revenue Build Up'!G6-1</f>
        <v>0.125</v>
      </c>
      <c r="I8" s="4">
        <f>'Revenue Build Up'!I6/'Revenue Build Up'!H6-1</f>
        <v>0.11111111111111116</v>
      </c>
      <c r="J8" s="4">
        <f>'Revenue Build Up'!J6/'Revenue Build Up'!I6-1</f>
        <v>5.0000000000000044E-2</v>
      </c>
      <c r="K8" s="4">
        <f>'Revenue Build Up'!K6/'Revenue Build Up'!J6-1</f>
        <v>4.7619047619047672E-2</v>
      </c>
      <c r="L8" s="5">
        <v>0.05</v>
      </c>
      <c r="M8" s="5">
        <v>0.05</v>
      </c>
      <c r="N8" s="5">
        <v>0.02</v>
      </c>
      <c r="O8" s="5">
        <v>0.02</v>
      </c>
      <c r="P8" s="5">
        <v>0.03</v>
      </c>
    </row>
    <row r="9" spans="1:16" x14ac:dyDescent="0.25">
      <c r="B9" s="16"/>
      <c r="C9" s="13" t="s">
        <v>15</v>
      </c>
      <c r="H9" s="4">
        <f>'Revenue Build Up'!H7/'Revenue Build Up'!G7-1</f>
        <v>6.6666666666666652E-2</v>
      </c>
      <c r="I9" s="4">
        <f>'Revenue Build Up'!I7/'Revenue Build Up'!H7-1</f>
        <v>0.10000000000000009</v>
      </c>
      <c r="J9" s="4">
        <f>'Revenue Build Up'!J7/'Revenue Build Up'!I7-1</f>
        <v>4.5454545454545414E-2</v>
      </c>
      <c r="K9" s="4">
        <f>'Revenue Build Up'!K7/'Revenue Build Up'!J7-1</f>
        <v>3.2608695652173836E-2</v>
      </c>
      <c r="L9" s="5">
        <f>K13</f>
        <v>6.0878347286942969E-2</v>
      </c>
      <c r="M9" s="5">
        <f>L9</f>
        <v>6.0878347286942969E-2</v>
      </c>
      <c r="N9" s="5">
        <f t="shared" ref="N9:P9" si="1">M9</f>
        <v>6.0878347286942969E-2</v>
      </c>
      <c r="O9" s="5">
        <f t="shared" si="1"/>
        <v>6.0878347286942969E-2</v>
      </c>
      <c r="P9" s="5">
        <f t="shared" si="1"/>
        <v>6.0878347286942969E-2</v>
      </c>
    </row>
    <row r="10" spans="1:16" x14ac:dyDescent="0.25">
      <c r="B10" s="16"/>
      <c r="C10" s="13" t="s">
        <v>16</v>
      </c>
      <c r="H10" s="4">
        <f>'Revenue Build Up'!H8/'Revenue Build Up'!G8-1</f>
        <v>0.12000000000000011</v>
      </c>
      <c r="I10" s="4">
        <f>'Revenue Build Up'!I8/'Revenue Build Up'!H8-1</f>
        <v>0.1160714285714286</v>
      </c>
      <c r="J10" s="4">
        <f>'Revenue Build Up'!J8/'Revenue Build Up'!I8-1</f>
        <v>8.0000000000000071E-2</v>
      </c>
      <c r="K10" s="4">
        <f>'Revenue Build Up'!K8/'Revenue Build Up'!J8-1</f>
        <v>7.4074074074074181E-2</v>
      </c>
      <c r="L10" s="5">
        <v>0.04</v>
      </c>
      <c r="M10" s="5">
        <v>0.04</v>
      </c>
      <c r="N10" s="5">
        <v>0.02</v>
      </c>
      <c r="O10" s="5">
        <v>0.02</v>
      </c>
      <c r="P10" s="5">
        <v>0.03</v>
      </c>
    </row>
    <row r="11" spans="1:16" s="21" customFormat="1" x14ac:dyDescent="0.25">
      <c r="B11" s="22"/>
      <c r="C11" s="21" t="s">
        <v>17</v>
      </c>
      <c r="E11" s="23"/>
      <c r="F11" s="22"/>
      <c r="L11" s="24"/>
      <c r="M11" s="24"/>
      <c r="N11" s="24"/>
      <c r="O11" s="24"/>
      <c r="P11" s="24"/>
    </row>
    <row r="12" spans="1:16" x14ac:dyDescent="0.25">
      <c r="B12" s="16"/>
      <c r="C12" s="13" t="s">
        <v>14</v>
      </c>
      <c r="H12" s="4">
        <f>('Revenue Build Up'!H6/'Revenue Build Up'!$G6)^(1/(H$3-$G$3))-1</f>
        <v>0.125</v>
      </c>
      <c r="I12" s="4">
        <f>('Revenue Build Up'!I6/'Revenue Build Up'!$G6)^(1/(I$3-$G$3))-1</f>
        <v>0.1180339887498949</v>
      </c>
      <c r="J12" s="4">
        <f>('Revenue Build Up'!J6/'Revenue Build Up'!$G6)^(1/(J$3-$G$3))-1</f>
        <v>9.4879784971972247E-2</v>
      </c>
      <c r="K12" s="4">
        <f>('Revenue Build Up'!K6/'Revenue Build Up'!$G6)^(1/(K$3-$G$3))-1</f>
        <v>8.2868385333996875E-2</v>
      </c>
      <c r="L12" s="4">
        <f>('Revenue Build Up'!L6/'Revenue Build Up'!$G6)^(1/(L$3-$G$3))-1</f>
        <v>7.621341059497766E-2</v>
      </c>
      <c r="M12" s="4">
        <f>('Revenue Build Up'!M6/'Revenue Build Up'!$G6)^(1/(M$3-$G$3))-1</f>
        <v>7.179949821653353E-2</v>
      </c>
      <c r="N12" s="4">
        <f>('Revenue Build Up'!N6/'Revenue Build Up'!$G6)^(1/(N$3-$G$3))-1</f>
        <v>6.4241547862034398E-2</v>
      </c>
      <c r="O12" s="4">
        <f>('Revenue Build Up'!O6/'Revenue Build Up'!$G6)^(1/(O$3-$G$3))-1</f>
        <v>5.8608081186842576E-2</v>
      </c>
      <c r="P12" s="4">
        <f>('Revenue Build Up'!P6/'Revenue Build Up'!$G6)^(1/(P$3-$G$3))-1</f>
        <v>5.5390564576959012E-2</v>
      </c>
    </row>
    <row r="13" spans="1:16" x14ac:dyDescent="0.25">
      <c r="B13" s="16"/>
      <c r="C13" s="13" t="s">
        <v>15</v>
      </c>
      <c r="H13" s="4">
        <f>('Revenue Build Up'!H7/'Revenue Build Up'!$G7)^(1/(H$3-$G$3))-1</f>
        <v>6.6666666666666652E-2</v>
      </c>
      <c r="I13" s="4">
        <f>('Revenue Build Up'!I7/'Revenue Build Up'!$G7)^(1/(I$3-$G$3))-1</f>
        <v>8.3205120618128126E-2</v>
      </c>
      <c r="J13" s="4">
        <f>('Revenue Build Up'!J7/'Revenue Build Up'!$G7)^(1/(J$3-$G$3))-1</f>
        <v>7.0472515754160359E-2</v>
      </c>
      <c r="K13" s="4">
        <f>('Revenue Build Up'!K7/'Revenue Build Up'!$G7)^(1/(K$3-$G$3))-1</f>
        <v>6.0878347286942969E-2</v>
      </c>
      <c r="L13" s="4">
        <f>('Revenue Build Up'!L7/'Revenue Build Up'!$G7)^(1/(L$3-$G$3))-1</f>
        <v>6.0878347286942969E-2</v>
      </c>
      <c r="M13" s="4">
        <f>('Revenue Build Up'!M7/'Revenue Build Up'!$G7)^(1/(M$3-$G$3))-1</f>
        <v>6.0878347286942969E-2</v>
      </c>
      <c r="N13" s="4">
        <f>('Revenue Build Up'!N7/'Revenue Build Up'!$G7)^(1/(N$3-$G$3))-1</f>
        <v>6.0878347286942969E-2</v>
      </c>
      <c r="O13" s="4">
        <f>('Revenue Build Up'!O7/'Revenue Build Up'!$G7)^(1/(O$3-$G$3))-1</f>
        <v>6.0878347286942969E-2</v>
      </c>
      <c r="P13" s="4">
        <f>('Revenue Build Up'!P7/'Revenue Build Up'!$G7)^(1/(P$3-$G$3))-1</f>
        <v>6.0878347286942969E-2</v>
      </c>
    </row>
    <row r="14" spans="1:16" x14ac:dyDescent="0.25">
      <c r="B14" s="16"/>
      <c r="C14" s="13" t="s">
        <v>16</v>
      </c>
      <c r="H14" s="4">
        <f>('Revenue Build Up'!H8/'Revenue Build Up'!$G8)^(1/(H$3-$G$3))-1</f>
        <v>0.12000000000000011</v>
      </c>
      <c r="I14" s="4">
        <f>('Revenue Build Up'!I8/'Revenue Build Up'!$G8)^(1/(I$3-$G$3))-1</f>
        <v>0.1180339887498949</v>
      </c>
      <c r="J14" s="4">
        <f>('Revenue Build Up'!J8/'Revenue Build Up'!$G8)^(1/(J$3-$G$3))-1</f>
        <v>0.10520944959211609</v>
      </c>
      <c r="K14" s="4">
        <f>('Revenue Build Up'!K8/'Revenue Build Up'!$G8)^(1/(K$3-$G$3))-1</f>
        <v>9.7341996771849404E-2</v>
      </c>
      <c r="L14" s="4">
        <f>('Revenue Build Up'!L8/'Revenue Build Up'!$G8)^(1/(L$3-$G$3))-1</f>
        <v>8.5626081178732161E-2</v>
      </c>
      <c r="M14" s="4">
        <f>('Revenue Build Up'!M8/'Revenue Build Up'!$G8)^(1/(M$3-$G$3))-1</f>
        <v>7.7885046020910842E-2</v>
      </c>
      <c r="N14" s="4">
        <f>('Revenue Build Up'!N8/'Revenue Build Up'!$G8)^(1/(N$3-$G$3))-1</f>
        <v>6.941885297134287E-2</v>
      </c>
      <c r="O14" s="4">
        <f>('Revenue Build Up'!O8/'Revenue Build Up'!$G8)^(1/(O$3-$G$3))-1</f>
        <v>6.3112875658411394E-2</v>
      </c>
      <c r="P14" s="4">
        <f>('Revenue Build Up'!P8/'Revenue Build Up'!$G8)^(1/(P$3-$G$3))-1</f>
        <v>5.9381713550535009E-2</v>
      </c>
    </row>
    <row r="15" spans="1:16" s="12" customFormat="1" x14ac:dyDescent="0.25">
      <c r="B15" s="12" t="s">
        <v>18</v>
      </c>
      <c r="E15" s="14"/>
      <c r="F15" s="15"/>
    </row>
    <row r="16" spans="1:16" s="21" customFormat="1" x14ac:dyDescent="0.25">
      <c r="B16" s="22"/>
      <c r="C16" s="21" t="s">
        <v>13</v>
      </c>
      <c r="E16" s="23"/>
      <c r="F16" s="22"/>
    </row>
    <row r="17" spans="1:16" x14ac:dyDescent="0.25">
      <c r="B17" s="16"/>
      <c r="C17" s="13" t="s">
        <v>14</v>
      </c>
      <c r="H17" s="4">
        <f>'Revenue Build Up'!H10/'Revenue Build Up'!G10-1</f>
        <v>0.14999999999999991</v>
      </c>
      <c r="I17" s="4">
        <f>'Revenue Build Up'!I10/'Revenue Build Up'!H10-1</f>
        <v>0.11304347826086958</v>
      </c>
      <c r="J17" s="4">
        <f>'Revenue Build Up'!J10/'Revenue Build Up'!I10-1</f>
        <v>0.1875</v>
      </c>
      <c r="K17" s="4">
        <f>'Revenue Build Up'!K10/'Revenue Build Up'!J10-1</f>
        <v>0.18421052631578938</v>
      </c>
      <c r="L17" s="5">
        <v>0.15</v>
      </c>
      <c r="M17" s="5">
        <v>0.14000000000000001</v>
      </c>
      <c r="N17" s="5">
        <v>0.13</v>
      </c>
      <c r="O17" s="5">
        <v>0.13</v>
      </c>
      <c r="P17" s="5">
        <v>0.12</v>
      </c>
    </row>
    <row r="18" spans="1:16" x14ac:dyDescent="0.25">
      <c r="B18" s="16"/>
      <c r="C18" s="13" t="s">
        <v>15</v>
      </c>
      <c r="H18" s="4">
        <f>'Revenue Build Up'!H11/'Revenue Build Up'!G11-1</f>
        <v>6.6666666666666652E-2</v>
      </c>
      <c r="I18" s="4">
        <f>'Revenue Build Up'!I11/'Revenue Build Up'!H11-1</f>
        <v>5.3125000000000089E-2</v>
      </c>
      <c r="J18" s="4">
        <f>'Revenue Build Up'!J11/'Revenue Build Up'!I11-1</f>
        <v>5.6379821958457033E-2</v>
      </c>
      <c r="K18" s="4">
        <f>'Revenue Build Up'!K11/'Revenue Build Up'!J11-1</f>
        <v>4.3258426966292118E-2</v>
      </c>
      <c r="L18" s="5">
        <f>K22-0.5%</f>
        <v>4.9824385220634711E-2</v>
      </c>
      <c r="M18" s="5">
        <f>L18</f>
        <v>4.9824385220634711E-2</v>
      </c>
      <c r="N18" s="5">
        <f t="shared" ref="N18:P18" si="2">M18</f>
        <v>4.9824385220634711E-2</v>
      </c>
      <c r="O18" s="5">
        <f t="shared" si="2"/>
        <v>4.9824385220634711E-2</v>
      </c>
      <c r="P18" s="5">
        <f t="shared" si="2"/>
        <v>4.9824385220634711E-2</v>
      </c>
    </row>
    <row r="19" spans="1:16" x14ac:dyDescent="0.25">
      <c r="B19" s="16"/>
      <c r="C19" s="13" t="s">
        <v>16</v>
      </c>
      <c r="H19" s="4">
        <f>'Revenue Build Up'!H12/'Revenue Build Up'!G12-1</f>
        <v>0.14285714285714279</v>
      </c>
      <c r="I19" s="4">
        <f>'Revenue Build Up'!I12/'Revenue Build Up'!H12-1</f>
        <v>8.7499999999999911E-2</v>
      </c>
      <c r="J19" s="4">
        <f>'Revenue Build Up'!J12/'Revenue Build Up'!I12-1</f>
        <v>6.321839080459779E-2</v>
      </c>
      <c r="K19" s="4">
        <f>'Revenue Build Up'!K12/'Revenue Build Up'!J12-1</f>
        <v>5.4054054054053946E-2</v>
      </c>
      <c r="L19" s="5">
        <v>0.05</v>
      </c>
      <c r="M19" s="5">
        <v>5.5E-2</v>
      </c>
      <c r="N19" s="5">
        <v>0.06</v>
      </c>
      <c r="O19" s="5">
        <v>0.06</v>
      </c>
      <c r="P19" s="5">
        <v>0.06</v>
      </c>
    </row>
    <row r="20" spans="1:16" s="21" customFormat="1" x14ac:dyDescent="0.25">
      <c r="B20" s="22"/>
      <c r="C20" s="21" t="s">
        <v>17</v>
      </c>
      <c r="E20" s="23"/>
      <c r="F20" s="22"/>
    </row>
    <row r="21" spans="1:16" x14ac:dyDescent="0.25">
      <c r="B21" s="16"/>
      <c r="C21" s="13" t="s">
        <v>14</v>
      </c>
      <c r="H21" s="4">
        <f>('Revenue Build Up'!H10/'Revenue Build Up'!$G10)^(1/(H$3-$G$3))-1</f>
        <v>0.14999999999999991</v>
      </c>
      <c r="I21" s="4">
        <f>('Revenue Build Up'!I10/'Revenue Build Up'!$G10)^(1/(I$3-$G$3))-1</f>
        <v>0.13137084989847603</v>
      </c>
      <c r="J21" s="4">
        <f>('Revenue Build Up'!J10/'Revenue Build Up'!$G10)^(1/(J$3-$G$3))-1</f>
        <v>0.14977941578896625</v>
      </c>
      <c r="K21" s="4">
        <f>('Revenue Build Up'!K10/'Revenue Build Up'!$G10)^(1/(K$3-$G$3))-1</f>
        <v>0.15829218528826905</v>
      </c>
      <c r="L21" s="4">
        <f>('Revenue Build Up'!L10/'Revenue Build Up'!$G10)^(1/(L$3-$G$3))-1</f>
        <v>0.1566289786446291</v>
      </c>
      <c r="M21" s="4">
        <f>('Revenue Build Up'!M10/'Revenue Build Up'!$G10)^(1/(M$3-$G$3))-1</f>
        <v>0.15384073228959139</v>
      </c>
      <c r="N21" s="4">
        <f>('Revenue Build Up'!N10/'Revenue Build Up'!$G10)^(1/(N$3-$G$3))-1</f>
        <v>0.15040436273846303</v>
      </c>
      <c r="O21" s="4">
        <f>('Revenue Build Up'!O10/'Revenue Build Up'!$G10)^(1/(O$3-$G$3))-1</f>
        <v>0.14783380343662489</v>
      </c>
      <c r="P21" s="4">
        <f>('Revenue Build Up'!P10/'Revenue Build Up'!$G10)^(1/(P$3-$G$3))-1</f>
        <v>0.14470731019945759</v>
      </c>
    </row>
    <row r="22" spans="1:16" x14ac:dyDescent="0.25">
      <c r="B22" s="16"/>
      <c r="C22" s="13" t="s">
        <v>15</v>
      </c>
      <c r="H22" s="4">
        <f>('Revenue Build Up'!H11/'Revenue Build Up'!$G11)^(1/(H$3-$G$3))-1</f>
        <v>6.6666666666666652E-2</v>
      </c>
      <c r="I22" s="4">
        <f>('Revenue Build Up'!I11/'Revenue Build Up'!$G11)^(1/(I$3-$G$3))-1</f>
        <v>5.9874206372309668E-2</v>
      </c>
      <c r="J22" s="4">
        <f>('Revenue Build Up'!J11/'Revenue Build Up'!$G11)^(1/(J$3-$G$3))-1</f>
        <v>5.8708129115965901E-2</v>
      </c>
      <c r="K22" s="4">
        <f>('Revenue Build Up'!K11/'Revenue Build Up'!$G11)^(1/(K$3-$G$3))-1</f>
        <v>5.4824385220634708E-2</v>
      </c>
      <c r="L22" s="4">
        <f>('Revenue Build Up'!L11/'Revenue Build Up'!$G11)^(1/(L$3-$G$3))-1</f>
        <v>5.3822483759954798E-2</v>
      </c>
      <c r="M22" s="4">
        <f>('Revenue Build Up'!M11/'Revenue Build Up'!$G11)^(1/(M$3-$G$3))-1</f>
        <v>5.3155078194091931E-2</v>
      </c>
      <c r="N22" s="4">
        <f>('Revenue Build Up'!N11/'Revenue Build Up'!$G11)^(1/(N$3-$G$3))-1</f>
        <v>5.2678618732338478E-2</v>
      </c>
      <c r="O22" s="4">
        <f>('Revenue Build Up'!O11/'Revenue Build Up'!$G11)^(1/(O$3-$G$3))-1</f>
        <v>5.2321415599809518E-2</v>
      </c>
      <c r="P22" s="4">
        <f>('Revenue Build Up'!P11/'Revenue Build Up'!$G11)^(1/(P$3-$G$3))-1</f>
        <v>5.2043674742067614E-2</v>
      </c>
    </row>
    <row r="23" spans="1:16" x14ac:dyDescent="0.25">
      <c r="B23" s="16"/>
      <c r="C23" s="13" t="s">
        <v>16</v>
      </c>
      <c r="H23" s="4">
        <f>('Revenue Build Up'!H12/'Revenue Build Up'!$G12)^(1/(H$3-$G$3))-1</f>
        <v>0.14285714285714279</v>
      </c>
      <c r="I23" s="4">
        <f>('Revenue Build Up'!I12/'Revenue Build Up'!$G12)^(1/(I$3-$G$3))-1</f>
        <v>0.11483502943580981</v>
      </c>
      <c r="J23" s="4">
        <f>('Revenue Build Up'!J12/'Revenue Build Up'!$G12)^(1/(J$3-$G$3))-1</f>
        <v>9.7356897001335652E-2</v>
      </c>
      <c r="K23" s="4">
        <f>('Revenue Build Up'!K12/'Revenue Build Up'!$G12)^(1/(K$3-$G$3))-1</f>
        <v>8.6367197914298588E-2</v>
      </c>
      <c r="L23" s="4">
        <f>('Revenue Build Up'!L12/'Revenue Build Up'!$G12)^(1/(L$3-$G$3))-1</f>
        <v>7.8994360889666382E-2</v>
      </c>
      <c r="M23" s="4">
        <f>('Revenue Build Up'!M12/'Revenue Build Up'!$G12)^(1/(M$3-$G$3))-1</f>
        <v>7.4957734979575363E-2</v>
      </c>
      <c r="N23" s="4">
        <f>('Revenue Build Up'!N12/'Revenue Build Up'!$G12)^(1/(N$3-$G$3))-1</f>
        <v>7.2808062011726404E-2</v>
      </c>
      <c r="O23" s="4">
        <f>('Revenue Build Up'!O12/'Revenue Build Up'!$G12)^(1/(O$3-$G$3))-1</f>
        <v>7.1198628883790915E-2</v>
      </c>
      <c r="P23" s="4">
        <f>('Revenue Build Up'!P12/'Revenue Build Up'!$G12)^(1/(P$3-$G$3))-1</f>
        <v>6.9948517018663559E-2</v>
      </c>
    </row>
    <row r="24" spans="1:16" x14ac:dyDescent="0.25">
      <c r="A24" s="12" t="s">
        <v>43</v>
      </c>
      <c r="C24" s="13"/>
      <c r="E24" s="14"/>
      <c r="F24" s="15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B25" s="12" t="s">
        <v>12</v>
      </c>
    </row>
    <row r="26" spans="1:16" x14ac:dyDescent="0.25">
      <c r="B26" s="22"/>
      <c r="C26" s="21" t="s">
        <v>13</v>
      </c>
    </row>
    <row r="27" spans="1:16" x14ac:dyDescent="0.25">
      <c r="B27" s="16"/>
      <c r="C27" s="25" t="s">
        <v>44</v>
      </c>
      <c r="E27" s="26"/>
      <c r="F27" s="27"/>
      <c r="H27" s="4">
        <f>'Cost Build Up'!H6/'Cost Build Up'!G6-1</f>
        <v>0</v>
      </c>
      <c r="I27" s="4">
        <f>'Cost Build Up'!I6/'Cost Build Up'!H6-1</f>
        <v>2.941176470588247E-2</v>
      </c>
      <c r="J27" s="4">
        <f>'Cost Build Up'!J6/'Cost Build Up'!I6-1</f>
        <v>7.1428571428571397E-2</v>
      </c>
      <c r="K27" s="4">
        <f>'Cost Build Up'!K6/'Cost Build Up'!J6-1</f>
        <v>9.3333333333333268E-2</v>
      </c>
      <c r="L27" s="5">
        <v>0.05</v>
      </c>
      <c r="M27" s="5">
        <f>L27</f>
        <v>0.05</v>
      </c>
      <c r="N27" s="5">
        <v>0.04</v>
      </c>
      <c r="O27" s="5">
        <f t="shared" ref="O27:P30" si="3">N27</f>
        <v>0.04</v>
      </c>
      <c r="P27" s="5">
        <f t="shared" si="3"/>
        <v>0.04</v>
      </c>
    </row>
    <row r="28" spans="1:16" x14ac:dyDescent="0.25">
      <c r="B28" s="16"/>
      <c r="C28" s="25" t="s">
        <v>46</v>
      </c>
      <c r="E28" s="26"/>
      <c r="F28" s="27"/>
      <c r="H28" s="4">
        <f>'Cost Build Up'!H7/'Cost Build Up'!G7-1</f>
        <v>0.21621621621621623</v>
      </c>
      <c r="I28" s="4">
        <f>'Cost Build Up'!I7/'Cost Build Up'!H7-1</f>
        <v>0.11111111111111116</v>
      </c>
      <c r="J28" s="4">
        <f>'Cost Build Up'!J7/'Cost Build Up'!I7-1</f>
        <v>6.0000000000000053E-2</v>
      </c>
      <c r="K28" s="4">
        <f>'Cost Build Up'!K7/'Cost Build Up'!J7-1</f>
        <v>3.7735849056603765E-2</v>
      </c>
      <c r="L28" s="5">
        <v>0.05</v>
      </c>
      <c r="M28" s="5">
        <f>L28</f>
        <v>0.05</v>
      </c>
      <c r="N28" s="5">
        <v>0.04</v>
      </c>
      <c r="O28" s="5">
        <f t="shared" si="3"/>
        <v>0.04</v>
      </c>
      <c r="P28" s="5">
        <f t="shared" si="3"/>
        <v>0.04</v>
      </c>
    </row>
    <row r="29" spans="1:16" x14ac:dyDescent="0.25">
      <c r="B29" s="16"/>
      <c r="C29" s="25" t="s">
        <v>47</v>
      </c>
      <c r="E29" s="26"/>
      <c r="F29" s="27"/>
      <c r="H29" s="4">
        <f>'Cost Build Up'!H8/'Cost Build Up'!G8-1</f>
        <v>0.47058823529411775</v>
      </c>
      <c r="I29" s="4">
        <f>'Cost Build Up'!I8/'Cost Build Up'!H8-1</f>
        <v>0.11999999999999988</v>
      </c>
      <c r="J29" s="4">
        <f>'Cost Build Up'!J8/'Cost Build Up'!I8-1</f>
        <v>7.1428571428571397E-2</v>
      </c>
      <c r="K29" s="4">
        <f>'Cost Build Up'!K8/'Cost Build Up'!J8-1</f>
        <v>0.16666666666666674</v>
      </c>
      <c r="L29" s="5">
        <v>0.15</v>
      </c>
      <c r="M29" s="5">
        <f>L29</f>
        <v>0.15</v>
      </c>
      <c r="N29" s="5">
        <v>0.13</v>
      </c>
      <c r="O29" s="5">
        <f t="shared" si="3"/>
        <v>0.13</v>
      </c>
      <c r="P29" s="5">
        <f t="shared" si="3"/>
        <v>0.13</v>
      </c>
    </row>
    <row r="30" spans="1:16" x14ac:dyDescent="0.25">
      <c r="B30" s="16"/>
      <c r="C30" s="25" t="s">
        <v>48</v>
      </c>
      <c r="E30" s="26"/>
      <c r="F30" s="27"/>
      <c r="H30" s="4">
        <f>'Cost Build Up'!H9/'Cost Build Up'!G9-1</f>
        <v>8.3333333333333259E-2</v>
      </c>
      <c r="I30" s="4">
        <f>'Cost Build Up'!I9/'Cost Build Up'!H9-1</f>
        <v>7.6923076923076872E-2</v>
      </c>
      <c r="J30" s="4">
        <f>'Cost Build Up'!J9/'Cost Build Up'!I9-1</f>
        <v>7.1428571428571397E-2</v>
      </c>
      <c r="K30" s="4">
        <f>'Cost Build Up'!K9/'Cost Build Up'!J9-1</f>
        <v>6.6666666666666652E-2</v>
      </c>
      <c r="L30" s="5">
        <f>K35</f>
        <v>7.4569931823541991E-2</v>
      </c>
      <c r="M30" s="5">
        <f>L30</f>
        <v>7.4569931823541991E-2</v>
      </c>
      <c r="N30" s="5">
        <v>7.0000000000000007E-2</v>
      </c>
      <c r="O30" s="5">
        <f t="shared" si="3"/>
        <v>7.0000000000000007E-2</v>
      </c>
      <c r="P30" s="5">
        <f t="shared" si="3"/>
        <v>7.0000000000000007E-2</v>
      </c>
    </row>
    <row r="31" spans="1:16" x14ac:dyDescent="0.25">
      <c r="B31" s="22"/>
      <c r="C31" s="21" t="s">
        <v>17</v>
      </c>
    </row>
    <row r="32" spans="1:16" x14ac:dyDescent="0.25">
      <c r="B32" s="16"/>
      <c r="C32" s="25" t="s">
        <v>44</v>
      </c>
      <c r="E32" s="26"/>
      <c r="F32" s="27"/>
      <c r="H32" s="4">
        <f>('Cost Build Up'!H6/'Cost Build Up'!$G6)^(1/(H$3-$G$3))-1</f>
        <v>0</v>
      </c>
      <c r="I32" s="4">
        <f>('Cost Build Up'!I6/'Cost Build Up'!$G6)^(1/(I$3-$G$3))-1</f>
        <v>1.4599312391784691E-2</v>
      </c>
      <c r="J32" s="4">
        <f>('Cost Build Up'!J6/'Cost Build Up'!$G6)^(1/(J$3-$G$3))-1</f>
        <v>3.3199332429568518E-2</v>
      </c>
      <c r="K32" s="4">
        <f>('Cost Build Up'!K6/'Cost Build Up'!$G6)^(1/(K$3-$G$3))-1</f>
        <v>4.7915429417583866E-2</v>
      </c>
      <c r="L32" s="4">
        <f>('Cost Build Up'!L6/'Cost Build Up'!$G6)^(1/(L$3-$G$3))-1</f>
        <v>4.8332012190136275E-2</v>
      </c>
      <c r="M32" s="4">
        <f>('Cost Build Up'!M6/'Cost Build Up'!$G6)^(1/(M$3-$G$3))-1</f>
        <v>4.8609826037840254E-2</v>
      </c>
      <c r="N32" s="4">
        <f>('Cost Build Up'!N6/'Cost Build Up'!$G6)^(1/(N$3-$G$3))-1</f>
        <v>4.7375500633563883E-2</v>
      </c>
      <c r="O32" s="4">
        <f>('Cost Build Up'!O6/'Cost Build Up'!$G6)^(1/(O$3-$G$3))-1</f>
        <v>4.6450710160815811E-2</v>
      </c>
      <c r="P32" s="4">
        <f>('Cost Build Up'!P6/'Cost Build Up'!$G6)^(1/(P$3-$G$3))-1</f>
        <v>4.5731993249289227E-2</v>
      </c>
    </row>
    <row r="33" spans="2:16" x14ac:dyDescent="0.25">
      <c r="B33" s="16"/>
      <c r="C33" s="25" t="s">
        <v>46</v>
      </c>
      <c r="E33" s="26"/>
      <c r="F33" s="27"/>
      <c r="H33" s="4">
        <f>('Cost Build Up'!H7/'Cost Build Up'!$G7)^(1/(H$3-$G$3))-1</f>
        <v>0.21621621621621623</v>
      </c>
      <c r="I33" s="4">
        <f>('Cost Build Up'!I7/'Cost Build Up'!$G7)^(1/(I$3-$G$3))-1</f>
        <v>0.1624763874381927</v>
      </c>
      <c r="J33" s="4">
        <f>('Cost Build Up'!J7/'Cost Build Up'!$G7)^(1/(J$3-$G$3))-1</f>
        <v>0.12726160545572673</v>
      </c>
      <c r="K33" s="4">
        <f>('Cost Build Up'!K7/'Cost Build Up'!$G7)^(1/(K$3-$G$3))-1</f>
        <v>0.10418092762646913</v>
      </c>
      <c r="L33" s="4">
        <f>('Cost Build Up'!L7/'Cost Build Up'!$G7)^(1/(L$3-$G$3))-1</f>
        <v>9.3125569038179368E-2</v>
      </c>
      <c r="M33" s="4">
        <f>('Cost Build Up'!M7/'Cost Build Up'!$G7)^(1/(M$3-$G$3))-1</f>
        <v>8.5816892644392517E-2</v>
      </c>
      <c r="N33" s="4">
        <f>('Cost Build Up'!N7/'Cost Build Up'!$G7)^(1/(N$3-$G$3))-1</f>
        <v>7.9150070070829859E-2</v>
      </c>
      <c r="O33" s="4">
        <f>('Cost Build Up'!O7/'Cost Build Up'!$G7)^(1/(O$3-$G$3))-1</f>
        <v>7.4176829664573285E-2</v>
      </c>
      <c r="P33" s="4">
        <f>('Cost Build Up'!P7/'Cost Build Up'!$G7)^(1/(P$3-$G$3))-1</f>
        <v>7.0324604495375587E-2</v>
      </c>
    </row>
    <row r="34" spans="2:16" x14ac:dyDescent="0.25">
      <c r="B34" s="16"/>
      <c r="C34" s="25" t="s">
        <v>47</v>
      </c>
      <c r="E34" s="26"/>
      <c r="F34" s="27"/>
      <c r="H34" s="4">
        <f>('Cost Build Up'!H8/'Cost Build Up'!$G8)^(1/(H$3-$G$3))-1</f>
        <v>0.47058823529411775</v>
      </c>
      <c r="I34" s="4">
        <f>('Cost Build Up'!I8/'Cost Build Up'!$G8)^(1/(I$3-$G$3))-1</f>
        <v>0.28337789583949569</v>
      </c>
      <c r="J34" s="4">
        <f>('Cost Build Up'!J8/'Cost Build Up'!$G8)^(1/(J$3-$G$3))-1</f>
        <v>0.20843727005349999</v>
      </c>
      <c r="K34" s="4">
        <f>('Cost Build Up'!K8/'Cost Build Up'!$G8)^(1/(K$3-$G$3))-1</f>
        <v>0.19785646383816724</v>
      </c>
      <c r="L34" s="4">
        <f>('Cost Build Up'!L8/'Cost Build Up'!$G8)^(1/(L$3-$G$3))-1</f>
        <v>0.18812844283612495</v>
      </c>
      <c r="M34" s="4">
        <f>('Cost Build Up'!M8/'Cost Build Up'!$G8)^(1/(M$3-$G$3))-1</f>
        <v>0.18168702583369734</v>
      </c>
      <c r="N34" s="4">
        <f>('Cost Build Up'!N8/'Cost Build Up'!$G8)^(1/(N$3-$G$3))-1</f>
        <v>0.17416088006044328</v>
      </c>
      <c r="O34" s="4">
        <f>('Cost Build Up'!O8/'Cost Build Up'!$G8)^(1/(O$3-$G$3))-1</f>
        <v>0.16854774408263684</v>
      </c>
      <c r="P34" s="4">
        <f>('Cost Build Up'!P8/'Cost Build Up'!$G8)^(1/(P$3-$G$3))-1</f>
        <v>0.16420053005478974</v>
      </c>
    </row>
    <row r="35" spans="2:16" x14ac:dyDescent="0.25">
      <c r="B35" s="16"/>
      <c r="C35" s="25" t="s">
        <v>48</v>
      </c>
      <c r="E35" s="26"/>
      <c r="F35" s="27"/>
      <c r="H35" s="4">
        <f>('Cost Build Up'!H9/'Cost Build Up'!$G9)^(1/(H$3-$G$3))-1</f>
        <v>8.3333333333333259E-2</v>
      </c>
      <c r="I35" s="4">
        <f>('Cost Build Up'!I9/'Cost Build Up'!$G9)^(1/(I$3-$G$3))-1</f>
        <v>8.012344973464347E-2</v>
      </c>
      <c r="J35" s="4">
        <f>('Cost Build Up'!J9/'Cost Build Up'!$G9)^(1/(J$3-$G$3))-1</f>
        <v>7.7217345015941907E-2</v>
      </c>
      <c r="K35" s="4">
        <f>('Cost Build Up'!K9/'Cost Build Up'!$G9)^(1/(K$3-$G$3))-1</f>
        <v>7.4569931823541991E-2</v>
      </c>
      <c r="L35" s="4">
        <f>('Cost Build Up'!L9/'Cost Build Up'!$G9)^(1/(L$3-$G$3))-1</f>
        <v>7.4569931823541991E-2</v>
      </c>
      <c r="M35" s="4">
        <f>('Cost Build Up'!M9/'Cost Build Up'!$G9)^(1/(M$3-$G$3))-1</f>
        <v>7.4569931823541991E-2</v>
      </c>
      <c r="N35" s="4">
        <f>('Cost Build Up'!N9/'Cost Build Up'!$G9)^(1/(N$3-$G$3))-1</f>
        <v>7.3915891379459087E-2</v>
      </c>
      <c r="O35" s="4">
        <f>('Cost Build Up'!O9/'Cost Build Up'!$G9)^(1/(O$3-$G$3))-1</f>
        <v>7.3425622302156102E-2</v>
      </c>
      <c r="P35" s="4">
        <f>('Cost Build Up'!P9/'Cost Build Up'!$G9)^(1/(P$3-$G$3))-1</f>
        <v>7.3044456653629242E-2</v>
      </c>
    </row>
    <row r="36" spans="2:16" s="12" customFormat="1" x14ac:dyDescent="0.25">
      <c r="B36" s="12" t="s">
        <v>58</v>
      </c>
      <c r="E36" s="14"/>
      <c r="F36" s="15"/>
    </row>
    <row r="37" spans="2:16" x14ac:dyDescent="0.25">
      <c r="B37" s="22"/>
      <c r="C37" s="28" t="s">
        <v>55</v>
      </c>
      <c r="E37" s="29"/>
      <c r="F37" s="30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spans="2:16" x14ac:dyDescent="0.25">
      <c r="B38" s="16"/>
      <c r="C38" s="32" t="s">
        <v>44</v>
      </c>
      <c r="E38" s="29" t="s">
        <v>56</v>
      </c>
      <c r="F38" s="30"/>
      <c r="G38" s="33">
        <v>105</v>
      </c>
      <c r="H38" s="33">
        <v>105</v>
      </c>
      <c r="I38" s="33">
        <v>105</v>
      </c>
      <c r="J38" s="33">
        <v>105</v>
      </c>
      <c r="K38" s="33">
        <v>105</v>
      </c>
      <c r="L38" s="33">
        <f t="shared" ref="L38:P41" si="4">K38</f>
        <v>105</v>
      </c>
      <c r="M38" s="33">
        <f t="shared" si="4"/>
        <v>105</v>
      </c>
      <c r="N38" s="33">
        <f t="shared" si="4"/>
        <v>105</v>
      </c>
      <c r="O38" s="33">
        <f t="shared" si="4"/>
        <v>105</v>
      </c>
      <c r="P38" s="33">
        <f t="shared" si="4"/>
        <v>105</v>
      </c>
    </row>
    <row r="39" spans="2:16" x14ac:dyDescent="0.25">
      <c r="B39" s="16"/>
      <c r="C39" s="32" t="s">
        <v>46</v>
      </c>
      <c r="E39" s="29" t="s">
        <v>56</v>
      </c>
      <c r="F39" s="30"/>
      <c r="G39" s="33">
        <v>10</v>
      </c>
      <c r="H39" s="33">
        <v>10</v>
      </c>
      <c r="I39" s="33">
        <v>10</v>
      </c>
      <c r="J39" s="33">
        <v>10</v>
      </c>
      <c r="K39" s="33">
        <v>10</v>
      </c>
      <c r="L39" s="33">
        <f t="shared" si="4"/>
        <v>10</v>
      </c>
      <c r="M39" s="33">
        <f t="shared" si="4"/>
        <v>10</v>
      </c>
      <c r="N39" s="33">
        <f t="shared" si="4"/>
        <v>10</v>
      </c>
      <c r="O39" s="33">
        <f t="shared" si="4"/>
        <v>10</v>
      </c>
      <c r="P39" s="33">
        <f t="shared" si="4"/>
        <v>10</v>
      </c>
    </row>
    <row r="40" spans="2:16" x14ac:dyDescent="0.25">
      <c r="B40" s="16"/>
      <c r="C40" s="32" t="s">
        <v>47</v>
      </c>
      <c r="E40" s="29" t="s">
        <v>56</v>
      </c>
      <c r="F40" s="30"/>
      <c r="G40" s="33">
        <v>5</v>
      </c>
      <c r="H40" s="33">
        <v>5</v>
      </c>
      <c r="I40" s="33">
        <v>5</v>
      </c>
      <c r="J40" s="33">
        <v>5</v>
      </c>
      <c r="K40" s="33">
        <v>5</v>
      </c>
      <c r="L40" s="33">
        <f t="shared" si="4"/>
        <v>5</v>
      </c>
      <c r="M40" s="33">
        <f t="shared" si="4"/>
        <v>5</v>
      </c>
      <c r="N40" s="33">
        <f t="shared" si="4"/>
        <v>5</v>
      </c>
      <c r="O40" s="33">
        <f t="shared" si="4"/>
        <v>5</v>
      </c>
      <c r="P40" s="33">
        <f t="shared" si="4"/>
        <v>5</v>
      </c>
    </row>
    <row r="41" spans="2:16" x14ac:dyDescent="0.25">
      <c r="B41" s="16"/>
      <c r="C41" s="32" t="s">
        <v>48</v>
      </c>
      <c r="E41" s="29" t="s">
        <v>56</v>
      </c>
      <c r="F41" s="30"/>
      <c r="G41" s="33">
        <v>10</v>
      </c>
      <c r="H41" s="33">
        <v>10</v>
      </c>
      <c r="I41" s="33">
        <v>10</v>
      </c>
      <c r="J41" s="33">
        <v>10</v>
      </c>
      <c r="K41" s="33">
        <v>10</v>
      </c>
      <c r="L41" s="33">
        <f t="shared" si="4"/>
        <v>10</v>
      </c>
      <c r="M41" s="33">
        <f t="shared" si="4"/>
        <v>10</v>
      </c>
      <c r="N41" s="33">
        <f t="shared" si="4"/>
        <v>10</v>
      </c>
      <c r="O41" s="33">
        <f t="shared" si="4"/>
        <v>10</v>
      </c>
      <c r="P41" s="33">
        <f t="shared" si="4"/>
        <v>10</v>
      </c>
    </row>
    <row r="42" spans="2:16" x14ac:dyDescent="0.25">
      <c r="B42" s="22"/>
      <c r="C42" s="28" t="s">
        <v>57</v>
      </c>
      <c r="E42" s="29"/>
      <c r="F42" s="30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2:16" x14ac:dyDescent="0.25">
      <c r="B43" s="16"/>
      <c r="C43" s="32" t="s">
        <v>44</v>
      </c>
      <c r="E43" s="29" t="s">
        <v>56</v>
      </c>
      <c r="F43" s="30"/>
      <c r="G43" s="33">
        <v>255</v>
      </c>
      <c r="H43" s="33">
        <v>255</v>
      </c>
      <c r="I43" s="33">
        <v>255</v>
      </c>
      <c r="J43" s="33">
        <v>255</v>
      </c>
      <c r="K43" s="33">
        <v>255</v>
      </c>
      <c r="L43" s="33">
        <f t="shared" ref="L43:P46" si="5">K43</f>
        <v>255</v>
      </c>
      <c r="M43" s="33">
        <f t="shared" si="5"/>
        <v>255</v>
      </c>
      <c r="N43" s="33">
        <f t="shared" si="5"/>
        <v>255</v>
      </c>
      <c r="O43" s="33">
        <f t="shared" si="5"/>
        <v>255</v>
      </c>
      <c r="P43" s="33">
        <f t="shared" si="5"/>
        <v>255</v>
      </c>
    </row>
    <row r="44" spans="2:16" x14ac:dyDescent="0.25">
      <c r="B44" s="16"/>
      <c r="C44" s="32" t="s">
        <v>46</v>
      </c>
      <c r="E44" s="29" t="s">
        <v>56</v>
      </c>
      <c r="F44" s="30"/>
      <c r="G44" s="33">
        <v>12</v>
      </c>
      <c r="H44" s="33">
        <v>12</v>
      </c>
      <c r="I44" s="33">
        <v>12</v>
      </c>
      <c r="J44" s="33">
        <v>12</v>
      </c>
      <c r="K44" s="33">
        <v>12</v>
      </c>
      <c r="L44" s="33">
        <f t="shared" si="5"/>
        <v>12</v>
      </c>
      <c r="M44" s="33">
        <f t="shared" si="5"/>
        <v>12</v>
      </c>
      <c r="N44" s="33">
        <f t="shared" si="5"/>
        <v>12</v>
      </c>
      <c r="O44" s="33">
        <f t="shared" si="5"/>
        <v>12</v>
      </c>
      <c r="P44" s="33">
        <f t="shared" si="5"/>
        <v>12</v>
      </c>
    </row>
    <row r="45" spans="2:16" x14ac:dyDescent="0.25">
      <c r="B45" s="16"/>
      <c r="C45" s="32" t="s">
        <v>47</v>
      </c>
      <c r="E45" s="29" t="s">
        <v>56</v>
      </c>
      <c r="F45" s="30"/>
      <c r="G45" s="33">
        <v>8</v>
      </c>
      <c r="H45" s="33">
        <v>8</v>
      </c>
      <c r="I45" s="33">
        <v>8</v>
      </c>
      <c r="J45" s="33">
        <v>8</v>
      </c>
      <c r="K45" s="33">
        <v>8</v>
      </c>
      <c r="L45" s="33">
        <f t="shared" si="5"/>
        <v>8</v>
      </c>
      <c r="M45" s="33">
        <f t="shared" si="5"/>
        <v>8</v>
      </c>
      <c r="N45" s="33">
        <f t="shared" si="5"/>
        <v>8</v>
      </c>
      <c r="O45" s="33">
        <f t="shared" si="5"/>
        <v>8</v>
      </c>
      <c r="P45" s="33">
        <f t="shared" si="5"/>
        <v>8</v>
      </c>
    </row>
    <row r="46" spans="2:16" x14ac:dyDescent="0.25">
      <c r="B46" s="16"/>
      <c r="C46" s="32" t="s">
        <v>48</v>
      </c>
      <c r="E46" s="29" t="s">
        <v>56</v>
      </c>
      <c r="F46" s="30"/>
      <c r="G46" s="33">
        <v>5</v>
      </c>
      <c r="H46" s="33">
        <v>5</v>
      </c>
      <c r="I46" s="33">
        <v>5</v>
      </c>
      <c r="J46" s="33">
        <v>5</v>
      </c>
      <c r="K46" s="33">
        <v>5</v>
      </c>
      <c r="L46" s="33">
        <f t="shared" si="5"/>
        <v>5</v>
      </c>
      <c r="M46" s="33">
        <f t="shared" si="5"/>
        <v>5</v>
      </c>
      <c r="N46" s="33">
        <f t="shared" si="5"/>
        <v>5</v>
      </c>
      <c r="O46" s="33">
        <f t="shared" si="5"/>
        <v>5</v>
      </c>
      <c r="P46" s="33">
        <f t="shared" si="5"/>
        <v>5</v>
      </c>
    </row>
    <row r="47" spans="2:16" x14ac:dyDescent="0.25">
      <c r="B47" s="22"/>
      <c r="C47" s="28" t="s">
        <v>16</v>
      </c>
      <c r="E47" s="29"/>
      <c r="F47" s="30"/>
      <c r="G47" s="31"/>
      <c r="H47" s="31"/>
      <c r="I47" s="31"/>
      <c r="J47" s="31"/>
      <c r="K47" s="31"/>
      <c r="L47" s="34"/>
      <c r="M47" s="34"/>
      <c r="N47" s="34"/>
      <c r="O47" s="34"/>
      <c r="P47" s="34"/>
    </row>
    <row r="48" spans="2:16" x14ac:dyDescent="0.25">
      <c r="B48" s="16"/>
      <c r="C48" s="32" t="s">
        <v>44</v>
      </c>
      <c r="E48" s="29" t="s">
        <v>56</v>
      </c>
      <c r="F48" s="30"/>
      <c r="G48" s="33">
        <v>505</v>
      </c>
      <c r="H48" s="33">
        <v>505</v>
      </c>
      <c r="I48" s="33">
        <v>505</v>
      </c>
      <c r="J48" s="33">
        <v>505</v>
      </c>
      <c r="K48" s="33">
        <v>505</v>
      </c>
      <c r="L48" s="33">
        <f t="shared" ref="L48:P51" si="6">K48</f>
        <v>505</v>
      </c>
      <c r="M48" s="33">
        <f t="shared" si="6"/>
        <v>505</v>
      </c>
      <c r="N48" s="33">
        <f t="shared" si="6"/>
        <v>505</v>
      </c>
      <c r="O48" s="33">
        <f t="shared" si="6"/>
        <v>505</v>
      </c>
      <c r="P48" s="33">
        <f t="shared" si="6"/>
        <v>505</v>
      </c>
    </row>
    <row r="49" spans="1:16" x14ac:dyDescent="0.25">
      <c r="B49" s="16"/>
      <c r="C49" s="32" t="s">
        <v>46</v>
      </c>
      <c r="E49" s="29" t="s">
        <v>56</v>
      </c>
      <c r="F49" s="30"/>
      <c r="G49" s="33">
        <v>25</v>
      </c>
      <c r="H49" s="33">
        <v>25</v>
      </c>
      <c r="I49" s="33">
        <v>25</v>
      </c>
      <c r="J49" s="33">
        <v>25</v>
      </c>
      <c r="K49" s="33">
        <v>25</v>
      </c>
      <c r="L49" s="33">
        <f t="shared" si="6"/>
        <v>25</v>
      </c>
      <c r="M49" s="33">
        <f t="shared" si="6"/>
        <v>25</v>
      </c>
      <c r="N49" s="33">
        <f t="shared" si="6"/>
        <v>25</v>
      </c>
      <c r="O49" s="33">
        <f t="shared" si="6"/>
        <v>25</v>
      </c>
      <c r="P49" s="33">
        <f t="shared" si="6"/>
        <v>25</v>
      </c>
    </row>
    <row r="50" spans="1:16" x14ac:dyDescent="0.25">
      <c r="B50" s="16"/>
      <c r="C50" s="32" t="s">
        <v>47</v>
      </c>
      <c r="E50" s="29" t="s">
        <v>56</v>
      </c>
      <c r="F50" s="30"/>
      <c r="G50" s="33">
        <v>15</v>
      </c>
      <c r="H50" s="33">
        <v>15</v>
      </c>
      <c r="I50" s="33">
        <v>15</v>
      </c>
      <c r="J50" s="33">
        <v>15</v>
      </c>
      <c r="K50" s="33">
        <v>15</v>
      </c>
      <c r="L50" s="33">
        <f t="shared" si="6"/>
        <v>15</v>
      </c>
      <c r="M50" s="33">
        <f t="shared" si="6"/>
        <v>15</v>
      </c>
      <c r="N50" s="33">
        <f t="shared" si="6"/>
        <v>15</v>
      </c>
      <c r="O50" s="33">
        <f t="shared" si="6"/>
        <v>15</v>
      </c>
      <c r="P50" s="33">
        <f t="shared" si="6"/>
        <v>15</v>
      </c>
    </row>
    <row r="51" spans="1:16" x14ac:dyDescent="0.25">
      <c r="B51" s="16"/>
      <c r="C51" s="32" t="s">
        <v>48</v>
      </c>
      <c r="E51" s="29" t="s">
        <v>56</v>
      </c>
      <c r="F51" s="30"/>
      <c r="G51" s="33">
        <v>12</v>
      </c>
      <c r="H51" s="33">
        <v>12</v>
      </c>
      <c r="I51" s="33">
        <v>12</v>
      </c>
      <c r="J51" s="33">
        <v>12</v>
      </c>
      <c r="K51" s="33">
        <v>12</v>
      </c>
      <c r="L51" s="33">
        <f t="shared" si="6"/>
        <v>12</v>
      </c>
      <c r="M51" s="33">
        <f t="shared" si="6"/>
        <v>12</v>
      </c>
      <c r="N51" s="33">
        <f t="shared" si="6"/>
        <v>12</v>
      </c>
      <c r="O51" s="33">
        <f t="shared" si="6"/>
        <v>12</v>
      </c>
      <c r="P51" s="33">
        <f t="shared" si="6"/>
        <v>12</v>
      </c>
    </row>
    <row r="52" spans="1:16" x14ac:dyDescent="0.25">
      <c r="A52" s="12" t="s">
        <v>69</v>
      </c>
      <c r="C52" s="13"/>
      <c r="E52" s="14"/>
      <c r="F52" s="15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B53" s="12" t="s">
        <v>66</v>
      </c>
    </row>
    <row r="54" spans="1:16" x14ac:dyDescent="0.25">
      <c r="B54" s="35"/>
      <c r="C54" s="36" t="s">
        <v>13</v>
      </c>
      <c r="L54" s="6">
        <v>0</v>
      </c>
      <c r="M54" s="6">
        <v>0.05</v>
      </c>
      <c r="N54" s="6">
        <v>0.05</v>
      </c>
      <c r="O54" s="6">
        <v>0.05</v>
      </c>
      <c r="P54" s="6">
        <v>0.05</v>
      </c>
    </row>
    <row r="55" spans="1:16" x14ac:dyDescent="0.25">
      <c r="B55" s="12" t="s">
        <v>67</v>
      </c>
    </row>
    <row r="56" spans="1:16" x14ac:dyDescent="0.25">
      <c r="B56" s="35"/>
      <c r="C56" s="36" t="s">
        <v>13</v>
      </c>
      <c r="L56" s="6">
        <v>0</v>
      </c>
      <c r="M56" s="6">
        <v>0.05</v>
      </c>
      <c r="N56" s="6">
        <v>0.05</v>
      </c>
      <c r="O56" s="6">
        <v>0.05</v>
      </c>
      <c r="P56" s="6">
        <v>0.05</v>
      </c>
    </row>
    <row r="57" spans="1:16" x14ac:dyDescent="0.25">
      <c r="B57" s="12" t="s">
        <v>68</v>
      </c>
      <c r="G57" s="7">
        <v>0.1</v>
      </c>
      <c r="H57" s="7">
        <v>0.12</v>
      </c>
      <c r="I57" s="7">
        <v>0.12</v>
      </c>
      <c r="J57" s="7">
        <v>0.12</v>
      </c>
      <c r="K57" s="7">
        <v>0.15</v>
      </c>
      <c r="L57" s="7">
        <v>0.15</v>
      </c>
      <c r="M57" s="7">
        <v>0.15</v>
      </c>
      <c r="N57" s="7">
        <v>0.15</v>
      </c>
      <c r="O57" s="7">
        <v>0.15</v>
      </c>
      <c r="P57" s="7">
        <v>0.15</v>
      </c>
    </row>
    <row r="58" spans="1:16" x14ac:dyDescent="0.25">
      <c r="A58" s="12" t="s">
        <v>73</v>
      </c>
      <c r="C58" s="13"/>
      <c r="E58" s="14"/>
      <c r="F58" s="15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B59" s="12" t="s">
        <v>74</v>
      </c>
    </row>
    <row r="60" spans="1:16" x14ac:dyDescent="0.25">
      <c r="B60" s="35"/>
      <c r="C60" s="36" t="s">
        <v>13</v>
      </c>
      <c r="L60" s="6">
        <v>0.08</v>
      </c>
      <c r="M60" s="6">
        <f>L60</f>
        <v>0.08</v>
      </c>
      <c r="N60" s="6">
        <v>0.1</v>
      </c>
      <c r="O60" s="6">
        <f>N60</f>
        <v>0.1</v>
      </c>
      <c r="P60" s="6">
        <f>O60</f>
        <v>0.1</v>
      </c>
    </row>
    <row r="61" spans="1:16" x14ac:dyDescent="0.25">
      <c r="B61" s="12" t="s">
        <v>75</v>
      </c>
    </row>
    <row r="62" spans="1:16" x14ac:dyDescent="0.25">
      <c r="B62" s="35"/>
      <c r="C62" s="36" t="s">
        <v>13</v>
      </c>
      <c r="L62" s="8">
        <f>SUM('Revenue Build Up'!L10:L12)/SUM('Revenue Build Up'!K10:K12)-1</f>
        <v>0.10880178485247294</v>
      </c>
      <c r="M62" s="8">
        <f>SUM('Revenue Build Up'!M10:M12)/SUM('Revenue Build Up'!L10:L12)-1</f>
        <v>0.10555811131006498</v>
      </c>
      <c r="N62" s="8">
        <f>SUM('Revenue Build Up'!N10:N12)/SUM('Revenue Build Up'!M10:M12)-1</f>
        <v>0.10158742555963696</v>
      </c>
      <c r="O62" s="8">
        <f>SUM('Revenue Build Up'!O10:O12)/SUM('Revenue Build Up'!N10:N12)-1</f>
        <v>0.10283973616964737</v>
      </c>
      <c r="P62" s="8">
        <f>SUM('Revenue Build Up'!P10:P12)/SUM('Revenue Build Up'!O10:O12)-1</f>
        <v>9.7450760128516833E-2</v>
      </c>
    </row>
    <row r="63" spans="1:16" x14ac:dyDescent="0.25">
      <c r="A63" s="12" t="s">
        <v>78</v>
      </c>
      <c r="C63" s="13"/>
      <c r="E63" s="14"/>
      <c r="F63" s="15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B64" s="12" t="s">
        <v>79</v>
      </c>
    </row>
    <row r="65" spans="1:16" x14ac:dyDescent="0.25">
      <c r="B65" s="35"/>
      <c r="C65" s="36" t="s">
        <v>13</v>
      </c>
      <c r="L65" s="6">
        <v>0</v>
      </c>
      <c r="M65" s="6">
        <v>0.02</v>
      </c>
      <c r="N65" s="6">
        <v>0.02</v>
      </c>
      <c r="O65" s="6">
        <v>0.02</v>
      </c>
      <c r="P65" s="6">
        <v>0.02</v>
      </c>
    </row>
    <row r="66" spans="1:16" x14ac:dyDescent="0.25">
      <c r="A66" s="12" t="s">
        <v>81</v>
      </c>
      <c r="C66" s="13"/>
      <c r="E66" s="14"/>
      <c r="F66" s="15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B67" s="13" t="s">
        <v>34</v>
      </c>
      <c r="E67" s="17" t="s">
        <v>82</v>
      </c>
      <c r="G67" s="4">
        <f>'Cost Build Up'!G43/'Revenue Build Up'!G$17</f>
        <v>7.3226544622425629E-2</v>
      </c>
      <c r="H67" s="4">
        <f>'Cost Build Up'!H43/'Revenue Build Up'!H$17</f>
        <v>8.2773414087883662E-2</v>
      </c>
      <c r="I67" s="4">
        <f>'Cost Build Up'!I43/'Revenue Build Up'!I$17</f>
        <v>7.034718028583839E-2</v>
      </c>
      <c r="J67" s="4">
        <f>'Cost Build Up'!J43/'Revenue Build Up'!J$17</f>
        <v>6.5102902350270261E-2</v>
      </c>
      <c r="K67" s="4">
        <f>'Cost Build Up'!K43/'Revenue Build Up'!K$17</f>
        <v>6.0294756158503111E-2</v>
      </c>
      <c r="L67" s="6">
        <v>0.1</v>
      </c>
      <c r="M67" s="6">
        <v>0.11</v>
      </c>
      <c r="N67" s="6">
        <v>0.12</v>
      </c>
      <c r="O67" s="6">
        <v>0.13</v>
      </c>
      <c r="P67" s="6">
        <v>0.14000000000000001</v>
      </c>
    </row>
    <row r="68" spans="1:16" x14ac:dyDescent="0.25">
      <c r="B68" s="13" t="s">
        <v>35</v>
      </c>
      <c r="E68" s="17" t="s">
        <v>82</v>
      </c>
      <c r="G68" s="4">
        <f>'Cost Build Up'!G44/'Revenue Build Up'!G$17</f>
        <v>4.9084668192219683E-2</v>
      </c>
      <c r="H68" s="4">
        <f>'Cost Build Up'!H44/'Revenue Build Up'!H$17</f>
        <v>4.9020535629790855E-2</v>
      </c>
      <c r="I68" s="4">
        <f>'Cost Build Up'!I44/'Revenue Build Up'!I$17</f>
        <v>4.8982932333216801E-2</v>
      </c>
      <c r="J68" s="4">
        <f>'Cost Build Up'!J44/'Revenue Build Up'!J$17</f>
        <v>4.9103910335548125E-2</v>
      </c>
      <c r="K68" s="4">
        <f>'Cost Build Up'!K44/'Revenue Build Up'!K$17</f>
        <v>4.9004644990046441E-2</v>
      </c>
      <c r="L68" s="6">
        <v>0.05</v>
      </c>
      <c r="M68" s="6">
        <v>0.06</v>
      </c>
      <c r="N68" s="6">
        <v>0.06</v>
      </c>
      <c r="O68" s="6">
        <v>7.0000000000000007E-2</v>
      </c>
      <c r="P68" s="6">
        <v>7.0000000000000007E-2</v>
      </c>
    </row>
    <row r="69" spans="1:16" x14ac:dyDescent="0.25">
      <c r="B69" s="13" t="s">
        <v>36</v>
      </c>
      <c r="E69" s="17" t="s">
        <v>82</v>
      </c>
      <c r="G69" s="4">
        <f>'Cost Build Up'!G45/'Revenue Build Up'!G$17</f>
        <v>2.4408848207475211E-3</v>
      </c>
      <c r="H69" s="4">
        <f>'Cost Build Up'!H45/'Revenue Build Up'!H$17</f>
        <v>2.2207501340651718E-3</v>
      </c>
      <c r="I69" s="4">
        <f>'Cost Build Up'!I45/'Revenue Build Up'!I$17</f>
        <v>1.8646240557692107E-3</v>
      </c>
      <c r="J69" s="4">
        <f>'Cost Build Up'!J45/'Revenue Build Up'!J$17</f>
        <v>1.7755337004619163E-3</v>
      </c>
      <c r="K69" s="4">
        <f>'Cost Build Up'!K45/'Revenue Build Up'!K$17</f>
        <v>1.5991217937689956E-3</v>
      </c>
      <c r="L69" s="6">
        <f>K69</f>
        <v>1.5991217937689956E-3</v>
      </c>
      <c r="M69" s="6">
        <f>L69</f>
        <v>1.5991217937689956E-3</v>
      </c>
      <c r="N69" s="6">
        <f t="shared" ref="N69:P69" si="7">M69</f>
        <v>1.5991217937689956E-3</v>
      </c>
      <c r="O69" s="6">
        <f t="shared" si="7"/>
        <v>1.5991217937689956E-3</v>
      </c>
      <c r="P69" s="6">
        <f t="shared" si="7"/>
        <v>1.5991217937689956E-3</v>
      </c>
    </row>
    <row r="70" spans="1:16" x14ac:dyDescent="0.25">
      <c r="B70" s="13" t="s">
        <v>37</v>
      </c>
      <c r="E70" s="17" t="s">
        <v>82</v>
      </c>
      <c r="G70" s="4">
        <f>'Cost Build Up'!G46/'Revenue Build Up'!G$17</f>
        <v>4.8817696414950422E-3</v>
      </c>
      <c r="H70" s="4">
        <f>'Cost Build Up'!H46/'Revenue Build Up'!H$17</f>
        <v>4.0377275164821301E-3</v>
      </c>
      <c r="I70" s="4">
        <f>'Cost Build Up'!I46/'Revenue Build Up'!I$17</f>
        <v>3.3902255559440189E-3</v>
      </c>
      <c r="J70" s="4">
        <f>'Cost Build Up'!J46/'Revenue Build Up'!J$17</f>
        <v>2.9592228341031937E-3</v>
      </c>
      <c r="K70" s="4">
        <f>'Cost Build Up'!K46/'Revenue Build Up'!K$17</f>
        <v>2.6215111373262224E-3</v>
      </c>
      <c r="L70" s="6">
        <f>K70</f>
        <v>2.6215111373262224E-3</v>
      </c>
      <c r="M70" s="6">
        <f>L70</f>
        <v>2.6215111373262224E-3</v>
      </c>
      <c r="N70" s="6">
        <f t="shared" ref="N70:P70" si="8">M70</f>
        <v>2.6215111373262224E-3</v>
      </c>
      <c r="O70" s="6">
        <f t="shared" si="8"/>
        <v>2.6215111373262224E-3</v>
      </c>
      <c r="P70" s="6">
        <f t="shared" si="8"/>
        <v>2.6215111373262224E-3</v>
      </c>
    </row>
    <row r="71" spans="1:16" x14ac:dyDescent="0.25">
      <c r="B71" s="13" t="s">
        <v>124</v>
      </c>
      <c r="E71" s="17" t="s">
        <v>82</v>
      </c>
      <c r="G71" s="4">
        <f>'Cost Build Up'!G47/'Revenue Build Up'!G$17</f>
        <v>8.5430968726163237E-2</v>
      </c>
      <c r="H71" s="4">
        <f>'Cost Build Up'!H47/'Revenue Build Up'!H$17</f>
        <v>4.9020535629790855E-2</v>
      </c>
      <c r="I71" s="4">
        <f>'Cost Build Up'!I47/'Revenue Build Up'!I$17</f>
        <v>4.9084639099895112E-2</v>
      </c>
      <c r="J71" s="4">
        <f>'Cost Build Up'!J47/'Revenue Build Up'!J$17</f>
        <v>6.0664068099115474E-2</v>
      </c>
      <c r="K71" s="4">
        <f>'Cost Build Up'!K47/'Revenue Build Up'!K$17</f>
        <v>5.8984000589840005E-2</v>
      </c>
      <c r="L71" s="6">
        <v>4.8860345617659756E-2</v>
      </c>
      <c r="M71" s="6">
        <v>4.6579152593815454E-2</v>
      </c>
      <c r="N71" s="6">
        <v>4.6535968753945008E-2</v>
      </c>
      <c r="O71" s="6">
        <v>3.9966679554485136E-2</v>
      </c>
      <c r="P71" s="6">
        <v>3.8741179190426717E-2</v>
      </c>
    </row>
    <row r="72" spans="1:16" x14ac:dyDescent="0.25">
      <c r="A72" s="12" t="s">
        <v>132</v>
      </c>
      <c r="C72" s="13"/>
      <c r="E72" s="14"/>
      <c r="F72" s="15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s="12" customFormat="1" x14ac:dyDescent="0.25">
      <c r="B73" s="12" t="s">
        <v>101</v>
      </c>
      <c r="E73" s="37"/>
      <c r="F73" s="38"/>
      <c r="G73" s="39"/>
      <c r="H73" s="39"/>
      <c r="I73" s="39"/>
      <c r="J73" s="39"/>
      <c r="K73" s="39"/>
      <c r="L73" s="40"/>
      <c r="M73" s="40"/>
      <c r="N73" s="40"/>
      <c r="O73" s="40"/>
      <c r="P73" s="40"/>
    </row>
    <row r="74" spans="1:16" x14ac:dyDescent="0.25">
      <c r="B74" s="16"/>
      <c r="C74" s="31" t="s">
        <v>85</v>
      </c>
      <c r="E74" s="29" t="s">
        <v>130</v>
      </c>
      <c r="F74" s="29"/>
      <c r="G74" s="19"/>
      <c r="H74" s="4">
        <f>AVERAGE(BS!G8,BS!H8)/'P &amp; L'!H8</f>
        <v>0.13375751001335112</v>
      </c>
      <c r="I74" s="4">
        <f>AVERAGE(BS!H8,BS!I8)/'P &amp; L'!I8</f>
        <v>9.5025826080803788E-2</v>
      </c>
      <c r="J74" s="4">
        <f>AVERAGE(BS!I8,BS!J8)/'P &amp; L'!J8</f>
        <v>9.6692665142618081E-2</v>
      </c>
      <c r="K74" s="4">
        <f>AVERAGE(BS!J8,BS!K8)/'P &amp; L'!K8</f>
        <v>9.5338312438872586E-2</v>
      </c>
      <c r="L74" s="6">
        <v>0.1</v>
      </c>
      <c r="M74" s="6">
        <v>0.1</v>
      </c>
      <c r="N74" s="6">
        <v>0.1</v>
      </c>
      <c r="O74" s="6">
        <v>0.1</v>
      </c>
      <c r="P74" s="6">
        <v>0.1</v>
      </c>
    </row>
    <row r="75" spans="1:16" x14ac:dyDescent="0.25">
      <c r="B75" s="16"/>
      <c r="C75" s="31" t="s">
        <v>128</v>
      </c>
      <c r="E75" s="29" t="s">
        <v>171</v>
      </c>
      <c r="F75" s="29"/>
      <c r="H75" s="19">
        <f>AVERAGE(BS!G10,BS!H10)/'P &amp; L'!H12*365</f>
        <v>56.95785070785071</v>
      </c>
      <c r="I75" s="19">
        <f>AVERAGE(BS!H10,BS!I10)/'P &amp; L'!I12*365</f>
        <v>88.418821442861926</v>
      </c>
      <c r="J75" s="19">
        <f>AVERAGE(BS!I10,BS!J10)/'P &amp; L'!J12*365</f>
        <v>87.986176829239596</v>
      </c>
      <c r="K75" s="19">
        <f>AVERAGE(BS!J10,BS!K10)/'P &amp; L'!K12*365</f>
        <v>58.577196017954314</v>
      </c>
      <c r="L75" s="41">
        <v>58</v>
      </c>
      <c r="M75" s="41">
        <v>56</v>
      </c>
      <c r="N75" s="41">
        <v>60</v>
      </c>
      <c r="O75" s="41">
        <v>55</v>
      </c>
      <c r="P75" s="41">
        <v>57</v>
      </c>
    </row>
    <row r="76" spans="1:16" x14ac:dyDescent="0.25">
      <c r="B76" s="16"/>
      <c r="C76" s="31" t="s">
        <v>129</v>
      </c>
      <c r="E76" s="29" t="s">
        <v>172</v>
      </c>
      <c r="F76" s="29"/>
      <c r="H76" s="19">
        <f>AVERAGE(BS!G12,BS!H12)/'P &amp; L'!H7*365</f>
        <v>39.551243062904582</v>
      </c>
      <c r="I76" s="19">
        <f>AVERAGE(BS!H12,BS!I12)/'P &amp; L'!I7*365</f>
        <v>44.83130187479891</v>
      </c>
      <c r="J76" s="19">
        <f>AVERAGE(BS!I12,BS!J12)/'P &amp; L'!J7*365</f>
        <v>41.714489849023273</v>
      </c>
      <c r="K76" s="19">
        <f>AVERAGE(BS!J12,BS!K12)/'P &amp; L'!K7*365</f>
        <v>35.06914619124516</v>
      </c>
      <c r="L76" s="41">
        <v>34</v>
      </c>
      <c r="M76" s="41">
        <v>32</v>
      </c>
      <c r="N76" s="41">
        <v>31</v>
      </c>
      <c r="O76" s="41">
        <v>30</v>
      </c>
      <c r="P76" s="41">
        <v>29</v>
      </c>
    </row>
    <row r="77" spans="1:16" x14ac:dyDescent="0.25">
      <c r="B77" s="16"/>
      <c r="C77" s="31" t="s">
        <v>83</v>
      </c>
      <c r="E77" s="29" t="s">
        <v>172</v>
      </c>
      <c r="F77" s="29"/>
      <c r="G77" s="19"/>
      <c r="H77" s="19">
        <f>AVERAGE(BS!G28,BS!H28)/'P &amp; L'!H7*365</f>
        <v>111.88229588910357</v>
      </c>
      <c r="I77" s="19">
        <f>AVERAGE(BS!H28,BS!I28)/'P &amp; L'!I7*365</f>
        <v>130.18965790139018</v>
      </c>
      <c r="J77" s="19">
        <f>AVERAGE(BS!I28,BS!J28)/'P &amp; L'!J7*365</f>
        <v>119.02099277750266</v>
      </c>
      <c r="K77" s="19">
        <f>AVERAGE(BS!J28,BS!K28)/'P &amp; L'!K7*365</f>
        <v>105.05971580039565</v>
      </c>
      <c r="L77" s="42">
        <v>95</v>
      </c>
      <c r="M77" s="42">
        <v>87</v>
      </c>
      <c r="N77" s="42">
        <v>81</v>
      </c>
      <c r="O77" s="42">
        <v>75</v>
      </c>
      <c r="P77" s="42">
        <v>70</v>
      </c>
    </row>
    <row r="78" spans="1:16" x14ac:dyDescent="0.25">
      <c r="B78" s="16"/>
      <c r="C78" s="31" t="s">
        <v>131</v>
      </c>
      <c r="E78" s="29" t="s">
        <v>173</v>
      </c>
      <c r="F78" s="29"/>
      <c r="G78" s="19"/>
      <c r="H78" s="19">
        <f>AVERAGE(BS!G29,BS!H29)/'P &amp; L'!H5*365</f>
        <v>31.253903662345039</v>
      </c>
      <c r="I78" s="19">
        <f>AVERAGE(BS!H29,BS!I29)/'P &amp; L'!I5*365</f>
        <v>33.066882793545858</v>
      </c>
      <c r="J78" s="19">
        <f>AVERAGE(BS!I29,BS!J29)/'P &amp; L'!J5*365</f>
        <v>31.055890009386285</v>
      </c>
      <c r="K78" s="19">
        <f>AVERAGE(BS!J29,BS!K29)/'P &amp; L'!K5*365</f>
        <v>26.606189633561893</v>
      </c>
      <c r="L78" s="42">
        <v>24</v>
      </c>
      <c r="M78" s="42">
        <v>25</v>
      </c>
      <c r="N78" s="42">
        <v>25</v>
      </c>
      <c r="O78" s="42">
        <v>25</v>
      </c>
      <c r="P78" s="42">
        <v>25</v>
      </c>
    </row>
    <row r="79" spans="1:16" s="12" customFormat="1" x14ac:dyDescent="0.25">
      <c r="B79" s="12" t="s">
        <v>102</v>
      </c>
      <c r="E79" s="37"/>
      <c r="F79" s="38"/>
      <c r="G79" s="39"/>
      <c r="H79" s="39"/>
      <c r="I79" s="39"/>
      <c r="J79" s="39"/>
      <c r="K79" s="39"/>
      <c r="L79" s="40"/>
      <c r="M79" s="40"/>
      <c r="N79" s="40"/>
      <c r="O79" s="40"/>
      <c r="P79" s="40"/>
    </row>
    <row r="80" spans="1:16" x14ac:dyDescent="0.25">
      <c r="B80" s="16"/>
      <c r="C80" s="25" t="s">
        <v>86</v>
      </c>
      <c r="E80" s="17" t="s">
        <v>27</v>
      </c>
      <c r="K80" s="13">
        <f>BS!K9</f>
        <v>7</v>
      </c>
      <c r="L80" s="41">
        <f>K80</f>
        <v>7</v>
      </c>
      <c r="M80" s="41">
        <f t="shared" ref="M80:P80" si="9">L80</f>
        <v>7</v>
      </c>
      <c r="N80" s="41">
        <f t="shared" si="9"/>
        <v>7</v>
      </c>
      <c r="O80" s="41">
        <f t="shared" si="9"/>
        <v>7</v>
      </c>
      <c r="P80" s="41">
        <f t="shared" si="9"/>
        <v>7</v>
      </c>
    </row>
    <row r="81" spans="1:16" x14ac:dyDescent="0.25">
      <c r="B81" s="16"/>
      <c r="C81" s="25" t="s">
        <v>87</v>
      </c>
      <c r="E81" s="17" t="s">
        <v>27</v>
      </c>
      <c r="K81" s="13">
        <f>BS!K11</f>
        <v>2</v>
      </c>
      <c r="L81" s="41">
        <f t="shared" ref="L81:P83" si="10">K81</f>
        <v>2</v>
      </c>
      <c r="M81" s="41">
        <f t="shared" si="10"/>
        <v>2</v>
      </c>
      <c r="N81" s="41">
        <f t="shared" si="10"/>
        <v>2</v>
      </c>
      <c r="O81" s="41">
        <f t="shared" si="10"/>
        <v>2</v>
      </c>
      <c r="P81" s="41">
        <f t="shared" si="10"/>
        <v>2</v>
      </c>
    </row>
    <row r="82" spans="1:16" x14ac:dyDescent="0.25">
      <c r="B82" s="16"/>
      <c r="C82" s="13" t="str">
        <f>BS!C30</f>
        <v>[+] Loans &amp; Advances</v>
      </c>
      <c r="E82" s="17" t="s">
        <v>27</v>
      </c>
      <c r="K82" s="13">
        <f>BS!K30</f>
        <v>16</v>
      </c>
      <c r="L82" s="41">
        <f t="shared" si="10"/>
        <v>16</v>
      </c>
      <c r="M82" s="41">
        <f t="shared" si="10"/>
        <v>16</v>
      </c>
      <c r="N82" s="41">
        <f t="shared" si="10"/>
        <v>16</v>
      </c>
      <c r="O82" s="41">
        <f t="shared" si="10"/>
        <v>16</v>
      </c>
      <c r="P82" s="41">
        <f t="shared" si="10"/>
        <v>16</v>
      </c>
    </row>
    <row r="83" spans="1:16" x14ac:dyDescent="0.25">
      <c r="B83" s="16"/>
      <c r="C83" s="13" t="s">
        <v>97</v>
      </c>
      <c r="E83" s="17" t="s">
        <v>27</v>
      </c>
      <c r="K83" s="13">
        <f>BS!K38</f>
        <v>140</v>
      </c>
      <c r="L83" s="41">
        <f>K83</f>
        <v>140</v>
      </c>
      <c r="M83" s="41">
        <f t="shared" si="10"/>
        <v>140</v>
      </c>
      <c r="N83" s="41">
        <f t="shared" si="10"/>
        <v>140</v>
      </c>
      <c r="O83" s="41">
        <f t="shared" si="10"/>
        <v>140</v>
      </c>
      <c r="P83" s="41">
        <f t="shared" si="10"/>
        <v>140</v>
      </c>
    </row>
    <row r="84" spans="1:16" x14ac:dyDescent="0.25">
      <c r="A84" s="12" t="s">
        <v>103</v>
      </c>
      <c r="C84" s="13"/>
      <c r="E84" s="14"/>
      <c r="F84" s="15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B85" s="13" t="s">
        <v>133</v>
      </c>
      <c r="G85" s="42">
        <v>100</v>
      </c>
      <c r="H85" s="42">
        <v>50</v>
      </c>
      <c r="I85" s="42">
        <v>0</v>
      </c>
      <c r="J85" s="42">
        <v>0</v>
      </c>
      <c r="K85" s="42">
        <v>50</v>
      </c>
      <c r="L85" s="42">
        <v>0</v>
      </c>
      <c r="M85" s="42">
        <v>50</v>
      </c>
      <c r="N85" s="42">
        <v>30</v>
      </c>
      <c r="O85" s="42">
        <v>0</v>
      </c>
      <c r="P85" s="42">
        <v>0</v>
      </c>
    </row>
    <row r="86" spans="1:16" x14ac:dyDescent="0.25">
      <c r="B86" s="13" t="s">
        <v>134</v>
      </c>
      <c r="G86" s="42">
        <v>400</v>
      </c>
      <c r="H86" s="42">
        <v>400</v>
      </c>
      <c r="I86" s="42">
        <v>10</v>
      </c>
      <c r="J86" s="42">
        <v>10</v>
      </c>
      <c r="K86" s="42">
        <v>10</v>
      </c>
      <c r="L86" s="42">
        <v>150</v>
      </c>
      <c r="M86" s="42">
        <v>150</v>
      </c>
      <c r="N86" s="42">
        <v>100</v>
      </c>
      <c r="O86" s="42">
        <v>100</v>
      </c>
      <c r="P86" s="42">
        <v>105</v>
      </c>
    </row>
    <row r="87" spans="1:16" x14ac:dyDescent="0.25">
      <c r="B87" s="13" t="s">
        <v>104</v>
      </c>
      <c r="G87" s="42">
        <v>10</v>
      </c>
      <c r="H87" s="42">
        <v>10</v>
      </c>
      <c r="I87" s="42">
        <v>5</v>
      </c>
      <c r="J87" s="42">
        <v>5</v>
      </c>
      <c r="K87" s="42">
        <v>5</v>
      </c>
      <c r="L87" s="42">
        <v>10</v>
      </c>
      <c r="M87" s="42">
        <v>5</v>
      </c>
      <c r="N87" s="42">
        <v>5</v>
      </c>
      <c r="O87" s="42">
        <v>5</v>
      </c>
      <c r="P87" s="42">
        <v>10</v>
      </c>
    </row>
    <row r="88" spans="1:16" x14ac:dyDescent="0.25">
      <c r="B88" s="13" t="s">
        <v>105</v>
      </c>
      <c r="G88" s="42">
        <v>35</v>
      </c>
      <c r="H88" s="42">
        <v>25</v>
      </c>
      <c r="I88" s="42">
        <v>0</v>
      </c>
      <c r="J88" s="42">
        <v>0</v>
      </c>
      <c r="K88" s="42">
        <f>J88</f>
        <v>0</v>
      </c>
      <c r="L88" s="42">
        <v>30</v>
      </c>
      <c r="M88" s="42">
        <v>0</v>
      </c>
      <c r="N88" s="42">
        <v>0</v>
      </c>
      <c r="O88" s="42">
        <v>0</v>
      </c>
      <c r="P88" s="42">
        <v>10</v>
      </c>
    </row>
    <row r="89" spans="1:16" s="12" customFormat="1" x14ac:dyDescent="0.25">
      <c r="C89" s="12" t="s">
        <v>106</v>
      </c>
      <c r="E89" s="14"/>
      <c r="F89" s="15"/>
      <c r="G89" s="39">
        <f>SUM(G85:G88)</f>
        <v>545</v>
      </c>
      <c r="H89" s="39">
        <f>SUM(H85:H88)</f>
        <v>485</v>
      </c>
      <c r="I89" s="39">
        <f t="shared" ref="I89:P89" si="11">SUM(I85:I88)</f>
        <v>15</v>
      </c>
      <c r="J89" s="39">
        <f t="shared" si="11"/>
        <v>15</v>
      </c>
      <c r="K89" s="39">
        <f t="shared" si="11"/>
        <v>65</v>
      </c>
      <c r="L89" s="39">
        <f t="shared" si="11"/>
        <v>190</v>
      </c>
      <c r="M89" s="39">
        <f t="shared" si="11"/>
        <v>205</v>
      </c>
      <c r="N89" s="39">
        <f t="shared" si="11"/>
        <v>135</v>
      </c>
      <c r="O89" s="39">
        <f t="shared" si="11"/>
        <v>105</v>
      </c>
      <c r="P89" s="39">
        <f t="shared" si="11"/>
        <v>125</v>
      </c>
    </row>
    <row r="90" spans="1:16" x14ac:dyDescent="0.25">
      <c r="A90" s="12" t="s">
        <v>110</v>
      </c>
      <c r="C90" s="13"/>
      <c r="E90" s="14"/>
      <c r="F90" s="15"/>
      <c r="G90" s="14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B91" s="13" t="s">
        <v>133</v>
      </c>
      <c r="E91" s="43"/>
      <c r="F91" s="35"/>
      <c r="G91" s="6">
        <v>1</v>
      </c>
      <c r="H91" s="6">
        <f>G91</f>
        <v>1</v>
      </c>
      <c r="I91" s="6">
        <f t="shared" ref="I91:P91" si="12">H91</f>
        <v>1</v>
      </c>
      <c r="J91" s="6">
        <f t="shared" si="12"/>
        <v>1</v>
      </c>
      <c r="K91" s="6">
        <f t="shared" si="12"/>
        <v>1</v>
      </c>
      <c r="L91" s="6">
        <f t="shared" si="12"/>
        <v>1</v>
      </c>
      <c r="M91" s="6">
        <f t="shared" si="12"/>
        <v>1</v>
      </c>
      <c r="N91" s="6">
        <f t="shared" si="12"/>
        <v>1</v>
      </c>
      <c r="O91" s="6">
        <f t="shared" si="12"/>
        <v>1</v>
      </c>
      <c r="P91" s="6">
        <f t="shared" si="12"/>
        <v>1</v>
      </c>
    </row>
    <row r="92" spans="1:16" x14ac:dyDescent="0.25">
      <c r="B92" s="13" t="s">
        <v>134</v>
      </c>
      <c r="E92" s="43"/>
      <c r="F92" s="35"/>
      <c r="G92" s="6">
        <v>0.9</v>
      </c>
      <c r="H92" s="6">
        <f t="shared" ref="H92:P94" si="13">G92</f>
        <v>0.9</v>
      </c>
      <c r="I92" s="6">
        <f t="shared" si="13"/>
        <v>0.9</v>
      </c>
      <c r="J92" s="6">
        <f t="shared" si="13"/>
        <v>0.9</v>
      </c>
      <c r="K92" s="6">
        <f t="shared" si="13"/>
        <v>0.9</v>
      </c>
      <c r="L92" s="6">
        <f t="shared" si="13"/>
        <v>0.9</v>
      </c>
      <c r="M92" s="6">
        <f t="shared" si="13"/>
        <v>0.9</v>
      </c>
      <c r="N92" s="6">
        <f t="shared" si="13"/>
        <v>0.9</v>
      </c>
      <c r="O92" s="6">
        <f t="shared" si="13"/>
        <v>0.9</v>
      </c>
      <c r="P92" s="6">
        <f t="shared" si="13"/>
        <v>0.9</v>
      </c>
    </row>
    <row r="93" spans="1:16" x14ac:dyDescent="0.25">
      <c r="B93" s="13" t="s">
        <v>104</v>
      </c>
      <c r="E93" s="43"/>
      <c r="F93" s="35"/>
      <c r="G93" s="6">
        <v>1</v>
      </c>
      <c r="H93" s="6">
        <f t="shared" si="13"/>
        <v>1</v>
      </c>
      <c r="I93" s="6">
        <f t="shared" si="13"/>
        <v>1</v>
      </c>
      <c r="J93" s="6">
        <f t="shared" si="13"/>
        <v>1</v>
      </c>
      <c r="K93" s="6">
        <f t="shared" si="13"/>
        <v>1</v>
      </c>
      <c r="L93" s="6">
        <f t="shared" si="13"/>
        <v>1</v>
      </c>
      <c r="M93" s="6">
        <f t="shared" si="13"/>
        <v>1</v>
      </c>
      <c r="N93" s="6">
        <f t="shared" si="13"/>
        <v>1</v>
      </c>
      <c r="O93" s="6">
        <f t="shared" si="13"/>
        <v>1</v>
      </c>
      <c r="P93" s="6">
        <f t="shared" si="13"/>
        <v>1</v>
      </c>
    </row>
    <row r="94" spans="1:16" x14ac:dyDescent="0.25">
      <c r="B94" s="13" t="s">
        <v>105</v>
      </c>
      <c r="E94" s="43"/>
      <c r="F94" s="35"/>
      <c r="G94" s="6">
        <v>1</v>
      </c>
      <c r="H94" s="6">
        <f t="shared" si="13"/>
        <v>1</v>
      </c>
      <c r="I94" s="6">
        <f t="shared" si="13"/>
        <v>1</v>
      </c>
      <c r="J94" s="6">
        <f t="shared" si="13"/>
        <v>1</v>
      </c>
      <c r="K94" s="6">
        <f t="shared" si="13"/>
        <v>1</v>
      </c>
      <c r="L94" s="6">
        <f t="shared" si="13"/>
        <v>1</v>
      </c>
      <c r="M94" s="6">
        <f t="shared" si="13"/>
        <v>1</v>
      </c>
      <c r="N94" s="6">
        <f t="shared" si="13"/>
        <v>1</v>
      </c>
      <c r="O94" s="6">
        <f t="shared" si="13"/>
        <v>1</v>
      </c>
      <c r="P94" s="6">
        <f t="shared" si="13"/>
        <v>1</v>
      </c>
    </row>
    <row r="95" spans="1:16" x14ac:dyDescent="0.25">
      <c r="A95" s="12" t="s">
        <v>117</v>
      </c>
      <c r="C95" s="13"/>
      <c r="E95" s="14"/>
      <c r="F95" s="15"/>
      <c r="G95" s="14"/>
      <c r="H95" s="12"/>
      <c r="I95" s="12"/>
      <c r="J95" s="12"/>
      <c r="K95" s="12"/>
      <c r="L95" s="12"/>
      <c r="M95" s="12"/>
      <c r="N95" s="12"/>
      <c r="O95" s="12"/>
      <c r="P95" s="12"/>
    </row>
    <row r="96" spans="1:16" x14ac:dyDescent="0.25">
      <c r="B96" s="13" t="s">
        <v>133</v>
      </c>
      <c r="E96" s="43"/>
      <c r="F96" s="35"/>
      <c r="G96" s="42">
        <v>0</v>
      </c>
      <c r="H96" s="42">
        <f>G96</f>
        <v>0</v>
      </c>
      <c r="I96" s="42">
        <f t="shared" ref="I96:P96" si="14">H96</f>
        <v>0</v>
      </c>
      <c r="J96" s="42">
        <f t="shared" si="14"/>
        <v>0</v>
      </c>
      <c r="K96" s="42">
        <f t="shared" si="14"/>
        <v>0</v>
      </c>
      <c r="L96" s="42">
        <f t="shared" si="14"/>
        <v>0</v>
      </c>
      <c r="M96" s="42">
        <f t="shared" si="14"/>
        <v>0</v>
      </c>
      <c r="N96" s="42">
        <f t="shared" si="14"/>
        <v>0</v>
      </c>
      <c r="O96" s="42">
        <f t="shared" si="14"/>
        <v>0</v>
      </c>
      <c r="P96" s="42">
        <f t="shared" si="14"/>
        <v>0</v>
      </c>
    </row>
    <row r="97" spans="1:16" x14ac:dyDescent="0.25">
      <c r="B97" s="13" t="s">
        <v>134</v>
      </c>
      <c r="E97" s="43"/>
      <c r="F97" s="35"/>
      <c r="G97" s="42">
        <f>G96</f>
        <v>0</v>
      </c>
      <c r="H97" s="42">
        <f t="shared" ref="H97:P97" si="15">G97</f>
        <v>0</v>
      </c>
      <c r="I97" s="42">
        <f t="shared" si="15"/>
        <v>0</v>
      </c>
      <c r="J97" s="42">
        <f t="shared" si="15"/>
        <v>0</v>
      </c>
      <c r="K97" s="42">
        <f t="shared" si="15"/>
        <v>0</v>
      </c>
      <c r="L97" s="42">
        <f t="shared" si="15"/>
        <v>0</v>
      </c>
      <c r="M97" s="42">
        <f t="shared" si="15"/>
        <v>0</v>
      </c>
      <c r="N97" s="42">
        <f t="shared" si="15"/>
        <v>0</v>
      </c>
      <c r="O97" s="42">
        <f t="shared" si="15"/>
        <v>0</v>
      </c>
      <c r="P97" s="42">
        <f t="shared" si="15"/>
        <v>0</v>
      </c>
    </row>
    <row r="98" spans="1:16" x14ac:dyDescent="0.25">
      <c r="B98" s="13" t="s">
        <v>104</v>
      </c>
      <c r="E98" s="43"/>
      <c r="F98" s="35"/>
      <c r="G98" s="42">
        <f t="shared" ref="G98:G99" si="16">G97</f>
        <v>0</v>
      </c>
      <c r="H98" s="42">
        <f t="shared" ref="H98:P98" si="17">G98</f>
        <v>0</v>
      </c>
      <c r="I98" s="42">
        <f t="shared" si="17"/>
        <v>0</v>
      </c>
      <c r="J98" s="42">
        <f t="shared" si="17"/>
        <v>0</v>
      </c>
      <c r="K98" s="42">
        <f t="shared" si="17"/>
        <v>0</v>
      </c>
      <c r="L98" s="42">
        <f t="shared" si="17"/>
        <v>0</v>
      </c>
      <c r="M98" s="42">
        <f t="shared" si="17"/>
        <v>0</v>
      </c>
      <c r="N98" s="42">
        <f t="shared" si="17"/>
        <v>0</v>
      </c>
      <c r="O98" s="42">
        <f t="shared" si="17"/>
        <v>0</v>
      </c>
      <c r="P98" s="42">
        <f t="shared" si="17"/>
        <v>0</v>
      </c>
    </row>
    <row r="99" spans="1:16" x14ac:dyDescent="0.25">
      <c r="B99" s="13" t="s">
        <v>105</v>
      </c>
      <c r="E99" s="43"/>
      <c r="F99" s="35"/>
      <c r="G99" s="42">
        <f t="shared" si="16"/>
        <v>0</v>
      </c>
      <c r="H99" s="42">
        <f t="shared" ref="H99:P99" si="18">G99</f>
        <v>0</v>
      </c>
      <c r="I99" s="42">
        <f t="shared" si="18"/>
        <v>0</v>
      </c>
      <c r="J99" s="42">
        <f t="shared" si="18"/>
        <v>0</v>
      </c>
      <c r="K99" s="42">
        <f t="shared" si="18"/>
        <v>0</v>
      </c>
      <c r="L99" s="42">
        <f t="shared" si="18"/>
        <v>0</v>
      </c>
      <c r="M99" s="42">
        <f t="shared" si="18"/>
        <v>0</v>
      </c>
      <c r="N99" s="42">
        <f t="shared" si="18"/>
        <v>0</v>
      </c>
      <c r="O99" s="42">
        <f t="shared" si="18"/>
        <v>0</v>
      </c>
      <c r="P99" s="42">
        <f t="shared" si="18"/>
        <v>0</v>
      </c>
    </row>
    <row r="100" spans="1:16" x14ac:dyDescent="0.25">
      <c r="A100" s="12" t="s">
        <v>107</v>
      </c>
      <c r="C100" s="13"/>
      <c r="E100" s="14" t="s">
        <v>108</v>
      </c>
      <c r="F100" s="15"/>
      <c r="G100" s="14" t="s">
        <v>109</v>
      </c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B101" s="13" t="s">
        <v>134</v>
      </c>
      <c r="E101" s="11">
        <v>0.18</v>
      </c>
      <c r="F101" s="10"/>
      <c r="G101" s="6">
        <v>0.15</v>
      </c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1:16" x14ac:dyDescent="0.25">
      <c r="B102" s="13" t="s">
        <v>104</v>
      </c>
      <c r="E102" s="11">
        <v>0.33329999999999999</v>
      </c>
      <c r="F102" s="10"/>
      <c r="G102" s="6">
        <v>0.6</v>
      </c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1:16" x14ac:dyDescent="0.25">
      <c r="B103" s="13" t="s">
        <v>105</v>
      </c>
      <c r="E103" s="11">
        <v>0.15</v>
      </c>
      <c r="F103" s="10"/>
      <c r="G103" s="6">
        <v>0.1</v>
      </c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 x14ac:dyDescent="0.25">
      <c r="A104" s="12"/>
      <c r="C104" s="13"/>
      <c r="E104" s="14"/>
      <c r="F104" s="15"/>
      <c r="G104" s="14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s="12" customFormat="1" x14ac:dyDescent="0.25">
      <c r="E105" s="14"/>
      <c r="F105" s="15"/>
      <c r="G105" s="44"/>
      <c r="H105" s="45"/>
      <c r="I105" s="45"/>
      <c r="J105" s="45"/>
      <c r="K105" s="45"/>
      <c r="L105" s="45"/>
      <c r="M105" s="45"/>
      <c r="N105" s="45"/>
      <c r="O105" s="45"/>
      <c r="P105" s="45"/>
    </row>
    <row r="106" spans="1:16" x14ac:dyDescent="0.25">
      <c r="B106" s="16"/>
      <c r="C106" s="13"/>
      <c r="G106" s="9"/>
      <c r="H106" s="46"/>
      <c r="I106" s="46"/>
      <c r="J106" s="46"/>
      <c r="K106" s="46"/>
      <c r="L106" s="46"/>
      <c r="M106" s="46"/>
      <c r="N106" s="46"/>
      <c r="O106" s="46"/>
      <c r="P106" s="46"/>
    </row>
    <row r="107" spans="1:16" x14ac:dyDescent="0.25">
      <c r="B107" s="16"/>
      <c r="C107" s="13"/>
      <c r="G107" s="42"/>
      <c r="H107" s="46"/>
      <c r="I107" s="46"/>
      <c r="J107" s="46"/>
      <c r="K107" s="46"/>
      <c r="L107" s="46"/>
      <c r="M107" s="46"/>
      <c r="N107" s="46"/>
      <c r="O107" s="46"/>
      <c r="P107" s="46"/>
    </row>
    <row r="108" spans="1:16" x14ac:dyDescent="0.25">
      <c r="B108" s="16"/>
      <c r="C108" s="13"/>
      <c r="E108" s="43"/>
      <c r="F108" s="35"/>
      <c r="G108" s="6"/>
      <c r="H108" s="46"/>
      <c r="I108" s="46"/>
      <c r="J108" s="46"/>
      <c r="K108" s="46"/>
      <c r="L108" s="46"/>
      <c r="M108" s="46"/>
      <c r="N108" s="46"/>
      <c r="O108" s="46"/>
      <c r="P108" s="46"/>
    </row>
    <row r="109" spans="1:16" ht="46.5" customHeight="1" x14ac:dyDescent="0.25">
      <c r="B109" s="16"/>
      <c r="C109" s="47"/>
      <c r="F109" s="48"/>
      <c r="G109" s="42"/>
      <c r="H109" s="46"/>
      <c r="I109" s="46"/>
      <c r="J109" s="46"/>
      <c r="K109" s="46"/>
      <c r="L109" s="46"/>
      <c r="M109" s="46"/>
      <c r="N109" s="46"/>
      <c r="O109" s="46"/>
      <c r="P109" s="46"/>
    </row>
    <row r="110" spans="1:16" s="12" customFormat="1" x14ac:dyDescent="0.25">
      <c r="E110" s="23"/>
      <c r="F110" s="22"/>
      <c r="H110" s="45"/>
      <c r="I110" s="45"/>
      <c r="J110" s="45"/>
      <c r="K110" s="45"/>
      <c r="L110" s="45"/>
      <c r="M110" s="45"/>
      <c r="N110" s="45"/>
      <c r="O110" s="45"/>
      <c r="P110" s="45"/>
    </row>
    <row r="111" spans="1:16" x14ac:dyDescent="0.25">
      <c r="B111" s="16"/>
      <c r="C111" s="13"/>
      <c r="G111" s="42"/>
      <c r="H111" s="46"/>
      <c r="I111" s="46"/>
      <c r="J111" s="46"/>
      <c r="K111" s="46"/>
      <c r="L111" s="46"/>
      <c r="M111" s="46"/>
      <c r="N111" s="46"/>
      <c r="O111" s="46"/>
      <c r="P111" s="46"/>
    </row>
    <row r="112" spans="1:16" x14ac:dyDescent="0.25">
      <c r="B112" s="16"/>
      <c r="C112" s="13"/>
      <c r="E112" s="43"/>
      <c r="F112" s="35"/>
      <c r="G112" s="6"/>
      <c r="H112" s="46"/>
      <c r="I112" s="46"/>
      <c r="J112" s="46"/>
      <c r="K112" s="46"/>
      <c r="L112" s="46"/>
      <c r="M112" s="46"/>
      <c r="N112" s="46"/>
      <c r="O112" s="46"/>
      <c r="P112" s="46"/>
    </row>
    <row r="113" spans="1:16" x14ac:dyDescent="0.25">
      <c r="B113" s="16"/>
      <c r="C113" s="13"/>
      <c r="E113" s="43"/>
      <c r="F113" s="35"/>
      <c r="G113" s="6"/>
      <c r="H113" s="46"/>
      <c r="I113" s="46"/>
      <c r="J113" s="46"/>
      <c r="K113" s="46"/>
      <c r="L113" s="46"/>
      <c r="M113" s="46"/>
      <c r="N113" s="46"/>
      <c r="O113" s="46"/>
      <c r="P113" s="46"/>
    </row>
    <row r="114" spans="1:16" x14ac:dyDescent="0.25">
      <c r="B114" s="16"/>
      <c r="C114" s="13"/>
      <c r="E114" s="43"/>
      <c r="F114" s="35"/>
      <c r="G114" s="42"/>
      <c r="H114" s="49"/>
      <c r="I114" s="46"/>
      <c r="J114" s="46"/>
      <c r="K114" s="46"/>
      <c r="L114" s="46"/>
      <c r="M114" s="46"/>
      <c r="N114" s="46"/>
      <c r="O114" s="46"/>
      <c r="P114" s="46"/>
    </row>
    <row r="115" spans="1:16" x14ac:dyDescent="0.25">
      <c r="B115" s="16"/>
      <c r="C115" s="13"/>
      <c r="E115" s="43"/>
      <c r="F115" s="35"/>
      <c r="G115" s="6"/>
      <c r="H115" s="49"/>
      <c r="I115" s="46"/>
      <c r="J115" s="46"/>
      <c r="K115" s="46"/>
      <c r="L115" s="46"/>
      <c r="M115" s="46"/>
      <c r="N115" s="46"/>
      <c r="O115" s="46"/>
      <c r="P115" s="46"/>
    </row>
    <row r="116" spans="1:16" s="12" customFormat="1" x14ac:dyDescent="0.25">
      <c r="E116" s="23"/>
      <c r="F116" s="22"/>
      <c r="H116" s="45"/>
      <c r="I116" s="45"/>
      <c r="J116" s="45"/>
      <c r="K116" s="45"/>
      <c r="L116" s="45"/>
      <c r="M116" s="45"/>
      <c r="N116" s="45"/>
      <c r="O116" s="45"/>
      <c r="P116" s="45"/>
    </row>
    <row r="117" spans="1:16" x14ac:dyDescent="0.25">
      <c r="B117" s="16"/>
      <c r="C117" s="13"/>
      <c r="G117" s="42"/>
      <c r="H117" s="49"/>
      <c r="I117" s="46"/>
      <c r="J117" s="46"/>
      <c r="K117" s="46"/>
      <c r="L117" s="46"/>
      <c r="M117" s="46"/>
      <c r="N117" s="46"/>
      <c r="O117" s="46"/>
      <c r="P117" s="46"/>
    </row>
    <row r="118" spans="1:16" x14ac:dyDescent="0.25">
      <c r="B118" s="16"/>
      <c r="C118" s="13"/>
      <c r="E118" s="43"/>
      <c r="F118" s="35"/>
      <c r="G118" s="6"/>
      <c r="H118" s="46"/>
      <c r="I118" s="46"/>
      <c r="J118" s="46"/>
      <c r="K118" s="46"/>
      <c r="L118" s="46"/>
      <c r="M118" s="46"/>
      <c r="N118" s="46"/>
      <c r="O118" s="46"/>
      <c r="P118" s="46"/>
    </row>
    <row r="119" spans="1:16" x14ac:dyDescent="0.25">
      <c r="B119" s="16"/>
      <c r="C119" s="13"/>
      <c r="E119" s="50"/>
      <c r="F119" s="51"/>
      <c r="G119" s="19"/>
      <c r="H119" s="19"/>
      <c r="I119" s="42"/>
      <c r="J119" s="42"/>
      <c r="K119" s="42"/>
      <c r="L119" s="42"/>
      <c r="M119" s="42"/>
      <c r="N119" s="42"/>
      <c r="O119" s="42"/>
      <c r="P119" s="42"/>
    </row>
    <row r="120" spans="1:16" s="12" customFormat="1" x14ac:dyDescent="0.25">
      <c r="E120" s="23"/>
      <c r="F120" s="22"/>
      <c r="H120" s="45"/>
      <c r="I120" s="45"/>
      <c r="J120" s="45"/>
      <c r="K120" s="45"/>
      <c r="L120" s="45"/>
      <c r="M120" s="45"/>
      <c r="N120" s="45"/>
      <c r="O120" s="45"/>
      <c r="P120" s="45"/>
    </row>
    <row r="121" spans="1:16" x14ac:dyDescent="0.25">
      <c r="B121" s="16"/>
      <c r="C121" s="13"/>
      <c r="E121" s="52"/>
      <c r="F121" s="53"/>
      <c r="G121" s="6"/>
      <c r="H121" s="46"/>
      <c r="I121" s="46"/>
      <c r="J121" s="46"/>
      <c r="K121" s="46"/>
      <c r="L121" s="46"/>
      <c r="M121" s="46"/>
      <c r="N121" s="46"/>
      <c r="O121" s="46"/>
      <c r="P121" s="46"/>
    </row>
    <row r="122" spans="1:16" x14ac:dyDescent="0.25">
      <c r="B122" s="16"/>
      <c r="C122" s="13"/>
      <c r="E122" s="50"/>
      <c r="F122" s="51"/>
      <c r="G122" s="19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 x14ac:dyDescent="0.25">
      <c r="A123" s="12"/>
      <c r="B123" s="12"/>
      <c r="C123" s="13"/>
      <c r="E123" s="50"/>
      <c r="F123" s="51"/>
      <c r="G123" s="19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1:16" x14ac:dyDescent="0.25">
      <c r="B124" s="16"/>
      <c r="C124" s="13"/>
      <c r="E124" s="50"/>
      <c r="F124" s="51"/>
      <c r="G124" s="6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1:16" x14ac:dyDescent="0.25">
      <c r="B125" s="16"/>
      <c r="C125" s="13"/>
      <c r="E125" s="50"/>
      <c r="F125" s="51"/>
      <c r="G125" s="6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 s="12" customFormat="1" x14ac:dyDescent="0.25">
      <c r="E126" s="37"/>
      <c r="F126" s="38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 spans="1:16" x14ac:dyDescent="0.25">
      <c r="B127" s="16"/>
      <c r="C127" s="13"/>
      <c r="E127" s="54"/>
      <c r="F127" s="55"/>
      <c r="G127" s="42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1:16" x14ac:dyDescent="0.25">
      <c r="B128" s="16"/>
      <c r="C128" s="13"/>
      <c r="E128" s="54"/>
      <c r="F128" s="55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1:16" x14ac:dyDescent="0.25">
      <c r="B129" s="16"/>
      <c r="C129" s="13"/>
      <c r="E129" s="54"/>
      <c r="F129" s="55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 x14ac:dyDescent="0.25">
      <c r="B130" s="16"/>
      <c r="C130" s="13"/>
      <c r="E130" s="54"/>
      <c r="F130" s="55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 ht="35.25" customHeight="1" x14ac:dyDescent="0.25">
      <c r="B131" s="16"/>
      <c r="C131" s="47"/>
      <c r="E131" s="54"/>
      <c r="F131" s="55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1:16" x14ac:dyDescent="0.25">
      <c r="A132" s="12"/>
      <c r="C132" s="13"/>
      <c r="E132" s="14"/>
      <c r="F132" s="15"/>
      <c r="G132" s="14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x14ac:dyDescent="0.25">
      <c r="G133" s="9"/>
      <c r="H133" s="46"/>
      <c r="I133" s="46"/>
      <c r="J133" s="46"/>
      <c r="K133" s="46"/>
      <c r="L133" s="46"/>
      <c r="M133" s="46"/>
      <c r="N133" s="46"/>
      <c r="O133" s="46"/>
      <c r="P133" s="46"/>
    </row>
    <row r="134" spans="1:16" x14ac:dyDescent="0.25">
      <c r="E134" s="43"/>
      <c r="F134" s="35"/>
      <c r="G134" s="9"/>
      <c r="H134" s="46"/>
      <c r="I134" s="46"/>
      <c r="J134" s="46"/>
      <c r="K134" s="46"/>
      <c r="L134" s="46"/>
      <c r="M134" s="46"/>
      <c r="N134" s="46"/>
      <c r="O134" s="46"/>
      <c r="P134" s="46"/>
    </row>
    <row r="135" spans="1:16" x14ac:dyDescent="0.25">
      <c r="E135" s="54"/>
      <c r="F135" s="55"/>
      <c r="H135" s="46"/>
      <c r="I135" s="46"/>
      <c r="J135" s="46"/>
      <c r="K135" s="56"/>
      <c r="L135" s="46"/>
      <c r="M135" s="46"/>
      <c r="N135" s="46"/>
      <c r="O135" s="46"/>
      <c r="P135" s="46"/>
    </row>
    <row r="136" spans="1:16" x14ac:dyDescent="0.25">
      <c r="A136" s="12"/>
      <c r="C136" s="13"/>
      <c r="E136" s="14"/>
      <c r="F136" s="15"/>
      <c r="G136" s="14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x14ac:dyDescent="0.25">
      <c r="B137" s="25"/>
      <c r="E137" s="54"/>
      <c r="F137" s="55"/>
      <c r="G137" s="6"/>
      <c r="H137" s="19"/>
      <c r="I137" s="19"/>
      <c r="J137" s="19"/>
      <c r="K137" s="19"/>
      <c r="L137" s="19"/>
      <c r="M137" s="19"/>
      <c r="N137" s="19"/>
      <c r="O137" s="19"/>
      <c r="P137" s="19"/>
    </row>
    <row r="138" spans="1:16" x14ac:dyDescent="0.25">
      <c r="B138" s="25"/>
      <c r="E138" s="43"/>
      <c r="F138" s="35"/>
      <c r="G138" s="57"/>
      <c r="H138" s="46"/>
      <c r="I138" s="46"/>
      <c r="J138" s="46"/>
      <c r="K138" s="46"/>
      <c r="L138" s="46"/>
      <c r="M138" s="46"/>
      <c r="N138" s="46"/>
      <c r="O138" s="46"/>
      <c r="P138" s="46"/>
    </row>
    <row r="139" spans="1:16" x14ac:dyDescent="0.25">
      <c r="B139" s="25"/>
      <c r="E139" s="54"/>
      <c r="F139" s="55"/>
      <c r="G139" s="6"/>
      <c r="H139" s="19"/>
      <c r="I139" s="19"/>
      <c r="J139" s="19"/>
      <c r="K139" s="19"/>
      <c r="L139" s="19"/>
      <c r="M139" s="19"/>
      <c r="N139" s="19"/>
      <c r="O139" s="19"/>
      <c r="P139" s="19"/>
    </row>
    <row r="140" spans="1:16" x14ac:dyDescent="0.25">
      <c r="B140" s="25"/>
      <c r="G140" s="5"/>
    </row>
    <row r="141" spans="1:16" x14ac:dyDescent="0.25">
      <c r="B141" s="25"/>
      <c r="G141" s="5"/>
    </row>
    <row r="142" spans="1:16" x14ac:dyDescent="0.25">
      <c r="B142" s="25"/>
      <c r="G142" s="6"/>
    </row>
  </sheetData>
  <pageMargins left="0.7" right="0.7" top="0.75" bottom="0.75" header="0.3" footer="0.3"/>
  <pageSetup scale="70" orientation="landscape" r:id="rId1"/>
  <headerFooter>
    <oddFooter>&amp;CPage &amp;P of &amp;N&amp;RAnthored byShashi Bhushan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showGridLines="0" zoomScaleSheetLayoutView="100" workbookViewId="0">
      <pane xSplit="4" ySplit="4" topLeftCell="E5" activePane="bottomRight" state="frozen"/>
      <selection activeCell="Q8" sqref="Q8"/>
      <selection pane="topRight" activeCell="Q8" sqref="Q8"/>
      <selection pane="bottomLeft" activeCell="Q8" sqref="Q8"/>
      <selection pane="bottomRight" activeCell="G17" sqref="G17"/>
    </sheetView>
  </sheetViews>
  <sheetFormatPr defaultRowHeight="15" x14ac:dyDescent="0.25"/>
  <cols>
    <col min="1" max="2" width="3.7109375" style="2" customWidth="1"/>
    <col min="3" max="3" width="30.7109375" style="3" customWidth="1"/>
    <col min="4" max="4" width="6.7109375" style="2" customWidth="1"/>
    <col min="5" max="6" width="6.28515625" style="3" customWidth="1"/>
    <col min="7" max="16" width="11.7109375" style="2" customWidth="1"/>
    <col min="17" max="16384" width="9.140625" style="2"/>
  </cols>
  <sheetData>
    <row r="1" spans="1:30" x14ac:dyDescent="0.25">
      <c r="A1" s="12" t="s">
        <v>174</v>
      </c>
      <c r="B1" s="13"/>
      <c r="C1" s="13"/>
      <c r="D1" s="12"/>
      <c r="E1" s="15"/>
      <c r="F1" s="15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25">
      <c r="A2" s="12"/>
      <c r="B2" s="89" t="s">
        <v>187</v>
      </c>
      <c r="C2" s="13"/>
      <c r="D2" s="12"/>
      <c r="E2" s="15"/>
      <c r="F2" s="15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x14ac:dyDescent="0.25">
      <c r="A3" s="13"/>
      <c r="B3" s="13" t="s">
        <v>28</v>
      </c>
      <c r="C3" s="16"/>
      <c r="D3" s="13"/>
      <c r="E3" s="16"/>
      <c r="F3" s="16"/>
      <c r="G3" s="18">
        <f>Assumptions!G3</f>
        <v>1</v>
      </c>
      <c r="H3" s="18">
        <f>Assumptions!H3</f>
        <v>2</v>
      </c>
      <c r="I3" s="18">
        <f>Assumptions!I3</f>
        <v>3</v>
      </c>
      <c r="J3" s="18">
        <f>Assumptions!J3</f>
        <v>4</v>
      </c>
      <c r="K3" s="18">
        <f>Assumptions!K3</f>
        <v>5</v>
      </c>
      <c r="L3" s="18">
        <f>Assumptions!L3</f>
        <v>6</v>
      </c>
      <c r="M3" s="18">
        <f>Assumptions!M3</f>
        <v>7</v>
      </c>
      <c r="N3" s="18">
        <f>Assumptions!N3</f>
        <v>8</v>
      </c>
      <c r="O3" s="18">
        <f>Assumptions!O3</f>
        <v>9</v>
      </c>
      <c r="P3" s="18">
        <f>Assumptions!P3</f>
        <v>10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x14ac:dyDescent="0.25">
      <c r="A4" s="15"/>
      <c r="B4" s="12"/>
      <c r="C4" s="13"/>
      <c r="D4" s="13"/>
      <c r="E4" s="14" t="s">
        <v>0</v>
      </c>
      <c r="F4" s="15"/>
      <c r="G4" s="20" t="str">
        <f>Assumptions!G4</f>
        <v>FY11A</v>
      </c>
      <c r="H4" s="20" t="str">
        <f>Assumptions!H4</f>
        <v>FY12A</v>
      </c>
      <c r="I4" s="20" t="str">
        <f>Assumptions!I4</f>
        <v>FY13A</v>
      </c>
      <c r="J4" s="20" t="str">
        <f>Assumptions!J4</f>
        <v>FY14A</v>
      </c>
      <c r="K4" s="20" t="str">
        <f>Assumptions!K4</f>
        <v>FY15A</v>
      </c>
      <c r="L4" s="20" t="str">
        <f>Assumptions!L4</f>
        <v>FY16P</v>
      </c>
      <c r="M4" s="20" t="str">
        <f>Assumptions!M4</f>
        <v>FY17P</v>
      </c>
      <c r="N4" s="20" t="str">
        <f>Assumptions!N4</f>
        <v>FY18P</v>
      </c>
      <c r="O4" s="20" t="str">
        <f>Assumptions!O4</f>
        <v>FY19P</v>
      </c>
      <c r="P4" s="20" t="str">
        <f>Assumptions!P4</f>
        <v>FY20P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12" t="s">
        <v>19</v>
      </c>
      <c r="B5" s="13"/>
      <c r="C5" s="13"/>
      <c r="D5" s="13"/>
      <c r="E5" s="60"/>
      <c r="F5" s="61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5">
      <c r="A6" s="13"/>
      <c r="B6" s="13" t="s">
        <v>14</v>
      </c>
      <c r="C6" s="16"/>
      <c r="D6" s="13"/>
      <c r="E6" s="17" t="s">
        <v>23</v>
      </c>
      <c r="F6" s="16"/>
      <c r="G6" s="42">
        <v>16</v>
      </c>
      <c r="H6" s="42">
        <v>18</v>
      </c>
      <c r="I6" s="42">
        <v>20</v>
      </c>
      <c r="J6" s="42">
        <v>21</v>
      </c>
      <c r="K6" s="42">
        <v>22</v>
      </c>
      <c r="L6" s="19">
        <f>(1+Assumptions!L8)*K6</f>
        <v>23.1</v>
      </c>
      <c r="M6" s="19">
        <f>(1+Assumptions!M8)*L6</f>
        <v>24.255000000000003</v>
      </c>
      <c r="N6" s="19">
        <f>(1+Assumptions!N8)*M6</f>
        <v>24.740100000000002</v>
      </c>
      <c r="O6" s="19">
        <f>(1+Assumptions!O8)*N6</f>
        <v>25.234902000000002</v>
      </c>
      <c r="P6" s="19">
        <f>(1+Assumptions!P8)*O6</f>
        <v>25.991949060000003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5">
      <c r="A7" s="13"/>
      <c r="B7" s="13" t="s">
        <v>15</v>
      </c>
      <c r="C7" s="16"/>
      <c r="D7" s="13"/>
      <c r="E7" s="17" t="s">
        <v>24</v>
      </c>
      <c r="F7" s="16"/>
      <c r="G7" s="42">
        <v>75</v>
      </c>
      <c r="H7" s="42">
        <v>80</v>
      </c>
      <c r="I7" s="42">
        <v>88</v>
      </c>
      <c r="J7" s="42">
        <v>92</v>
      </c>
      <c r="K7" s="42">
        <v>95</v>
      </c>
      <c r="L7" s="19">
        <f>(1+Assumptions!L9)*K7</f>
        <v>100.78344299225958</v>
      </c>
      <c r="M7" s="19">
        <f>(1+Assumptions!M9)*L7</f>
        <v>106.91897243551618</v>
      </c>
      <c r="N7" s="19">
        <f>(1+Assumptions!N9)*M7</f>
        <v>113.42802277100861</v>
      </c>
      <c r="O7" s="19">
        <f>(1+Assumptions!O9)*N7</f>
        <v>120.33333333333336</v>
      </c>
      <c r="P7" s="19">
        <f>(1+Assumptions!P9)*O7</f>
        <v>127.65902779019549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x14ac:dyDescent="0.25">
      <c r="A8" s="13"/>
      <c r="B8" s="13" t="s">
        <v>16</v>
      </c>
      <c r="C8" s="16"/>
      <c r="D8" s="13"/>
      <c r="E8" s="17" t="s">
        <v>23</v>
      </c>
      <c r="F8" s="16"/>
      <c r="G8" s="42">
        <v>100</v>
      </c>
      <c r="H8" s="42">
        <v>112</v>
      </c>
      <c r="I8" s="42">
        <v>125</v>
      </c>
      <c r="J8" s="42">
        <v>135</v>
      </c>
      <c r="K8" s="42">
        <v>145</v>
      </c>
      <c r="L8" s="19">
        <f>(1+Assumptions!L10)*K8</f>
        <v>150.80000000000001</v>
      </c>
      <c r="M8" s="19">
        <f>(1+Assumptions!M10)*L8</f>
        <v>156.83200000000002</v>
      </c>
      <c r="N8" s="19">
        <f>(1+Assumptions!N10)*M8</f>
        <v>159.96864000000002</v>
      </c>
      <c r="O8" s="19">
        <f>(1+Assumptions!O10)*N8</f>
        <v>163.16801280000001</v>
      </c>
      <c r="P8" s="19">
        <f>(1+Assumptions!P10)*O8</f>
        <v>168.06305318400001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5">
      <c r="A9" s="12" t="s">
        <v>20</v>
      </c>
      <c r="B9" s="13"/>
      <c r="C9" s="16"/>
      <c r="D9" s="13"/>
      <c r="E9" s="14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5">
      <c r="A10" s="16"/>
      <c r="B10" s="13" t="s">
        <v>14</v>
      </c>
      <c r="C10" s="16"/>
      <c r="D10" s="13"/>
      <c r="E10" s="17" t="s">
        <v>25</v>
      </c>
      <c r="F10" s="16"/>
      <c r="G10" s="41">
        <v>421875</v>
      </c>
      <c r="H10" s="41">
        <v>485156.25</v>
      </c>
      <c r="I10" s="41">
        <v>540000</v>
      </c>
      <c r="J10" s="41">
        <v>641250</v>
      </c>
      <c r="K10" s="41">
        <v>759375</v>
      </c>
      <c r="L10" s="13">
        <f>(1+Assumptions!L17)*K10</f>
        <v>873281.24999999988</v>
      </c>
      <c r="M10" s="13">
        <f>(1+Assumptions!M17)*L10</f>
        <v>995540.625</v>
      </c>
      <c r="N10" s="13">
        <f>(1+Assumptions!N17)*M10</f>
        <v>1124960.90625</v>
      </c>
      <c r="O10" s="13">
        <f>(1+Assumptions!O17)*N10</f>
        <v>1271205.8240624999</v>
      </c>
      <c r="P10" s="13">
        <f>(1+Assumptions!P17)*O10</f>
        <v>1423750.5229500001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5">
      <c r="A11" s="16"/>
      <c r="B11" s="13" t="s">
        <v>15</v>
      </c>
      <c r="C11" s="16"/>
      <c r="D11" s="13"/>
      <c r="E11" s="17" t="s">
        <v>26</v>
      </c>
      <c r="F11" s="16"/>
      <c r="G11" s="41">
        <v>281250</v>
      </c>
      <c r="H11" s="41">
        <v>300000</v>
      </c>
      <c r="I11" s="41">
        <v>315937.5</v>
      </c>
      <c r="J11" s="41">
        <v>333750</v>
      </c>
      <c r="K11" s="41">
        <v>348187.5</v>
      </c>
      <c r="L11" s="13">
        <f>(1+Assumptions!L18)*K11</f>
        <v>365535.72812900977</v>
      </c>
      <c r="M11" s="13">
        <f>(1+Assumptions!M18)*L11</f>
        <v>383748.32105921477</v>
      </c>
      <c r="N11" s="13">
        <f>(1+Assumptions!N18)*M11</f>
        <v>402868.34523544094</v>
      </c>
      <c r="O11" s="13">
        <f>(1+Assumptions!O18)*N11</f>
        <v>422941.01286165125</v>
      </c>
      <c r="P11" s="13">
        <f>(1+Assumptions!P18)*O11</f>
        <v>444013.78881207563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5">
      <c r="A12" s="16"/>
      <c r="B12" s="13" t="s">
        <v>16</v>
      </c>
      <c r="C12" s="16"/>
      <c r="D12" s="13"/>
      <c r="E12" s="17" t="s">
        <v>25</v>
      </c>
      <c r="F12" s="16"/>
      <c r="G12" s="41">
        <v>131250</v>
      </c>
      <c r="H12" s="41">
        <v>150000</v>
      </c>
      <c r="I12" s="41">
        <v>163125</v>
      </c>
      <c r="J12" s="41">
        <v>173437.5</v>
      </c>
      <c r="K12" s="41">
        <v>182812.5</v>
      </c>
      <c r="L12" s="13">
        <f>(1+Assumptions!L19)*K12</f>
        <v>191953.125</v>
      </c>
      <c r="M12" s="13">
        <f>(1+Assumptions!M19)*L12</f>
        <v>202510.546875</v>
      </c>
      <c r="N12" s="13">
        <f>(1+Assumptions!N19)*M12</f>
        <v>214661.1796875</v>
      </c>
      <c r="O12" s="13">
        <f>(1+Assumptions!O19)*N12</f>
        <v>227540.85046875002</v>
      </c>
      <c r="P12" s="13">
        <f>(1+Assumptions!P19)*O12</f>
        <v>241193.30149687504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5">
      <c r="A13" s="12" t="s">
        <v>21</v>
      </c>
      <c r="B13" s="13"/>
      <c r="C13" s="16"/>
      <c r="D13" s="13"/>
      <c r="E13" s="14"/>
      <c r="F13" s="15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5">
      <c r="A14" s="16"/>
      <c r="B14" s="13" t="s">
        <v>14</v>
      </c>
      <c r="C14" s="16"/>
      <c r="D14" s="13"/>
      <c r="E14" s="17" t="s">
        <v>27</v>
      </c>
      <c r="F14" s="16"/>
      <c r="G14" s="13">
        <f>G6*G10/10^5</f>
        <v>67.5</v>
      </c>
      <c r="H14" s="13">
        <f t="shared" ref="H14:P14" si="0">H6*H10/10^5</f>
        <v>87.328125</v>
      </c>
      <c r="I14" s="13">
        <f t="shared" si="0"/>
        <v>108</v>
      </c>
      <c r="J14" s="13">
        <f t="shared" si="0"/>
        <v>134.66249999999999</v>
      </c>
      <c r="K14" s="13">
        <f t="shared" si="0"/>
        <v>167.0625</v>
      </c>
      <c r="L14" s="13">
        <f t="shared" si="0"/>
        <v>201.72796875</v>
      </c>
      <c r="M14" s="13">
        <f t="shared" si="0"/>
        <v>241.46837859375003</v>
      </c>
      <c r="N14" s="13">
        <f t="shared" si="0"/>
        <v>278.31645316715628</v>
      </c>
      <c r="O14" s="13">
        <f t="shared" si="0"/>
        <v>320.78754392046432</v>
      </c>
      <c r="P14" s="13">
        <f t="shared" si="0"/>
        <v>370.0605106666477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5">
      <c r="A15" s="16"/>
      <c r="B15" s="13" t="s">
        <v>15</v>
      </c>
      <c r="C15" s="16"/>
      <c r="D15" s="13"/>
      <c r="E15" s="17" t="s">
        <v>27</v>
      </c>
      <c r="F15" s="16"/>
      <c r="G15" s="13">
        <f t="shared" ref="G15:P16" si="1">G7*G11/10^5</f>
        <v>210.9375</v>
      </c>
      <c r="H15" s="13">
        <f t="shared" si="1"/>
        <v>240</v>
      </c>
      <c r="I15" s="13">
        <f t="shared" si="1"/>
        <v>278.02499999999998</v>
      </c>
      <c r="J15" s="13">
        <f t="shared" si="1"/>
        <v>307.05</v>
      </c>
      <c r="K15" s="13">
        <f t="shared" si="1"/>
        <v>330.77812499999999</v>
      </c>
      <c r="L15" s="13">
        <f>L7*L11/10^5</f>
        <v>368.39949217524156</v>
      </c>
      <c r="M15" s="13">
        <f t="shared" si="1"/>
        <v>410.29976161505795</v>
      </c>
      <c r="N15" s="13">
        <f t="shared" si="1"/>
        <v>456.96559837084152</v>
      </c>
      <c r="O15" s="13">
        <f t="shared" si="1"/>
        <v>508.93901881018712</v>
      </c>
      <c r="P15" s="13">
        <f t="shared" si="1"/>
        <v>566.82368605190754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5">
      <c r="A16" s="16"/>
      <c r="B16" s="13" t="s">
        <v>16</v>
      </c>
      <c r="C16" s="16"/>
      <c r="D16" s="13"/>
      <c r="E16" s="17" t="s">
        <v>27</v>
      </c>
      <c r="F16" s="16"/>
      <c r="G16" s="13">
        <f t="shared" si="1"/>
        <v>131.25</v>
      </c>
      <c r="H16" s="13">
        <f t="shared" si="1"/>
        <v>168</v>
      </c>
      <c r="I16" s="13">
        <f t="shared" si="1"/>
        <v>203.90625</v>
      </c>
      <c r="J16" s="13">
        <f t="shared" si="1"/>
        <v>234.140625</v>
      </c>
      <c r="K16" s="13">
        <f t="shared" si="1"/>
        <v>265.078125</v>
      </c>
      <c r="L16" s="13">
        <f t="shared" si="1"/>
        <v>289.46531250000004</v>
      </c>
      <c r="M16" s="13">
        <f t="shared" si="1"/>
        <v>317.60134087500006</v>
      </c>
      <c r="N16" s="13">
        <f t="shared" si="1"/>
        <v>343.39056975405009</v>
      </c>
      <c r="O16" s="13">
        <f t="shared" si="1"/>
        <v>371.27388401807895</v>
      </c>
      <c r="P16" s="13">
        <f t="shared" si="1"/>
        <v>405.35682657093861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s="1" customFormat="1" ht="15.75" thickBot="1" x14ac:dyDescent="0.3">
      <c r="A17" s="12"/>
      <c r="B17" s="12"/>
      <c r="C17" s="62" t="s">
        <v>22</v>
      </c>
      <c r="D17" s="62"/>
      <c r="E17" s="63" t="s">
        <v>27</v>
      </c>
      <c r="F17" s="64"/>
      <c r="G17" s="62">
        <f>SUM(G14:G16)</f>
        <v>409.6875</v>
      </c>
      <c r="H17" s="62">
        <f t="shared" ref="H17:P17" si="2">SUM(H14:H16)</f>
        <v>495.328125</v>
      </c>
      <c r="I17" s="62">
        <f t="shared" si="2"/>
        <v>589.93124999999998</v>
      </c>
      <c r="J17" s="62">
        <f t="shared" si="2"/>
        <v>675.85312499999998</v>
      </c>
      <c r="K17" s="62">
        <f t="shared" si="2"/>
        <v>762.91875000000005</v>
      </c>
      <c r="L17" s="62">
        <f t="shared" si="2"/>
        <v>859.5927734252416</v>
      </c>
      <c r="M17" s="62">
        <f t="shared" si="2"/>
        <v>969.36948108380807</v>
      </c>
      <c r="N17" s="62">
        <f t="shared" si="2"/>
        <v>1078.672621292048</v>
      </c>
      <c r="O17" s="62">
        <f t="shared" si="2"/>
        <v>1201.0004467487304</v>
      </c>
      <c r="P17" s="62">
        <f t="shared" si="2"/>
        <v>1342.2410232894938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15.75" thickTop="1" x14ac:dyDescent="0.25">
      <c r="A18" s="13"/>
      <c r="B18" s="13"/>
      <c r="C18" s="16"/>
      <c r="D18" s="13"/>
      <c r="E18" s="16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5">
      <c r="A19" s="13"/>
      <c r="B19" s="13"/>
      <c r="C19" s="16"/>
      <c r="D19" s="13"/>
      <c r="E19" s="16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5">
      <c r="A20" s="13"/>
      <c r="B20" s="13"/>
      <c r="C20" s="16"/>
      <c r="D20" s="13"/>
      <c r="E20" s="16"/>
      <c r="F20" s="1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5">
      <c r="A21" s="13"/>
      <c r="B21" s="13"/>
      <c r="C21" s="16"/>
      <c r="D21" s="13"/>
      <c r="E21" s="16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5">
      <c r="A22" s="13"/>
      <c r="B22" s="13"/>
      <c r="C22" s="16"/>
      <c r="D22" s="13"/>
      <c r="E22" s="16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5">
      <c r="A23" s="13"/>
      <c r="B23" s="13"/>
      <c r="C23" s="16"/>
      <c r="D23" s="13"/>
      <c r="E23" s="16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5">
      <c r="A24" s="13"/>
      <c r="B24" s="13"/>
      <c r="C24" s="16"/>
      <c r="D24" s="13"/>
      <c r="E24" s="16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5">
      <c r="A25" s="13"/>
      <c r="B25" s="13"/>
      <c r="C25" s="16"/>
      <c r="D25" s="13"/>
      <c r="E25" s="16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5">
      <c r="A26" s="13"/>
      <c r="B26" s="13"/>
      <c r="C26" s="16"/>
      <c r="D26" s="13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5">
      <c r="A27" s="13"/>
      <c r="B27" s="13"/>
      <c r="C27" s="16"/>
      <c r="D27" s="13"/>
      <c r="E27" s="16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5">
      <c r="A28" s="13"/>
      <c r="B28" s="13"/>
      <c r="C28" s="16"/>
      <c r="D28" s="13"/>
      <c r="E28" s="16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5">
      <c r="A29" s="13"/>
      <c r="B29" s="13"/>
      <c r="C29" s="16"/>
      <c r="D29" s="13"/>
      <c r="E29" s="16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5">
      <c r="A30" s="13"/>
      <c r="B30" s="13"/>
      <c r="C30" s="16"/>
      <c r="D30" s="13"/>
      <c r="E30" s="16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5">
      <c r="A31" s="13"/>
      <c r="B31" s="13"/>
      <c r="C31" s="16"/>
      <c r="D31" s="13"/>
      <c r="E31" s="16"/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5">
      <c r="A32" s="13"/>
      <c r="B32" s="13"/>
      <c r="C32" s="16"/>
      <c r="D32" s="13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5">
      <c r="A33" s="13"/>
      <c r="B33" s="13"/>
      <c r="C33" s="16"/>
      <c r="D33" s="13"/>
      <c r="E33" s="16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5">
      <c r="A34" s="13"/>
      <c r="B34" s="13"/>
      <c r="C34" s="16"/>
      <c r="D34" s="13"/>
      <c r="E34" s="16"/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5">
      <c r="A35" s="13"/>
      <c r="B35" s="13"/>
      <c r="C35" s="16"/>
      <c r="D35" s="13"/>
      <c r="E35" s="16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5">
      <c r="A36" s="13"/>
      <c r="B36" s="13"/>
      <c r="C36" s="16"/>
      <c r="D36" s="13"/>
      <c r="E36" s="16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5">
      <c r="A37" s="13"/>
      <c r="B37" s="13"/>
      <c r="C37" s="16"/>
      <c r="D37" s="13"/>
      <c r="E37" s="16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5">
      <c r="A38" s="13"/>
      <c r="B38" s="13"/>
      <c r="C38" s="16"/>
      <c r="D38" s="13"/>
      <c r="E38" s="16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5">
      <c r="A39" s="13"/>
      <c r="B39" s="13"/>
      <c r="C39" s="16"/>
      <c r="D39" s="13"/>
      <c r="E39" s="16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5">
      <c r="A40" s="13"/>
      <c r="B40" s="13"/>
      <c r="C40" s="16"/>
      <c r="D40" s="13"/>
      <c r="E40" s="16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5">
      <c r="A41" s="13"/>
      <c r="B41" s="13"/>
      <c r="C41" s="16"/>
      <c r="D41" s="13"/>
      <c r="E41" s="16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5">
      <c r="A42" s="13"/>
      <c r="B42" s="13"/>
      <c r="C42" s="16"/>
      <c r="D42" s="13"/>
      <c r="E42" s="16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5">
      <c r="A43" s="13"/>
      <c r="B43" s="13"/>
      <c r="C43" s="16"/>
      <c r="D43" s="13"/>
      <c r="E43" s="16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5">
      <c r="A44" s="13"/>
      <c r="B44" s="13"/>
      <c r="C44" s="16"/>
      <c r="D44" s="13"/>
      <c r="E44" s="16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5">
      <c r="A45" s="13"/>
      <c r="B45" s="13"/>
      <c r="C45" s="16"/>
      <c r="D45" s="13"/>
      <c r="E45" s="16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5">
      <c r="A46" s="13"/>
      <c r="B46" s="13"/>
      <c r="C46" s="16"/>
      <c r="D46" s="13"/>
      <c r="E46" s="16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5">
      <c r="A47" s="13"/>
      <c r="B47" s="13"/>
      <c r="C47" s="16"/>
      <c r="D47" s="13"/>
      <c r="E47" s="16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5">
      <c r="A48" s="13"/>
      <c r="B48" s="13"/>
      <c r="C48" s="16"/>
      <c r="D48" s="13"/>
      <c r="E48" s="16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5">
      <c r="A49" s="13"/>
      <c r="B49" s="13"/>
      <c r="C49" s="16"/>
      <c r="D49" s="13"/>
      <c r="E49" s="16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5">
      <c r="A50" s="13"/>
      <c r="B50" s="13"/>
      <c r="C50" s="16"/>
      <c r="D50" s="13"/>
      <c r="E50" s="16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</sheetData>
  <pageMargins left="0.7" right="0.7" top="0.75" bottom="0.75" header="0.3" footer="0.3"/>
  <pageSetup scale="70" orientation="landscape" r:id="rId1"/>
  <headerFooter>
    <oddFooter>&amp;CPage &amp;P of &amp;N&amp;RAnthored byShashi Bhushan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showGridLines="0" zoomScaleSheetLayoutView="105" workbookViewId="0">
      <pane xSplit="4" ySplit="4" topLeftCell="E5" activePane="bottomRight" state="frozen"/>
      <selection activeCell="Q8" sqref="Q8"/>
      <selection pane="topRight" activeCell="Q8" sqref="Q8"/>
      <selection pane="bottomLeft" activeCell="Q8" sqref="Q8"/>
      <selection pane="bottomRight" activeCell="E5" sqref="E5"/>
    </sheetView>
  </sheetViews>
  <sheetFormatPr defaultColWidth="11.7109375" defaultRowHeight="15" x14ac:dyDescent="0.25"/>
  <cols>
    <col min="1" max="2" width="3.7109375" style="13" customWidth="1"/>
    <col min="3" max="3" width="30.7109375" style="16" customWidth="1"/>
    <col min="4" max="4" width="6.7109375" style="13" customWidth="1"/>
    <col min="5" max="6" width="6.28515625" style="16" customWidth="1"/>
    <col min="7" max="16384" width="11.7109375" style="13"/>
  </cols>
  <sheetData>
    <row r="1" spans="1:16" x14ac:dyDescent="0.25">
      <c r="A1" s="12" t="s">
        <v>175</v>
      </c>
      <c r="C1" s="13"/>
      <c r="D1" s="12"/>
      <c r="E1" s="15"/>
      <c r="F1" s="15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2"/>
      <c r="B2" s="89" t="s">
        <v>187</v>
      </c>
      <c r="C2" s="13"/>
      <c r="D2" s="12"/>
      <c r="E2" s="15"/>
      <c r="F2" s="15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B3" s="13" t="s">
        <v>28</v>
      </c>
      <c r="G3" s="18">
        <f>Assumptions!G3</f>
        <v>1</v>
      </c>
      <c r="H3" s="18">
        <f>Assumptions!H3</f>
        <v>2</v>
      </c>
      <c r="I3" s="18">
        <f>Assumptions!I3</f>
        <v>3</v>
      </c>
      <c r="J3" s="18">
        <f>Assumptions!J3</f>
        <v>4</v>
      </c>
      <c r="K3" s="18">
        <f>Assumptions!K3</f>
        <v>5</v>
      </c>
      <c r="L3" s="18">
        <f>Assumptions!L3</f>
        <v>6</v>
      </c>
      <c r="M3" s="18">
        <f>Assumptions!M3</f>
        <v>7</v>
      </c>
      <c r="N3" s="18">
        <f>Assumptions!N3</f>
        <v>8</v>
      </c>
      <c r="O3" s="18">
        <f>Assumptions!O3</f>
        <v>9</v>
      </c>
      <c r="P3" s="18">
        <f>Assumptions!P3</f>
        <v>10</v>
      </c>
    </row>
    <row r="4" spans="1:16" x14ac:dyDescent="0.25">
      <c r="A4" s="15"/>
      <c r="B4" s="12"/>
      <c r="C4" s="13"/>
      <c r="E4" s="14" t="s">
        <v>0</v>
      </c>
      <c r="F4" s="15"/>
      <c r="G4" s="20" t="str">
        <f>Assumptions!G4</f>
        <v>FY11A</v>
      </c>
      <c r="H4" s="20" t="str">
        <f>Assumptions!H4</f>
        <v>FY12A</v>
      </c>
      <c r="I4" s="20" t="str">
        <f>Assumptions!I4</f>
        <v>FY13A</v>
      </c>
      <c r="J4" s="20" t="str">
        <f>Assumptions!J4</f>
        <v>FY14A</v>
      </c>
      <c r="K4" s="20" t="str">
        <f>Assumptions!K4</f>
        <v>FY15A</v>
      </c>
      <c r="L4" s="20" t="str">
        <f>Assumptions!L4</f>
        <v>FY16P</v>
      </c>
      <c r="M4" s="20" t="str">
        <f>Assumptions!M4</f>
        <v>FY17P</v>
      </c>
      <c r="N4" s="20" t="str">
        <f>Assumptions!N4</f>
        <v>FY18P</v>
      </c>
      <c r="O4" s="20" t="str">
        <f>Assumptions!O4</f>
        <v>FY19P</v>
      </c>
      <c r="P4" s="20" t="str">
        <f>Assumptions!P4</f>
        <v>FY20P</v>
      </c>
    </row>
    <row r="5" spans="1:16" x14ac:dyDescent="0.25">
      <c r="A5" s="12" t="s">
        <v>49</v>
      </c>
      <c r="E5" s="14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A6" s="16"/>
      <c r="B6" s="13" t="s">
        <v>44</v>
      </c>
      <c r="E6" s="17" t="s">
        <v>45</v>
      </c>
      <c r="G6" s="59">
        <v>6.8</v>
      </c>
      <c r="H6" s="59">
        <v>6.8</v>
      </c>
      <c r="I6" s="59">
        <v>7</v>
      </c>
      <c r="J6" s="59">
        <v>7.5</v>
      </c>
      <c r="K6" s="59">
        <v>8.1999999999999993</v>
      </c>
      <c r="L6" s="19">
        <f>(1+Assumptions!L27)*K6</f>
        <v>8.61</v>
      </c>
      <c r="M6" s="19">
        <f>(1+Assumptions!M27)*L6</f>
        <v>9.0404999999999998</v>
      </c>
      <c r="N6" s="19">
        <f>(1+Assumptions!N27)*M6</f>
        <v>9.40212</v>
      </c>
      <c r="O6" s="19">
        <f>(1+Assumptions!O27)*N6</f>
        <v>9.778204800000001</v>
      </c>
      <c r="P6" s="19">
        <f>(1+Assumptions!P27)*O6</f>
        <v>10.169332992000001</v>
      </c>
    </row>
    <row r="7" spans="1:16" x14ac:dyDescent="0.25">
      <c r="A7" s="16"/>
      <c r="B7" s="13" t="s">
        <v>46</v>
      </c>
      <c r="E7" s="17" t="s">
        <v>45</v>
      </c>
      <c r="G7" s="59">
        <v>3.7</v>
      </c>
      <c r="H7" s="59">
        <v>4.5</v>
      </c>
      <c r="I7" s="59">
        <v>5</v>
      </c>
      <c r="J7" s="59">
        <v>5.3</v>
      </c>
      <c r="K7" s="59">
        <v>5.5</v>
      </c>
      <c r="L7" s="19">
        <f>(1+Assumptions!L28)*K7</f>
        <v>5.7750000000000004</v>
      </c>
      <c r="M7" s="19">
        <f>(1+Assumptions!M28)*L7</f>
        <v>6.0637500000000006</v>
      </c>
      <c r="N7" s="19">
        <f>(1+Assumptions!N28)*M7</f>
        <v>6.3063000000000011</v>
      </c>
      <c r="O7" s="19">
        <f>(1+Assumptions!O28)*N7</f>
        <v>6.5585520000000015</v>
      </c>
      <c r="P7" s="19">
        <f>(1+Assumptions!P28)*O7</f>
        <v>6.8208940800000022</v>
      </c>
    </row>
    <row r="8" spans="1:16" x14ac:dyDescent="0.25">
      <c r="A8" s="16"/>
      <c r="B8" s="13" t="s">
        <v>47</v>
      </c>
      <c r="E8" s="17" t="s">
        <v>45</v>
      </c>
      <c r="G8" s="59">
        <v>1.7</v>
      </c>
      <c r="H8" s="59">
        <v>2.5</v>
      </c>
      <c r="I8" s="59">
        <v>2.8</v>
      </c>
      <c r="J8" s="59">
        <v>3</v>
      </c>
      <c r="K8" s="59">
        <v>3.5</v>
      </c>
      <c r="L8" s="19">
        <f>(1+Assumptions!L29)*K8</f>
        <v>4.0249999999999995</v>
      </c>
      <c r="M8" s="19">
        <f>(1+Assumptions!M29)*L8</f>
        <v>4.6287499999999993</v>
      </c>
      <c r="N8" s="19">
        <f>(1+Assumptions!N29)*M8</f>
        <v>5.2304874999999988</v>
      </c>
      <c r="O8" s="19">
        <f>(1+Assumptions!O29)*N8</f>
        <v>5.9104508749999978</v>
      </c>
      <c r="P8" s="19">
        <f>(1+Assumptions!P29)*O8</f>
        <v>6.6788094887499971</v>
      </c>
    </row>
    <row r="9" spans="1:16" x14ac:dyDescent="0.25">
      <c r="A9" s="16"/>
      <c r="B9" s="13" t="s">
        <v>48</v>
      </c>
      <c r="E9" s="17" t="s">
        <v>45</v>
      </c>
      <c r="G9" s="59">
        <v>12</v>
      </c>
      <c r="H9" s="59">
        <v>13</v>
      </c>
      <c r="I9" s="59">
        <v>14</v>
      </c>
      <c r="J9" s="59">
        <v>15</v>
      </c>
      <c r="K9" s="59">
        <v>16</v>
      </c>
      <c r="L9" s="19">
        <f>(1+Assumptions!L30)*K9</f>
        <v>17.193118909176672</v>
      </c>
      <c r="M9" s="19">
        <f>(1+Assumptions!M30)*L9</f>
        <v>18.475208614068027</v>
      </c>
      <c r="N9" s="19">
        <f>(1+Assumptions!N30)*M9</f>
        <v>19.76847321705279</v>
      </c>
      <c r="O9" s="19">
        <f>(1+Assumptions!O30)*N9</f>
        <v>21.152266342246488</v>
      </c>
      <c r="P9" s="19">
        <f>(1+Assumptions!P30)*O9</f>
        <v>22.632924986203744</v>
      </c>
    </row>
    <row r="10" spans="1:16" x14ac:dyDescent="0.25">
      <c r="A10" s="12" t="s">
        <v>50</v>
      </c>
      <c r="E10" s="14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6"/>
      <c r="B11" s="13" t="s">
        <v>44</v>
      </c>
      <c r="E11" s="17" t="s">
        <v>51</v>
      </c>
      <c r="G11" s="42">
        <v>182296.875</v>
      </c>
      <c r="H11" s="42">
        <v>203191.40625</v>
      </c>
      <c r="I11" s="42">
        <v>219642.1875</v>
      </c>
      <c r="J11" s="42">
        <v>240023.4375</v>
      </c>
      <c r="K11" s="42">
        <v>260842.5</v>
      </c>
      <c r="L11" s="19">
        <f>('Revenue Build Up'!L$10*Assumptions!L38+'Revenue Build Up'!L$11*Assumptions!L43+'Revenue Build Up'!L$12*Assumptions!L48)/1000</f>
        <v>281842.47004789748</v>
      </c>
      <c r="M11" s="19">
        <f>('Revenue Build Up'!M$10*Assumptions!M38+'Revenue Build Up'!M$11*Assumptions!M43+'Revenue Build Up'!M$12*Assumptions!M48)/1000</f>
        <v>304655.41366697481</v>
      </c>
      <c r="N11" s="19">
        <f>('Revenue Build Up'!N$10*Assumptions!N38+'Revenue Build Up'!N$11*Assumptions!N43+'Revenue Build Up'!N$12*Assumptions!N48)/1000</f>
        <v>329256.21893347497</v>
      </c>
      <c r="O11" s="19">
        <f>('Revenue Build Up'!O$10*Assumptions!O38+'Revenue Build Up'!O$11*Assumptions!O43+'Revenue Build Up'!O$12*Assumptions!O48)/1000</f>
        <v>356234.69929300231</v>
      </c>
      <c r="P11" s="19">
        <f>('Revenue Build Up'!P$10*Assumptions!P38+'Revenue Build Up'!P$11*Assumptions!P43+'Revenue Build Up'!P$12*Assumptions!P48)/1000</f>
        <v>384519.93831275118</v>
      </c>
    </row>
    <row r="12" spans="1:16" x14ac:dyDescent="0.25">
      <c r="A12" s="16"/>
      <c r="B12" s="13" t="s">
        <v>46</v>
      </c>
      <c r="E12" s="17" t="s">
        <v>51</v>
      </c>
      <c r="G12" s="42">
        <v>10875</v>
      </c>
      <c r="H12" s="42">
        <v>12201.5625</v>
      </c>
      <c r="I12" s="42">
        <v>13269.375</v>
      </c>
      <c r="J12" s="42">
        <v>14753.4375</v>
      </c>
      <c r="K12" s="42">
        <v>16342.3125</v>
      </c>
      <c r="L12" s="19">
        <f>('Revenue Build Up'!L$10*Assumptions!L39+'Revenue Build Up'!L$11*Assumptions!L44+'Revenue Build Up'!L$12*Assumptions!L49)/1000</f>
        <v>17918.069362548118</v>
      </c>
      <c r="M12" s="19">
        <f>('Revenue Build Up'!M$10*Assumptions!M39+'Revenue Build Up'!M$11*Assumptions!M44+'Revenue Build Up'!M$12*Assumptions!M49)/1000</f>
        <v>19623.149774585574</v>
      </c>
      <c r="N12" s="19">
        <f>('Revenue Build Up'!N$10*Assumptions!N39+'Revenue Build Up'!N$11*Assumptions!N44+'Revenue Build Up'!N$12*Assumptions!N49)/1000</f>
        <v>21450.558697512792</v>
      </c>
      <c r="O12" s="19">
        <f>('Revenue Build Up'!O$10*Assumptions!O39+'Revenue Build Up'!O$11*Assumptions!O44+'Revenue Build Up'!O$12*Assumptions!O49)/1000</f>
        <v>23475.871656683565</v>
      </c>
      <c r="P12" s="19">
        <f>('Revenue Build Up'!P$10*Assumptions!P39+'Revenue Build Up'!P$11*Assumptions!P44+'Revenue Build Up'!P$12*Assumptions!P49)/1000</f>
        <v>25595.503232666782</v>
      </c>
    </row>
    <row r="13" spans="1:16" x14ac:dyDescent="0.25">
      <c r="A13" s="16"/>
      <c r="B13" s="13" t="s">
        <v>47</v>
      </c>
      <c r="E13" s="17" t="s">
        <v>51</v>
      </c>
      <c r="G13" s="42">
        <v>6328.125</v>
      </c>
      <c r="H13" s="42">
        <v>7075.78125</v>
      </c>
      <c r="I13" s="42">
        <v>7674.375</v>
      </c>
      <c r="J13" s="42">
        <v>8477.8125</v>
      </c>
      <c r="K13" s="42">
        <v>9324.5625</v>
      </c>
      <c r="L13" s="19">
        <f>('Revenue Build Up'!L$10*Assumptions!L40+'Revenue Build Up'!L$11*Assumptions!L45+'Revenue Build Up'!L$12*Assumptions!L50)/1000</f>
        <v>10169.988950032077</v>
      </c>
      <c r="M13" s="19">
        <f>('Revenue Build Up'!M$10*Assumptions!M40+'Revenue Build Up'!M$11*Assumptions!M45+'Revenue Build Up'!M$12*Assumptions!M50)/1000</f>
        <v>11085.34789659872</v>
      </c>
      <c r="N13" s="19">
        <f>('Revenue Build Up'!N$10*Assumptions!N40+'Revenue Build Up'!N$11*Assumptions!N45+'Revenue Build Up'!N$12*Assumptions!N50)/1000</f>
        <v>12067.668988446027</v>
      </c>
      <c r="O13" s="19">
        <f>('Revenue Build Up'!O$10*Assumptions!O40+'Revenue Build Up'!O$11*Assumptions!O45+'Revenue Build Up'!O$12*Assumptions!O50)/1000</f>
        <v>13152.66998023696</v>
      </c>
      <c r="P13" s="19">
        <f>('Revenue Build Up'!P$10*Assumptions!P40+'Revenue Build Up'!P$11*Assumptions!P45+'Revenue Build Up'!P$12*Assumptions!P50)/1000</f>
        <v>14288.762447699732</v>
      </c>
    </row>
    <row r="14" spans="1:16" x14ac:dyDescent="0.25">
      <c r="A14" s="16"/>
      <c r="B14" s="13" t="s">
        <v>48</v>
      </c>
      <c r="E14" s="17" t="s">
        <v>51</v>
      </c>
      <c r="G14" s="42">
        <v>7200</v>
      </c>
      <c r="H14" s="42">
        <v>8151.5625</v>
      </c>
      <c r="I14" s="42">
        <v>8937.1875</v>
      </c>
      <c r="J14" s="42">
        <v>10162.5</v>
      </c>
      <c r="K14" s="42">
        <v>11528.4375</v>
      </c>
      <c r="L14" s="19">
        <f>('Revenue Build Up'!L$10*Assumptions!L41+'Revenue Build Up'!L$11*Assumptions!L46+'Revenue Build Up'!L$12*Assumptions!L51)/1000</f>
        <v>12863.928640645048</v>
      </c>
      <c r="M14" s="19">
        <f>('Revenue Build Up'!M$10*Assumptions!M41+'Revenue Build Up'!M$11*Assumptions!M46+'Revenue Build Up'!M$12*Assumptions!M51)/1000</f>
        <v>14304.274417796074</v>
      </c>
      <c r="N14" s="19">
        <f>('Revenue Build Up'!N$10*Assumptions!N41+'Revenue Build Up'!N$11*Assumptions!N46+'Revenue Build Up'!N$12*Assumptions!N51)/1000</f>
        <v>15839.884944927204</v>
      </c>
      <c r="O14" s="19">
        <f>('Revenue Build Up'!O$10*Assumptions!O41+'Revenue Build Up'!O$11*Assumptions!O46+'Revenue Build Up'!O$12*Assumptions!O51)/1000</f>
        <v>17557.253510558254</v>
      </c>
      <c r="P14" s="19">
        <f>('Revenue Build Up'!P$10*Assumptions!P41+'Revenue Build Up'!P$11*Assumptions!P46+'Revenue Build Up'!P$12*Assumptions!P51)/1000</f>
        <v>19351.893791522878</v>
      </c>
    </row>
    <row r="15" spans="1:16" x14ac:dyDescent="0.25">
      <c r="A15" s="12" t="s">
        <v>52</v>
      </c>
      <c r="E15" s="14"/>
      <c r="F15" s="1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6"/>
      <c r="B16" s="13" t="s">
        <v>44</v>
      </c>
      <c r="E16" s="17" t="s">
        <v>54</v>
      </c>
      <c r="G16" s="18">
        <f>G6/100*G11*1000/10^5</f>
        <v>123.96187500000001</v>
      </c>
      <c r="H16" s="18">
        <f t="shared" ref="H16:P16" si="0">H6/100*H11*1000/10^5</f>
        <v>138.17015625000002</v>
      </c>
      <c r="I16" s="18">
        <f t="shared" si="0"/>
        <v>153.74953125000002</v>
      </c>
      <c r="J16" s="18">
        <f t="shared" si="0"/>
        <v>180.017578125</v>
      </c>
      <c r="K16" s="18">
        <f t="shared" si="0"/>
        <v>213.89084999999997</v>
      </c>
      <c r="L16" s="19">
        <f t="shared" si="0"/>
        <v>242.6663667112397</v>
      </c>
      <c r="M16" s="19">
        <f t="shared" si="0"/>
        <v>275.42372672562863</v>
      </c>
      <c r="N16" s="19">
        <f t="shared" si="0"/>
        <v>309.57064811588032</v>
      </c>
      <c r="O16" s="19">
        <f t="shared" si="0"/>
        <v>348.33358465533922</v>
      </c>
      <c r="P16" s="19">
        <f t="shared" si="0"/>
        <v>391.03112947656655</v>
      </c>
    </row>
    <row r="17" spans="1:16" x14ac:dyDescent="0.25">
      <c r="A17" s="16"/>
      <c r="B17" s="13" t="s">
        <v>46</v>
      </c>
      <c r="E17" s="17" t="s">
        <v>54</v>
      </c>
      <c r="G17" s="18">
        <f t="shared" ref="G17:P19" si="1">G7/100*G12*1000/10^5</f>
        <v>4.0237500000000006</v>
      </c>
      <c r="H17" s="18">
        <f t="shared" si="1"/>
        <v>5.4907031249999996</v>
      </c>
      <c r="I17" s="18">
        <f t="shared" si="1"/>
        <v>6.6346875000000001</v>
      </c>
      <c r="J17" s="18">
        <f t="shared" si="1"/>
        <v>7.8193218749999991</v>
      </c>
      <c r="K17" s="18">
        <f t="shared" si="1"/>
        <v>8.9882718750000006</v>
      </c>
      <c r="L17" s="19">
        <f t="shared" si="1"/>
        <v>10.347685056871539</v>
      </c>
      <c r="M17" s="19">
        <f t="shared" si="1"/>
        <v>11.898987444564328</v>
      </c>
      <c r="N17" s="19">
        <f t="shared" si="1"/>
        <v>13.527365831412494</v>
      </c>
      <c r="O17" s="19">
        <f t="shared" si="1"/>
        <v>15.396772500568531</v>
      </c>
      <c r="P17" s="19">
        <f t="shared" si="1"/>
        <v>17.458421647431777</v>
      </c>
    </row>
    <row r="18" spans="1:16" x14ac:dyDescent="0.25">
      <c r="A18" s="16"/>
      <c r="B18" s="13" t="s">
        <v>47</v>
      </c>
      <c r="E18" s="17" t="s">
        <v>54</v>
      </c>
      <c r="G18" s="18">
        <f t="shared" si="1"/>
        <v>1.0757812500000001</v>
      </c>
      <c r="H18" s="18">
        <f t="shared" si="1"/>
        <v>1.7689453125000001</v>
      </c>
      <c r="I18" s="18">
        <f t="shared" si="1"/>
        <v>2.1488249999999995</v>
      </c>
      <c r="J18" s="18">
        <f t="shared" si="1"/>
        <v>2.54334375</v>
      </c>
      <c r="K18" s="18">
        <f t="shared" si="1"/>
        <v>3.2635968750000002</v>
      </c>
      <c r="L18" s="19">
        <f t="shared" si="1"/>
        <v>4.0934205523879106</v>
      </c>
      <c r="M18" s="19">
        <f t="shared" si="1"/>
        <v>5.1311304076381319</v>
      </c>
      <c r="N18" s="19">
        <f t="shared" si="1"/>
        <v>6.3119791798204581</v>
      </c>
      <c r="O18" s="19">
        <f t="shared" si="1"/>
        <v>7.773820979327775</v>
      </c>
      <c r="P18" s="19">
        <f t="shared" si="1"/>
        <v>9.5431922218191598</v>
      </c>
    </row>
    <row r="19" spans="1:16" x14ac:dyDescent="0.25">
      <c r="A19" s="16"/>
      <c r="B19" s="13" t="s">
        <v>48</v>
      </c>
      <c r="E19" s="17" t="s">
        <v>54</v>
      </c>
      <c r="G19" s="18">
        <f t="shared" si="1"/>
        <v>8.64</v>
      </c>
      <c r="H19" s="18">
        <f t="shared" si="1"/>
        <v>10.597031250000001</v>
      </c>
      <c r="I19" s="18">
        <f t="shared" si="1"/>
        <v>12.512062500000003</v>
      </c>
      <c r="J19" s="18">
        <f t="shared" si="1"/>
        <v>15.24375</v>
      </c>
      <c r="K19" s="18">
        <f t="shared" si="1"/>
        <v>18.445499999999999</v>
      </c>
      <c r="L19" s="19">
        <f t="shared" si="1"/>
        <v>22.117105475777375</v>
      </c>
      <c r="M19" s="19">
        <f t="shared" si="1"/>
        <v>26.427445394165897</v>
      </c>
      <c r="N19" s="19">
        <f t="shared" si="1"/>
        <v>31.313034129499112</v>
      </c>
      <c r="O19" s="19">
        <f t="shared" si="1"/>
        <v>37.13757024936703</v>
      </c>
      <c r="P19" s="19">
        <f t="shared" si="1"/>
        <v>43.798996052451926</v>
      </c>
    </row>
    <row r="20" spans="1:16" s="12" customFormat="1" ht="15.75" thickBot="1" x14ac:dyDescent="0.3">
      <c r="A20" s="15"/>
      <c r="C20" s="62" t="s">
        <v>53</v>
      </c>
      <c r="D20" s="62"/>
      <c r="E20" s="63" t="s">
        <v>54</v>
      </c>
      <c r="F20" s="64"/>
      <c r="G20" s="62">
        <f>SUM(G16:G19)</f>
        <v>137.70140624999999</v>
      </c>
      <c r="H20" s="62">
        <f t="shared" ref="H20:P20" si="2">SUM(H16:H19)</f>
        <v>156.02683593750004</v>
      </c>
      <c r="I20" s="62">
        <f t="shared" si="2"/>
        <v>175.04510625000003</v>
      </c>
      <c r="J20" s="62">
        <f t="shared" si="2"/>
        <v>205.62399374999998</v>
      </c>
      <c r="K20" s="62">
        <f t="shared" si="2"/>
        <v>244.58821874999998</v>
      </c>
      <c r="L20" s="62">
        <f t="shared" si="2"/>
        <v>279.22457779627649</v>
      </c>
      <c r="M20" s="62">
        <f t="shared" si="2"/>
        <v>318.88128997199698</v>
      </c>
      <c r="N20" s="62">
        <f t="shared" si="2"/>
        <v>360.7230272566124</v>
      </c>
      <c r="O20" s="62">
        <f t="shared" si="2"/>
        <v>408.64174838460258</v>
      </c>
      <c r="P20" s="62">
        <f t="shared" si="2"/>
        <v>461.83173939826941</v>
      </c>
    </row>
    <row r="21" spans="1:16" ht="15.75" thickTop="1" x14ac:dyDescent="0.25">
      <c r="A21" s="12" t="s">
        <v>62</v>
      </c>
      <c r="E21" s="14"/>
      <c r="F21" s="15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6"/>
      <c r="B22" s="13" t="s">
        <v>59</v>
      </c>
      <c r="E22" s="17" t="s">
        <v>63</v>
      </c>
      <c r="G22" s="42">
        <v>28</v>
      </c>
      <c r="H22" s="42">
        <v>30</v>
      </c>
      <c r="I22" s="42">
        <v>35</v>
      </c>
      <c r="J22" s="42">
        <v>40</v>
      </c>
      <c r="K22" s="42">
        <v>40</v>
      </c>
      <c r="L22" s="19">
        <f>ROUNDUP((1+Assumptions!L$54)*K22,0)</f>
        <v>40</v>
      </c>
      <c r="M22" s="19">
        <f>ROUNDUP((1+Assumptions!M$54)*L22,0)</f>
        <v>42</v>
      </c>
      <c r="N22" s="19">
        <f>ROUNDUP((1+Assumptions!N$54)*M22,0)</f>
        <v>45</v>
      </c>
      <c r="O22" s="19">
        <f>ROUNDUP((1+Assumptions!O$54)*N22,0)</f>
        <v>48</v>
      </c>
      <c r="P22" s="19">
        <f>ROUNDUP((1+Assumptions!P$54)*O22,0)</f>
        <v>51</v>
      </c>
    </row>
    <row r="23" spans="1:16" x14ac:dyDescent="0.25">
      <c r="A23" s="16"/>
      <c r="B23" s="13" t="s">
        <v>60</v>
      </c>
      <c r="E23" s="17" t="s">
        <v>63</v>
      </c>
      <c r="G23" s="42">
        <v>5</v>
      </c>
      <c r="H23" s="42">
        <v>5</v>
      </c>
      <c r="I23" s="42">
        <v>7</v>
      </c>
      <c r="J23" s="42">
        <v>8</v>
      </c>
      <c r="K23" s="42">
        <v>9</v>
      </c>
      <c r="L23" s="19">
        <f>ROUNDUP((1+Assumptions!L$54)*K23,0)</f>
        <v>9</v>
      </c>
      <c r="M23" s="19">
        <f>ROUNDUP((1+Assumptions!M$54)*L23,0)</f>
        <v>10</v>
      </c>
      <c r="N23" s="19">
        <f>ROUNDUP((1+Assumptions!N$54)*M23,0)</f>
        <v>11</v>
      </c>
      <c r="O23" s="19">
        <f>ROUNDUP((1+Assumptions!O$54)*N23,0)</f>
        <v>12</v>
      </c>
      <c r="P23" s="19">
        <f>ROUNDUP((1+Assumptions!P$54)*O23,0)</f>
        <v>13</v>
      </c>
    </row>
    <row r="24" spans="1:16" x14ac:dyDescent="0.25">
      <c r="A24" s="16"/>
      <c r="B24" s="13" t="s">
        <v>61</v>
      </c>
      <c r="E24" s="17" t="s">
        <v>63</v>
      </c>
      <c r="G24" s="42">
        <v>2</v>
      </c>
      <c r="H24" s="42">
        <v>2</v>
      </c>
      <c r="I24" s="42">
        <v>2</v>
      </c>
      <c r="J24" s="42">
        <v>3</v>
      </c>
      <c r="K24" s="42">
        <v>3</v>
      </c>
      <c r="L24" s="19">
        <f>ROUNDUP((1+Assumptions!L$54)*K24,0)</f>
        <v>3</v>
      </c>
      <c r="M24" s="19">
        <f>ROUNDUP((1+Assumptions!M$54)*L24,0)</f>
        <v>4</v>
      </c>
      <c r="N24" s="19">
        <f>ROUNDUP((1+Assumptions!N$54)*M24,0)</f>
        <v>5</v>
      </c>
      <c r="O24" s="19">
        <f>ROUNDUP((1+Assumptions!O$54)*N24,0)</f>
        <v>6</v>
      </c>
      <c r="P24" s="19">
        <f>ROUNDUP((1+Assumptions!P$54)*O24,0)</f>
        <v>7</v>
      </c>
    </row>
    <row r="25" spans="1:16" x14ac:dyDescent="0.25">
      <c r="A25" s="12" t="s">
        <v>64</v>
      </c>
      <c r="E25" s="14"/>
      <c r="F25" s="15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ht="15" customHeight="1" x14ac:dyDescent="0.25">
      <c r="A26" s="16"/>
      <c r="B26" s="13" t="s">
        <v>59</v>
      </c>
      <c r="E26" s="17" t="s">
        <v>65</v>
      </c>
      <c r="G26" s="42">
        <v>10000</v>
      </c>
      <c r="H26" s="42">
        <v>10500</v>
      </c>
      <c r="I26" s="42">
        <v>11000</v>
      </c>
      <c r="J26" s="42">
        <v>11100</v>
      </c>
      <c r="K26" s="42">
        <v>11700</v>
      </c>
      <c r="L26" s="13">
        <f>(1+Assumptions!L$56)*K26</f>
        <v>11700</v>
      </c>
      <c r="M26" s="13">
        <f>(1+Assumptions!M$56)*L26</f>
        <v>12285</v>
      </c>
      <c r="N26" s="13">
        <f>(1+Assumptions!N$56)*M26</f>
        <v>12899.25</v>
      </c>
      <c r="O26" s="13">
        <f>(1+Assumptions!O$56)*N26</f>
        <v>13544.212500000001</v>
      </c>
      <c r="P26" s="13">
        <f>(1+Assumptions!P$56)*O26</f>
        <v>14221.423125000003</v>
      </c>
    </row>
    <row r="27" spans="1:16" ht="15" customHeight="1" x14ac:dyDescent="0.25">
      <c r="A27" s="16"/>
      <c r="B27" s="13" t="s">
        <v>60</v>
      </c>
      <c r="E27" s="17" t="s">
        <v>65</v>
      </c>
      <c r="G27" s="42">
        <v>15000</v>
      </c>
      <c r="H27" s="42">
        <v>16000</v>
      </c>
      <c r="I27" s="42">
        <v>17000</v>
      </c>
      <c r="J27" s="42">
        <v>17500</v>
      </c>
      <c r="K27" s="42">
        <v>18000</v>
      </c>
      <c r="L27" s="13">
        <f>(1+Assumptions!L$56)*K27</f>
        <v>18000</v>
      </c>
      <c r="M27" s="13">
        <f>(1+Assumptions!M$56)*L27</f>
        <v>18900</v>
      </c>
      <c r="N27" s="13">
        <f>(1+Assumptions!N$56)*M27</f>
        <v>19845</v>
      </c>
      <c r="O27" s="13">
        <f>(1+Assumptions!O$56)*N27</f>
        <v>20837.25</v>
      </c>
      <c r="P27" s="13">
        <f>(1+Assumptions!P$56)*O27</f>
        <v>21879.112499999999</v>
      </c>
    </row>
    <row r="28" spans="1:16" ht="15" customHeight="1" x14ac:dyDescent="0.25">
      <c r="A28" s="16"/>
      <c r="B28" s="13" t="s">
        <v>61</v>
      </c>
      <c r="E28" s="17" t="s">
        <v>65</v>
      </c>
      <c r="G28" s="42">
        <v>16000</v>
      </c>
      <c r="H28" s="42">
        <v>16500</v>
      </c>
      <c r="I28" s="42">
        <v>17200</v>
      </c>
      <c r="J28" s="42">
        <v>17800</v>
      </c>
      <c r="K28" s="42">
        <v>18200</v>
      </c>
      <c r="L28" s="13">
        <f>(1+Assumptions!L$56)*K28</f>
        <v>18200</v>
      </c>
      <c r="M28" s="13">
        <f>(1+Assumptions!M$56)*L28</f>
        <v>19110</v>
      </c>
      <c r="N28" s="13">
        <f>(1+Assumptions!N$56)*M28</f>
        <v>20065.5</v>
      </c>
      <c r="O28" s="13">
        <f>(1+Assumptions!O$56)*N28</f>
        <v>21068.775000000001</v>
      </c>
      <c r="P28" s="13">
        <f>(1+Assumptions!P$56)*O28</f>
        <v>22122.213750000003</v>
      </c>
    </row>
    <row r="29" spans="1:16" x14ac:dyDescent="0.25">
      <c r="A29" s="12" t="s">
        <v>70</v>
      </c>
      <c r="E29" s="14"/>
      <c r="F29" s="15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6"/>
      <c r="B30" s="13" t="s">
        <v>71</v>
      </c>
      <c r="E30" s="17" t="s">
        <v>54</v>
      </c>
      <c r="G30" s="18">
        <f>SUMPRODUCT(G22:G24,G26:G28)*12/10^5</f>
        <v>46.44</v>
      </c>
      <c r="H30" s="18">
        <f t="shared" ref="H30:P30" si="3">SUMPRODUCT(H22:H24,H26:H28)*12/10^5</f>
        <v>51.36</v>
      </c>
      <c r="I30" s="18">
        <f t="shared" si="3"/>
        <v>64.608000000000004</v>
      </c>
      <c r="J30" s="18">
        <f t="shared" si="3"/>
        <v>76.488</v>
      </c>
      <c r="K30" s="18">
        <f t="shared" si="3"/>
        <v>82.152000000000001</v>
      </c>
      <c r="L30" s="13">
        <f>SUMPRODUCT(L22:L24,L26:L28)*12/10^5</f>
        <v>82.152000000000001</v>
      </c>
      <c r="M30" s="13">
        <f t="shared" si="3"/>
        <v>93.769199999999998</v>
      </c>
      <c r="N30" s="13">
        <f t="shared" si="3"/>
        <v>107.89064999999999</v>
      </c>
      <c r="O30" s="13">
        <f t="shared" si="3"/>
        <v>123.18982200000001</v>
      </c>
      <c r="P30" s="13">
        <f t="shared" si="3"/>
        <v>139.74918457500004</v>
      </c>
    </row>
    <row r="31" spans="1:16" x14ac:dyDescent="0.25">
      <c r="A31" s="16"/>
      <c r="B31" s="13" t="s">
        <v>72</v>
      </c>
      <c r="E31" s="17" t="s">
        <v>54</v>
      </c>
      <c r="G31" s="42">
        <v>4.6440000000000001</v>
      </c>
      <c r="H31" s="42">
        <v>6.1631999999999998</v>
      </c>
      <c r="I31" s="42">
        <v>7.7529599999999999</v>
      </c>
      <c r="J31" s="42">
        <v>9.1785599999999992</v>
      </c>
      <c r="K31" s="42">
        <v>12.322799999999999</v>
      </c>
      <c r="L31" s="18">
        <f>Assumptions!L57*L30</f>
        <v>12.322799999999999</v>
      </c>
      <c r="M31" s="18">
        <f>Assumptions!M57*M30</f>
        <v>14.065379999999999</v>
      </c>
      <c r="N31" s="18">
        <f>Assumptions!N57*N30</f>
        <v>16.183597499999998</v>
      </c>
      <c r="O31" s="18">
        <f>Assumptions!O57*O30</f>
        <v>18.478473300000001</v>
      </c>
      <c r="P31" s="18">
        <f>Assumptions!P57*P30</f>
        <v>20.962377686250004</v>
      </c>
    </row>
    <row r="32" spans="1:16" s="12" customFormat="1" ht="15.75" thickBot="1" x14ac:dyDescent="0.3">
      <c r="A32" s="15"/>
      <c r="C32" s="62" t="s">
        <v>53</v>
      </c>
      <c r="D32" s="62"/>
      <c r="E32" s="63" t="s">
        <v>54</v>
      </c>
      <c r="F32" s="64"/>
      <c r="G32" s="65">
        <f>G30+G31</f>
        <v>51.083999999999996</v>
      </c>
      <c r="H32" s="65">
        <f t="shared" ref="H32:P32" si="4">H30+H31</f>
        <v>57.523200000000003</v>
      </c>
      <c r="I32" s="65">
        <f t="shared" si="4"/>
        <v>72.360960000000006</v>
      </c>
      <c r="J32" s="65">
        <f t="shared" si="4"/>
        <v>85.666560000000004</v>
      </c>
      <c r="K32" s="65">
        <f t="shared" si="4"/>
        <v>94.474800000000002</v>
      </c>
      <c r="L32" s="62">
        <f t="shared" si="4"/>
        <v>94.474800000000002</v>
      </c>
      <c r="M32" s="62">
        <f t="shared" si="4"/>
        <v>107.83458</v>
      </c>
      <c r="N32" s="62">
        <f t="shared" si="4"/>
        <v>124.07424749999998</v>
      </c>
      <c r="O32" s="62">
        <f t="shared" si="4"/>
        <v>141.66829530000001</v>
      </c>
      <c r="P32" s="62">
        <f t="shared" si="4"/>
        <v>160.71156226125004</v>
      </c>
    </row>
    <row r="33" spans="1:16" ht="15.75" thickTop="1" x14ac:dyDescent="0.25">
      <c r="A33" s="12" t="s">
        <v>32</v>
      </c>
      <c r="E33" s="14"/>
      <c r="F33" s="15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6"/>
      <c r="B34" s="13" t="s">
        <v>74</v>
      </c>
      <c r="E34" s="66" t="s">
        <v>80</v>
      </c>
      <c r="F34" s="67"/>
      <c r="G34" s="42"/>
      <c r="H34" s="42"/>
      <c r="I34" s="42"/>
      <c r="J34" s="42"/>
      <c r="K34" s="59">
        <v>5.25</v>
      </c>
      <c r="L34" s="58">
        <f>(1+Assumptions!L60)*K34</f>
        <v>5.67</v>
      </c>
      <c r="M34" s="58">
        <f>(1+Assumptions!M60)*L34</f>
        <v>6.1236000000000006</v>
      </c>
      <c r="N34" s="58">
        <f>(1+Assumptions!N60)*M34</f>
        <v>6.7359600000000013</v>
      </c>
      <c r="O34" s="58">
        <f>(1+Assumptions!O60)*N34</f>
        <v>7.409556000000002</v>
      </c>
      <c r="P34" s="58">
        <f>(1+Assumptions!P60)*O34</f>
        <v>8.1505116000000033</v>
      </c>
    </row>
    <row r="35" spans="1:16" x14ac:dyDescent="0.25">
      <c r="A35" s="16"/>
      <c r="B35" s="13" t="s">
        <v>75</v>
      </c>
      <c r="E35" s="17" t="s">
        <v>77</v>
      </c>
      <c r="G35" s="42"/>
      <c r="H35" s="42"/>
      <c r="I35" s="42"/>
      <c r="J35" s="42"/>
      <c r="K35" s="42">
        <v>177737.14285714284</v>
      </c>
      <c r="L35" s="13">
        <f>(1+Assumptions!L62)*K35</f>
        <v>197075.26123457894</v>
      </c>
      <c r="M35" s="13">
        <f>(1+Assumptions!M62)*L35</f>
        <v>217878.15359643876</v>
      </c>
      <c r="N35" s="13">
        <f>(1+Assumptions!N62)*M35</f>
        <v>240011.83430598813</v>
      </c>
      <c r="O35" s="13">
        <f>(1+Assumptions!O62)*N35</f>
        <v>264694.58802360907</v>
      </c>
      <c r="P35" s="13">
        <f>(1+Assumptions!P62)*O35</f>
        <v>290489.27682841441</v>
      </c>
    </row>
    <row r="36" spans="1:16" x14ac:dyDescent="0.25">
      <c r="A36" s="16"/>
      <c r="B36" s="13" t="s">
        <v>76</v>
      </c>
      <c r="E36" s="17" t="s">
        <v>77</v>
      </c>
      <c r="G36" s="42"/>
      <c r="H36" s="42"/>
      <c r="I36" s="42"/>
      <c r="J36" s="84"/>
      <c r="K36" s="42">
        <v>19748.571428571428</v>
      </c>
      <c r="L36" s="13">
        <f>L35/9</f>
        <v>21897.25124828655</v>
      </c>
      <c r="M36" s="13">
        <f t="shared" ref="M36:P36" si="5">M35/9</f>
        <v>24208.683732937639</v>
      </c>
      <c r="N36" s="13">
        <f t="shared" si="5"/>
        <v>26667.981589554238</v>
      </c>
      <c r="O36" s="13">
        <f t="shared" si="5"/>
        <v>29410.509780401007</v>
      </c>
      <c r="P36" s="13">
        <f t="shared" si="5"/>
        <v>32276.586314268268</v>
      </c>
    </row>
    <row r="37" spans="1:16" s="12" customFormat="1" ht="15.75" thickBot="1" x14ac:dyDescent="0.3">
      <c r="C37" s="62" t="s">
        <v>53</v>
      </c>
      <c r="D37" s="62"/>
      <c r="E37" s="63" t="s">
        <v>54</v>
      </c>
      <c r="F37" s="64"/>
      <c r="G37" s="68">
        <v>5</v>
      </c>
      <c r="H37" s="68">
        <v>6</v>
      </c>
      <c r="I37" s="68">
        <v>7.1999999999999993</v>
      </c>
      <c r="J37" s="68">
        <v>8.6399999999999988</v>
      </c>
      <c r="K37" s="65">
        <f>K34*(K35+K36)/10^5</f>
        <v>10.367999999999999</v>
      </c>
      <c r="L37" s="65">
        <f t="shared" ref="L37:P37" si="6">L34*(L35+L36)/10^5</f>
        <v>12.415741457778472</v>
      </c>
      <c r="M37" s="65">
        <f t="shared" si="6"/>
        <v>14.824429570701694</v>
      </c>
      <c r="N37" s="65">
        <f t="shared" si="6"/>
        <v>17.963445726797381</v>
      </c>
      <c r="O37" s="65">
        <f t="shared" si="6"/>
        <v>21.791881920642904</v>
      </c>
      <c r="P37" s="65">
        <f t="shared" si="6"/>
        <v>26.307069116284488</v>
      </c>
    </row>
    <row r="38" spans="1:16" ht="15.75" thickTop="1" x14ac:dyDescent="0.25">
      <c r="A38" s="12" t="s">
        <v>33</v>
      </c>
      <c r="E38" s="14"/>
      <c r="F38" s="15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6"/>
      <c r="B39" s="13" t="s">
        <v>14</v>
      </c>
      <c r="E39" s="66" t="s">
        <v>80</v>
      </c>
      <c r="F39" s="67"/>
      <c r="G39" s="59">
        <v>1</v>
      </c>
      <c r="H39" s="59">
        <v>1.1000000000000001</v>
      </c>
      <c r="I39" s="59">
        <v>1.2</v>
      </c>
      <c r="J39" s="59">
        <v>1.3</v>
      </c>
      <c r="K39" s="59">
        <v>1.3</v>
      </c>
      <c r="L39" s="58">
        <f>(1+Assumptions!L$65)*K39</f>
        <v>1.3</v>
      </c>
      <c r="M39" s="58">
        <f>(1+Assumptions!M$65)*L39</f>
        <v>1.3260000000000001</v>
      </c>
      <c r="N39" s="58">
        <f>(1+Assumptions!N$65)*M39</f>
        <v>1.3525200000000002</v>
      </c>
      <c r="O39" s="58">
        <f>(1+Assumptions!O$65)*N39</f>
        <v>1.3795704000000002</v>
      </c>
      <c r="P39" s="58">
        <f>(1+Assumptions!P$65)*O39</f>
        <v>1.4071618080000001</v>
      </c>
    </row>
    <row r="40" spans="1:16" x14ac:dyDescent="0.25">
      <c r="A40" s="16"/>
      <c r="B40" s="13" t="s">
        <v>15</v>
      </c>
      <c r="E40" s="66" t="s">
        <v>80</v>
      </c>
      <c r="F40" s="67"/>
      <c r="G40" s="59">
        <v>1.5</v>
      </c>
      <c r="H40" s="59">
        <v>1.6</v>
      </c>
      <c r="I40" s="59">
        <v>1.8</v>
      </c>
      <c r="J40" s="59">
        <v>1.9</v>
      </c>
      <c r="K40" s="59">
        <v>1.9</v>
      </c>
      <c r="L40" s="58">
        <f>(1+Assumptions!L$65)*K40</f>
        <v>1.9</v>
      </c>
      <c r="M40" s="58">
        <f>(1+Assumptions!M$65)*L40</f>
        <v>1.9379999999999999</v>
      </c>
      <c r="N40" s="58">
        <f>(1+Assumptions!N$65)*M40</f>
        <v>1.9767600000000001</v>
      </c>
      <c r="O40" s="58">
        <f>(1+Assumptions!O$65)*N40</f>
        <v>2.0162952000000001</v>
      </c>
      <c r="P40" s="58">
        <f>(1+Assumptions!P$65)*O40</f>
        <v>2.056621104</v>
      </c>
    </row>
    <row r="41" spans="1:16" x14ac:dyDescent="0.25">
      <c r="A41" s="16"/>
      <c r="B41" s="13" t="s">
        <v>16</v>
      </c>
      <c r="E41" s="66" t="s">
        <v>80</v>
      </c>
      <c r="F41" s="67"/>
      <c r="G41" s="59">
        <v>2</v>
      </c>
      <c r="H41" s="59">
        <v>2.2000000000000002</v>
      </c>
      <c r="I41" s="59">
        <v>2.2999999999999998</v>
      </c>
      <c r="J41" s="59">
        <v>2.5</v>
      </c>
      <c r="K41" s="59">
        <v>2.5</v>
      </c>
      <c r="L41" s="58">
        <f>(1+Assumptions!L$65)*K41</f>
        <v>2.5</v>
      </c>
      <c r="M41" s="58">
        <f>(1+Assumptions!M$65)*L41</f>
        <v>2.5499999999999998</v>
      </c>
      <c r="N41" s="58">
        <f>(1+Assumptions!N$65)*M41</f>
        <v>2.601</v>
      </c>
      <c r="O41" s="58">
        <f>(1+Assumptions!O$65)*N41</f>
        <v>2.6530200000000002</v>
      </c>
      <c r="P41" s="58">
        <f>(1+Assumptions!P$65)*O41</f>
        <v>2.7060804000000003</v>
      </c>
    </row>
    <row r="42" spans="1:16" s="12" customFormat="1" ht="15.75" thickBot="1" x14ac:dyDescent="0.3">
      <c r="A42" s="15"/>
      <c r="C42" s="62" t="s">
        <v>53</v>
      </c>
      <c r="D42" s="62"/>
      <c r="E42" s="63" t="s">
        <v>54</v>
      </c>
      <c r="F42" s="64"/>
      <c r="G42" s="62">
        <f>SUMPRODUCT('Revenue Build Up'!G10:G12,G39:G41)/10^5</f>
        <v>11.0625</v>
      </c>
      <c r="H42" s="62">
        <f>SUMPRODUCT('Revenue Build Up'!H10:H12,H39:H41)/10^5</f>
        <v>13.436718750000001</v>
      </c>
      <c r="I42" s="62">
        <f>SUMPRODUCT('Revenue Build Up'!I10:I12,I39:I41)/10^5</f>
        <v>15.918749999999999</v>
      </c>
      <c r="J42" s="62">
        <f>SUMPRODUCT('Revenue Build Up'!J10:J12,J39:J41)/10^5</f>
        <v>19.013437499999998</v>
      </c>
      <c r="K42" s="62">
        <f>SUMPRODUCT('Revenue Build Up'!K10:K12,K39:K41)/10^5</f>
        <v>21.057749999999999</v>
      </c>
      <c r="L42" s="62">
        <f>SUMPRODUCT('Revenue Build Up'!L10:L12,L39:L41)/10^5</f>
        <v>23.096663209451187</v>
      </c>
      <c r="M42" s="62">
        <f>SUMPRODUCT('Revenue Build Up'!M10:M12,M39:M41)/10^5</f>
        <v>25.801930094940086</v>
      </c>
      <c r="N42" s="62">
        <f>SUMPRODUCT('Revenue Build Up'!N10:N12,N39:N41)/10^5</f>
        <v>28.762398834160479</v>
      </c>
      <c r="O42" s="62">
        <f>SUMPRODUCT('Revenue Build Up'!O10:O12,O39:O41)/10^5</f>
        <v>32.101622884109219</v>
      </c>
      <c r="P42" s="62">
        <f>SUMPRODUCT('Revenue Build Up'!P10:P12,P39:P41)/10^5</f>
        <v>35.693039543451654</v>
      </c>
    </row>
    <row r="43" spans="1:16" ht="15.75" thickTop="1" x14ac:dyDescent="0.25">
      <c r="A43" s="12" t="s">
        <v>34</v>
      </c>
      <c r="E43" s="14" t="s">
        <v>54</v>
      </c>
      <c r="F43" s="15"/>
      <c r="G43" s="69">
        <f>'P &amp; L'!G11</f>
        <v>30</v>
      </c>
      <c r="H43" s="69">
        <f>'P &amp; L'!H11</f>
        <v>41</v>
      </c>
      <c r="I43" s="69">
        <f>'P &amp; L'!I11</f>
        <v>41.5</v>
      </c>
      <c r="J43" s="69">
        <f>'P &amp; L'!J11</f>
        <v>44</v>
      </c>
      <c r="K43" s="69">
        <f>'P &amp; L'!K11</f>
        <v>46</v>
      </c>
      <c r="L43" s="39">
        <f>Assumptions!L67*'Revenue Build Up'!L$17</f>
        <v>85.95927734252416</v>
      </c>
      <c r="M43" s="39">
        <f>Assumptions!M67*'Revenue Build Up'!M$17</f>
        <v>106.63064291921889</v>
      </c>
      <c r="N43" s="39">
        <f>Assumptions!N67*'Revenue Build Up'!N$17</f>
        <v>129.44071455504576</v>
      </c>
      <c r="O43" s="39">
        <f>Assumptions!O67*'Revenue Build Up'!O$17</f>
        <v>156.13005807733495</v>
      </c>
      <c r="P43" s="39">
        <f>Assumptions!P67*'Revenue Build Up'!P$17</f>
        <v>187.91374326052915</v>
      </c>
    </row>
    <row r="44" spans="1:16" x14ac:dyDescent="0.25">
      <c r="A44" s="12" t="s">
        <v>35</v>
      </c>
      <c r="E44" s="14" t="s">
        <v>54</v>
      </c>
      <c r="F44" s="15"/>
      <c r="G44" s="69">
        <f>'P &amp; L'!G12</f>
        <v>20.109375</v>
      </c>
      <c r="H44" s="69">
        <f>'P &amp; L'!H12</f>
        <v>24.28125</v>
      </c>
      <c r="I44" s="69">
        <f>'P &amp; L'!I12</f>
        <v>28.896562500000002</v>
      </c>
      <c r="J44" s="69">
        <f>'P &amp; L'!J12</f>
        <v>33.187031249999997</v>
      </c>
      <c r="K44" s="69">
        <f>'P &amp; L'!K12</f>
        <v>37.386562499999997</v>
      </c>
      <c r="L44" s="39">
        <f>Assumptions!L68*'Revenue Build Up'!L$17</f>
        <v>42.97963867126208</v>
      </c>
      <c r="M44" s="39">
        <f>Assumptions!M68*'Revenue Build Up'!M$17</f>
        <v>58.162168865028484</v>
      </c>
      <c r="N44" s="39">
        <f>Assumptions!N68*'Revenue Build Up'!N$17</f>
        <v>64.720357277522879</v>
      </c>
      <c r="O44" s="39">
        <f>Assumptions!O68*'Revenue Build Up'!O$17</f>
        <v>84.070031272411128</v>
      </c>
      <c r="P44" s="39">
        <f>Assumptions!P68*'Revenue Build Up'!P$17</f>
        <v>93.956871630264573</v>
      </c>
    </row>
    <row r="45" spans="1:16" x14ac:dyDescent="0.25">
      <c r="A45" s="12" t="s">
        <v>36</v>
      </c>
      <c r="E45" s="14" t="s">
        <v>54</v>
      </c>
      <c r="F45" s="15"/>
      <c r="G45" s="69">
        <f>'P &amp; L'!G13</f>
        <v>1</v>
      </c>
      <c r="H45" s="69">
        <f>'P &amp; L'!H13</f>
        <v>1.1000000000000001</v>
      </c>
      <c r="I45" s="69">
        <f>'P &amp; L'!I13</f>
        <v>1.1000000000000001</v>
      </c>
      <c r="J45" s="69">
        <f>'P &amp; L'!J13</f>
        <v>1.2</v>
      </c>
      <c r="K45" s="69">
        <f>'P &amp; L'!K13</f>
        <v>1.22</v>
      </c>
      <c r="L45" s="39">
        <f>Assumptions!L69*'Revenue Build Up'!L$17</f>
        <v>1.3745935377506382</v>
      </c>
      <c r="M45" s="39">
        <f>Assumptions!M69*'Revenue Build Up'!M$17</f>
        <v>1.5501398634156596</v>
      </c>
      <c r="N45" s="39">
        <f>Assumptions!N69*'Revenue Build Up'!N$17</f>
        <v>1.7249288970500443</v>
      </c>
      <c r="O45" s="39">
        <f>Assumptions!O69*'Revenue Build Up'!O$17</f>
        <v>1.920545988722195</v>
      </c>
      <c r="P45" s="39">
        <f>Assumptions!P69*'Revenue Build Up'!P$17</f>
        <v>2.1464068728330274</v>
      </c>
    </row>
    <row r="46" spans="1:16" x14ac:dyDescent="0.25">
      <c r="A46" s="12" t="s">
        <v>37</v>
      </c>
      <c r="E46" s="14" t="s">
        <v>54</v>
      </c>
      <c r="F46" s="15"/>
      <c r="G46" s="69">
        <f>'P &amp; L'!G14</f>
        <v>2</v>
      </c>
      <c r="H46" s="69">
        <f>'P &amp; L'!H14</f>
        <v>2</v>
      </c>
      <c r="I46" s="69">
        <f>'P &amp; L'!I14</f>
        <v>2</v>
      </c>
      <c r="J46" s="69">
        <f>'P &amp; L'!J14</f>
        <v>2</v>
      </c>
      <c r="K46" s="69">
        <f>'P &amp; L'!K14</f>
        <v>2</v>
      </c>
      <c r="L46" s="39">
        <f>Assumptions!L70*'Revenue Build Up'!L$17</f>
        <v>2.253432029099407</v>
      </c>
      <c r="M46" s="39">
        <f>Assumptions!M70*'Revenue Build Up'!M$17</f>
        <v>2.541212890845344</v>
      </c>
      <c r="N46" s="39">
        <f>Assumptions!N70*'Revenue Build Up'!N$17</f>
        <v>2.8277522902459742</v>
      </c>
      <c r="O46" s="39">
        <f>Assumptions!O70*'Revenue Build Up'!O$17</f>
        <v>3.1484360470855655</v>
      </c>
      <c r="P46" s="39">
        <f>Assumptions!P70*'Revenue Build Up'!P$17</f>
        <v>3.5186997915295537</v>
      </c>
    </row>
    <row r="47" spans="1:16" x14ac:dyDescent="0.25">
      <c r="A47" s="12" t="s">
        <v>124</v>
      </c>
      <c r="E47" s="14" t="s">
        <v>54</v>
      </c>
      <c r="F47" s="15"/>
      <c r="G47" s="69">
        <f>'P &amp; L'!G15</f>
        <v>35</v>
      </c>
      <c r="H47" s="69">
        <f>'P &amp; L'!H15</f>
        <v>24.28125</v>
      </c>
      <c r="I47" s="69">
        <f>'P &amp; L'!I15</f>
        <v>28.956562499999997</v>
      </c>
      <c r="J47" s="69">
        <f>'P &amp; L'!J15</f>
        <v>41</v>
      </c>
      <c r="K47" s="69">
        <f>'P &amp; L'!K15</f>
        <v>45</v>
      </c>
      <c r="L47" s="39">
        <f>Assumptions!L71*'Revenue Build Up'!L$17</f>
        <v>42</v>
      </c>
      <c r="M47" s="39">
        <f>Assumptions!M71*'Revenue Build Up'!M$17</f>
        <v>45.152408979190398</v>
      </c>
      <c r="N47" s="39">
        <f>Assumptions!N71*'Revenue Build Up'!N$17</f>
        <v>50.197075400182705</v>
      </c>
      <c r="O47" s="39">
        <f>Assumptions!O71*'Revenue Build Up'!O$17</f>
        <v>48</v>
      </c>
      <c r="P47" s="39">
        <f>Assumptions!P71*'Revenue Build Up'!P$17</f>
        <v>52</v>
      </c>
    </row>
  </sheetData>
  <pageMargins left="0.7" right="0.7" top="0.75" bottom="0.75" header="0.3" footer="0.3"/>
  <pageSetup scale="70" orientation="landscape" r:id="rId1"/>
  <headerFooter>
    <oddFooter>&amp;CPage &amp;P of &amp;N&amp;RAnthored byShashi Bhushan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showGridLines="0" zoomScaleSheetLayoutView="110" workbookViewId="0">
      <pane xSplit="4" ySplit="4" topLeftCell="E5" activePane="bottomRight" state="frozen"/>
      <selection activeCell="Q8" sqref="Q8"/>
      <selection pane="topRight" activeCell="Q8" sqref="Q8"/>
      <selection pane="bottomLeft" activeCell="Q8" sqref="Q8"/>
      <selection pane="bottomRight" activeCell="L18" sqref="L18:P18"/>
    </sheetView>
  </sheetViews>
  <sheetFormatPr defaultColWidth="11.7109375" defaultRowHeight="18" customHeight="1" x14ac:dyDescent="0.25"/>
  <cols>
    <col min="1" max="2" width="3.7109375" style="13" customWidth="1"/>
    <col min="3" max="3" width="30.7109375" style="16" customWidth="1"/>
    <col min="4" max="4" width="5.7109375" style="13" customWidth="1"/>
    <col min="5" max="6" width="6.28515625" style="13" customWidth="1"/>
    <col min="7" max="16384" width="11.7109375" style="13"/>
  </cols>
  <sheetData>
    <row r="1" spans="1:31" ht="15" x14ac:dyDescent="0.25">
      <c r="A1" s="12" t="s">
        <v>176</v>
      </c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31" ht="15" x14ac:dyDescent="0.25">
      <c r="A2" s="12"/>
      <c r="B2" s="89" t="s">
        <v>187</v>
      </c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31" ht="15" x14ac:dyDescent="0.25">
      <c r="B3" s="13" t="s">
        <v>28</v>
      </c>
      <c r="E3" s="16"/>
      <c r="F3" s="16"/>
      <c r="G3" s="18">
        <f>Assumptions!G3</f>
        <v>1</v>
      </c>
      <c r="H3" s="18">
        <f>Assumptions!H3</f>
        <v>2</v>
      </c>
      <c r="I3" s="18">
        <f>Assumptions!I3</f>
        <v>3</v>
      </c>
      <c r="J3" s="18">
        <f>Assumptions!J3</f>
        <v>4</v>
      </c>
      <c r="K3" s="18">
        <f>Assumptions!K3</f>
        <v>5</v>
      </c>
      <c r="L3" s="18">
        <f>Assumptions!L3</f>
        <v>6</v>
      </c>
      <c r="M3" s="18">
        <f>Assumptions!M3</f>
        <v>7</v>
      </c>
      <c r="N3" s="18">
        <f>Assumptions!N3</f>
        <v>8</v>
      </c>
      <c r="O3" s="18">
        <f>Assumptions!O3</f>
        <v>9</v>
      </c>
      <c r="P3" s="18">
        <f>Assumptions!P3</f>
        <v>10</v>
      </c>
    </row>
    <row r="4" spans="1:31" ht="18" customHeight="1" x14ac:dyDescent="0.25">
      <c r="A4" s="43" t="s">
        <v>135</v>
      </c>
      <c r="B4" s="12"/>
      <c r="C4" s="13"/>
      <c r="E4" s="12"/>
      <c r="F4" s="12"/>
      <c r="G4" s="20" t="str">
        <f>Assumptions!G4</f>
        <v>FY11A</v>
      </c>
      <c r="H4" s="20" t="str">
        <f>Assumptions!H4</f>
        <v>FY12A</v>
      </c>
      <c r="I4" s="20" t="str">
        <f>Assumptions!I4</f>
        <v>FY13A</v>
      </c>
      <c r="J4" s="20" t="str">
        <f>Assumptions!J4</f>
        <v>FY14A</v>
      </c>
      <c r="K4" s="20" t="str">
        <f>Assumptions!K4</f>
        <v>FY15A</v>
      </c>
      <c r="L4" s="20" t="str">
        <f>Assumptions!L4</f>
        <v>FY16P</v>
      </c>
      <c r="M4" s="20" t="str">
        <f>Assumptions!M4</f>
        <v>FY17P</v>
      </c>
      <c r="N4" s="20" t="str">
        <f>Assumptions!N4</f>
        <v>FY18P</v>
      </c>
      <c r="O4" s="20" t="str">
        <f>Assumptions!O4</f>
        <v>FY19P</v>
      </c>
      <c r="P4" s="20" t="str">
        <f>Assumptions!P4</f>
        <v>FY20P</v>
      </c>
    </row>
    <row r="5" spans="1:31" s="12" customFormat="1" ht="18" customHeight="1" x14ac:dyDescent="0.25">
      <c r="A5" s="12" t="s">
        <v>29</v>
      </c>
      <c r="G5" s="40">
        <v>409.6875</v>
      </c>
      <c r="H5" s="40">
        <v>495.328125</v>
      </c>
      <c r="I5" s="40">
        <v>589.93124999999998</v>
      </c>
      <c r="J5" s="40">
        <v>675.85312499999998</v>
      </c>
      <c r="K5" s="40">
        <v>762.91875000000005</v>
      </c>
      <c r="L5" s="39">
        <f>'Revenue Build Up'!L17</f>
        <v>859.5927734252416</v>
      </c>
      <c r="M5" s="39">
        <f>'Revenue Build Up'!M17</f>
        <v>969.36948108380807</v>
      </c>
      <c r="N5" s="39">
        <f>'Revenue Build Up'!N17</f>
        <v>1078.672621292048</v>
      </c>
      <c r="O5" s="39">
        <f>'Revenue Build Up'!O17</f>
        <v>1201.0004467487304</v>
      </c>
      <c r="P5" s="39">
        <f>'Revenue Build Up'!P17</f>
        <v>1342.2410232894938</v>
      </c>
    </row>
    <row r="6" spans="1:31" s="12" customFormat="1" ht="18" customHeight="1" x14ac:dyDescent="0.25">
      <c r="A6" s="12" t="s">
        <v>30</v>
      </c>
      <c r="G6" s="40"/>
      <c r="H6" s="40"/>
      <c r="I6" s="40"/>
      <c r="J6" s="40"/>
      <c r="K6" s="40"/>
      <c r="L6" s="39"/>
      <c r="M6" s="39"/>
      <c r="N6" s="39"/>
      <c r="O6" s="39"/>
      <c r="P6" s="39"/>
    </row>
    <row r="7" spans="1:31" ht="18" customHeight="1" x14ac:dyDescent="0.25">
      <c r="A7" s="16"/>
      <c r="B7" s="13" t="s">
        <v>31</v>
      </c>
      <c r="G7" s="42">
        <v>137.70140624999999</v>
      </c>
      <c r="H7" s="42">
        <v>156.02683593750004</v>
      </c>
      <c r="I7" s="42">
        <v>175.04510625000003</v>
      </c>
      <c r="J7" s="42">
        <v>205.62399374999998</v>
      </c>
      <c r="K7" s="42">
        <v>244.58821874999998</v>
      </c>
      <c r="L7" s="19">
        <f>'Cost Build Up'!L20</f>
        <v>279.22457779627649</v>
      </c>
      <c r="M7" s="19">
        <f>'Cost Build Up'!M20</f>
        <v>318.88128997199698</v>
      </c>
      <c r="N7" s="19">
        <f>'Cost Build Up'!N20</f>
        <v>360.7230272566124</v>
      </c>
      <c r="O7" s="19">
        <f>'Cost Build Up'!O20</f>
        <v>408.64174838460258</v>
      </c>
      <c r="P7" s="19">
        <f>'Cost Build Up'!P20</f>
        <v>461.83173939826941</v>
      </c>
      <c r="Q7" s="70"/>
      <c r="R7" s="70"/>
      <c r="S7" s="70"/>
      <c r="T7" s="70"/>
      <c r="U7" s="70"/>
      <c r="V7" s="70"/>
      <c r="W7" s="70"/>
      <c r="X7" s="70"/>
      <c r="Y7" s="70"/>
      <c r="Z7" s="70"/>
    </row>
    <row r="8" spans="1:31" ht="18" customHeight="1" x14ac:dyDescent="0.25">
      <c r="A8" s="16"/>
      <c r="B8" s="13" t="s">
        <v>143</v>
      </c>
      <c r="G8" s="42">
        <v>51.083999999999996</v>
      </c>
      <c r="H8" s="42">
        <v>57.523200000000003</v>
      </c>
      <c r="I8" s="42">
        <v>72.360960000000006</v>
      </c>
      <c r="J8" s="42">
        <v>85.666560000000004</v>
      </c>
      <c r="K8" s="42">
        <v>94.474800000000002</v>
      </c>
      <c r="L8" s="19">
        <f>'Cost Build Up'!L32</f>
        <v>94.474800000000002</v>
      </c>
      <c r="M8" s="19">
        <f>'Cost Build Up'!M32</f>
        <v>107.83458</v>
      </c>
      <c r="N8" s="19">
        <f>'Cost Build Up'!N32</f>
        <v>124.07424749999998</v>
      </c>
      <c r="O8" s="19">
        <f>'Cost Build Up'!O32</f>
        <v>141.66829530000001</v>
      </c>
      <c r="P8" s="19">
        <f>'Cost Build Up'!P32</f>
        <v>160.71156226125004</v>
      </c>
      <c r="Q8" s="70"/>
      <c r="R8" s="70"/>
      <c r="S8" s="70"/>
      <c r="T8" s="70"/>
      <c r="U8" s="70"/>
      <c r="V8" s="70"/>
      <c r="W8" s="70"/>
      <c r="X8" s="70"/>
      <c r="Y8" s="70"/>
      <c r="Z8" s="70"/>
    </row>
    <row r="9" spans="1:31" ht="18" customHeight="1" x14ac:dyDescent="0.25">
      <c r="A9" s="16"/>
      <c r="B9" s="13" t="s">
        <v>144</v>
      </c>
      <c r="G9" s="42">
        <v>5</v>
      </c>
      <c r="H9" s="42">
        <v>6</v>
      </c>
      <c r="I9" s="42">
        <v>7.1999999999999993</v>
      </c>
      <c r="J9" s="42">
        <v>8.6399999999999988</v>
      </c>
      <c r="K9" s="42">
        <v>10.367999999999999</v>
      </c>
      <c r="L9" s="19">
        <f>'Cost Build Up'!L37</f>
        <v>12.415741457778472</v>
      </c>
      <c r="M9" s="19">
        <f>'Cost Build Up'!M37</f>
        <v>14.824429570701694</v>
      </c>
      <c r="N9" s="19">
        <f>'Cost Build Up'!N37</f>
        <v>17.963445726797381</v>
      </c>
      <c r="O9" s="19">
        <f>'Cost Build Up'!O37</f>
        <v>21.791881920642904</v>
      </c>
      <c r="P9" s="19">
        <f>'Cost Build Up'!P37</f>
        <v>26.307069116284488</v>
      </c>
      <c r="Q9" s="70"/>
      <c r="R9" s="70"/>
      <c r="S9" s="70"/>
      <c r="T9" s="70"/>
      <c r="U9" s="70"/>
      <c r="V9" s="70"/>
      <c r="W9" s="70"/>
      <c r="X9" s="70"/>
      <c r="Y9" s="70"/>
      <c r="Z9" s="70"/>
    </row>
    <row r="10" spans="1:31" ht="18" customHeight="1" x14ac:dyDescent="0.25">
      <c r="A10" s="16"/>
      <c r="B10" s="13" t="s">
        <v>145</v>
      </c>
      <c r="G10" s="42">
        <v>11.0625</v>
      </c>
      <c r="H10" s="42">
        <v>13.436718750000001</v>
      </c>
      <c r="I10" s="42">
        <v>15.918749999999999</v>
      </c>
      <c r="J10" s="42">
        <v>19.013437499999998</v>
      </c>
      <c r="K10" s="42">
        <v>21.057749999999999</v>
      </c>
      <c r="L10" s="19">
        <f>'Cost Build Up'!L42</f>
        <v>23.096663209451187</v>
      </c>
      <c r="M10" s="19">
        <f>'Cost Build Up'!M42</f>
        <v>25.801930094940086</v>
      </c>
      <c r="N10" s="19">
        <f>'Cost Build Up'!N42</f>
        <v>28.762398834160479</v>
      </c>
      <c r="O10" s="19">
        <f>'Cost Build Up'!O42</f>
        <v>32.101622884109219</v>
      </c>
      <c r="P10" s="19">
        <f>'Cost Build Up'!P42</f>
        <v>35.693039543451654</v>
      </c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spans="1:31" ht="18" customHeight="1" x14ac:dyDescent="0.25">
      <c r="A11" s="16"/>
      <c r="B11" s="13" t="s">
        <v>146</v>
      </c>
      <c r="G11" s="42">
        <v>30</v>
      </c>
      <c r="H11" s="42">
        <v>41</v>
      </c>
      <c r="I11" s="42">
        <v>41.5</v>
      </c>
      <c r="J11" s="42">
        <v>44</v>
      </c>
      <c r="K11" s="42">
        <v>46</v>
      </c>
      <c r="L11" s="19">
        <f>'Cost Build Up'!L43</f>
        <v>85.95927734252416</v>
      </c>
      <c r="M11" s="19">
        <f>'Cost Build Up'!M43</f>
        <v>106.63064291921889</v>
      </c>
      <c r="N11" s="19">
        <f>'Cost Build Up'!N43</f>
        <v>129.44071455504576</v>
      </c>
      <c r="O11" s="19">
        <f>'Cost Build Up'!O43</f>
        <v>156.13005807733495</v>
      </c>
      <c r="P11" s="19">
        <f>'Cost Build Up'!P43</f>
        <v>187.91374326052915</v>
      </c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spans="1:31" ht="18" customHeight="1" x14ac:dyDescent="0.25">
      <c r="A12" s="16"/>
      <c r="B12" s="13" t="s">
        <v>147</v>
      </c>
      <c r="G12" s="42">
        <v>20.109375</v>
      </c>
      <c r="H12" s="42">
        <v>24.28125</v>
      </c>
      <c r="I12" s="42">
        <v>28.896562500000002</v>
      </c>
      <c r="J12" s="42">
        <v>33.187031249999997</v>
      </c>
      <c r="K12" s="42">
        <v>37.386562499999997</v>
      </c>
      <c r="L12" s="19">
        <f>'Cost Build Up'!L44</f>
        <v>42.97963867126208</v>
      </c>
      <c r="M12" s="19">
        <f>'Cost Build Up'!M44</f>
        <v>58.162168865028484</v>
      </c>
      <c r="N12" s="19">
        <f>'Cost Build Up'!N44</f>
        <v>64.720357277522879</v>
      </c>
      <c r="O12" s="19">
        <f>'Cost Build Up'!O44</f>
        <v>84.070031272411128</v>
      </c>
      <c r="P12" s="19">
        <f>'Cost Build Up'!P44</f>
        <v>93.956871630264573</v>
      </c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spans="1:31" ht="18" customHeight="1" x14ac:dyDescent="0.25">
      <c r="A13" s="16"/>
      <c r="B13" s="13" t="s">
        <v>184</v>
      </c>
      <c r="G13" s="42">
        <v>1</v>
      </c>
      <c r="H13" s="42">
        <v>1.1000000000000001</v>
      </c>
      <c r="I13" s="42">
        <v>1.1000000000000001</v>
      </c>
      <c r="J13" s="42">
        <v>1.2</v>
      </c>
      <c r="K13" s="42">
        <v>1.22</v>
      </c>
      <c r="L13" s="19">
        <f>'Cost Build Up'!L45</f>
        <v>1.3745935377506382</v>
      </c>
      <c r="M13" s="19">
        <f>'Cost Build Up'!M45</f>
        <v>1.5501398634156596</v>
      </c>
      <c r="N13" s="19">
        <f>'Cost Build Up'!N45</f>
        <v>1.7249288970500443</v>
      </c>
      <c r="O13" s="19">
        <f>'Cost Build Up'!O45</f>
        <v>1.920545988722195</v>
      </c>
      <c r="P13" s="19">
        <f>'Cost Build Up'!P45</f>
        <v>2.1464068728330274</v>
      </c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31" ht="18" customHeight="1" x14ac:dyDescent="0.25">
      <c r="A14" s="16"/>
      <c r="B14" s="13" t="s">
        <v>148</v>
      </c>
      <c r="G14" s="42">
        <v>2</v>
      </c>
      <c r="H14" s="42">
        <v>2</v>
      </c>
      <c r="I14" s="42">
        <v>2</v>
      </c>
      <c r="J14" s="42">
        <v>2</v>
      </c>
      <c r="K14" s="42">
        <v>2</v>
      </c>
      <c r="L14" s="19">
        <f>'Cost Build Up'!L46</f>
        <v>2.253432029099407</v>
      </c>
      <c r="M14" s="19">
        <f>'Cost Build Up'!M46</f>
        <v>2.541212890845344</v>
      </c>
      <c r="N14" s="19">
        <f>'Cost Build Up'!N46</f>
        <v>2.8277522902459742</v>
      </c>
      <c r="O14" s="19">
        <f>'Cost Build Up'!O46</f>
        <v>3.1484360470855655</v>
      </c>
      <c r="P14" s="19">
        <f>'Cost Build Up'!P46</f>
        <v>3.5186997915295537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31" ht="18" customHeight="1" x14ac:dyDescent="0.25">
      <c r="A15" s="16"/>
      <c r="B15" s="13" t="s">
        <v>149</v>
      </c>
      <c r="G15" s="42">
        <v>35</v>
      </c>
      <c r="H15" s="42">
        <v>24.28125</v>
      </c>
      <c r="I15" s="42">
        <v>28.956562499999997</v>
      </c>
      <c r="J15" s="42">
        <v>41</v>
      </c>
      <c r="K15" s="42">
        <v>45</v>
      </c>
      <c r="L15" s="19">
        <f>'Cost Build Up'!L47</f>
        <v>42</v>
      </c>
      <c r="M15" s="19">
        <f>'Cost Build Up'!M47</f>
        <v>45.152408979190398</v>
      </c>
      <c r="N15" s="19">
        <f>'Cost Build Up'!N47</f>
        <v>50.197075400182705</v>
      </c>
      <c r="O15" s="19">
        <f>'Cost Build Up'!O47</f>
        <v>48</v>
      </c>
      <c r="P15" s="19">
        <f>'Cost Build Up'!P47</f>
        <v>52</v>
      </c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31" s="12" customFormat="1" ht="18" customHeight="1" x14ac:dyDescent="0.25">
      <c r="C16" s="71" t="s">
        <v>139</v>
      </c>
      <c r="D16" s="71"/>
      <c r="E16" s="71"/>
      <c r="F16" s="71"/>
      <c r="G16" s="71">
        <f t="shared" ref="G16:P16" si="0">SUM(G7:G15)</f>
        <v>292.95728124999999</v>
      </c>
      <c r="H16" s="71">
        <f t="shared" si="0"/>
        <v>325.64925468750005</v>
      </c>
      <c r="I16" s="71">
        <f t="shared" si="0"/>
        <v>372.97794125000007</v>
      </c>
      <c r="J16" s="71">
        <f t="shared" si="0"/>
        <v>440.33102249999996</v>
      </c>
      <c r="K16" s="71">
        <f t="shared" si="0"/>
        <v>502.09533124999996</v>
      </c>
      <c r="L16" s="71">
        <f t="shared" si="0"/>
        <v>583.77872404414256</v>
      </c>
      <c r="M16" s="71">
        <f t="shared" si="0"/>
        <v>681.37880315533744</v>
      </c>
      <c r="N16" s="71">
        <f t="shared" si="0"/>
        <v>780.4339477376177</v>
      </c>
      <c r="O16" s="71">
        <f t="shared" si="0"/>
        <v>897.47261987490856</v>
      </c>
      <c r="P16" s="71">
        <f t="shared" si="0"/>
        <v>1024.0791318744118</v>
      </c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</row>
    <row r="17" spans="1:31" s="12" customFormat="1" ht="18" customHeight="1" x14ac:dyDescent="0.25">
      <c r="A17" s="72" t="s">
        <v>38</v>
      </c>
      <c r="B17" s="72"/>
      <c r="C17" s="72"/>
      <c r="D17" s="72"/>
      <c r="E17" s="72"/>
      <c r="F17" s="72"/>
      <c r="G17" s="72">
        <f t="shared" ref="G17:P17" si="1">G5-G16</f>
        <v>116.73021875000001</v>
      </c>
      <c r="H17" s="72">
        <f t="shared" si="1"/>
        <v>169.67887031249995</v>
      </c>
      <c r="I17" s="72">
        <f t="shared" si="1"/>
        <v>216.95330874999991</v>
      </c>
      <c r="J17" s="72">
        <f t="shared" si="1"/>
        <v>235.52210250000002</v>
      </c>
      <c r="K17" s="72">
        <f t="shared" si="1"/>
        <v>260.82341875000009</v>
      </c>
      <c r="L17" s="72">
        <f t="shared" si="1"/>
        <v>275.81404938109904</v>
      </c>
      <c r="M17" s="72">
        <f t="shared" si="1"/>
        <v>287.99067792847063</v>
      </c>
      <c r="N17" s="72">
        <f t="shared" si="1"/>
        <v>298.23867355443031</v>
      </c>
      <c r="O17" s="72">
        <f t="shared" si="1"/>
        <v>303.52782687382182</v>
      </c>
      <c r="P17" s="72">
        <f t="shared" si="1"/>
        <v>318.16189141508198</v>
      </c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</row>
    <row r="18" spans="1:31" ht="18" customHeight="1" x14ac:dyDescent="0.25">
      <c r="B18" s="13" t="s">
        <v>140</v>
      </c>
      <c r="G18" s="42">
        <v>73.382999999999996</v>
      </c>
      <c r="H18" s="42">
        <v>152.46600000000001</v>
      </c>
      <c r="I18" s="42">
        <v>162.95250000000001</v>
      </c>
      <c r="J18" s="42">
        <v>163.08700000000002</v>
      </c>
      <c r="K18" s="42">
        <v>163.22050000000002</v>
      </c>
      <c r="L18" s="99"/>
      <c r="M18" s="99"/>
      <c r="N18" s="99"/>
      <c r="O18" s="99"/>
      <c r="P18" s="99"/>
      <c r="Q18" s="13" t="s">
        <v>190</v>
      </c>
    </row>
    <row r="19" spans="1:31" s="12" customFormat="1" ht="18" customHeight="1" x14ac:dyDescent="0.25">
      <c r="A19" s="72" t="s">
        <v>39</v>
      </c>
      <c r="B19" s="72"/>
      <c r="C19" s="72"/>
      <c r="D19" s="72"/>
      <c r="E19" s="72"/>
      <c r="F19" s="72"/>
      <c r="G19" s="72">
        <f>G17-G18</f>
        <v>43.34721875000001</v>
      </c>
      <c r="H19" s="72">
        <f t="shared" ref="H19:P19" si="2">H17-H18</f>
        <v>17.212870312499945</v>
      </c>
      <c r="I19" s="72">
        <f t="shared" si="2"/>
        <v>54.000808749999891</v>
      </c>
      <c r="J19" s="72">
        <f t="shared" si="2"/>
        <v>72.435102499999999</v>
      </c>
      <c r="K19" s="72">
        <f t="shared" si="2"/>
        <v>97.602918750000072</v>
      </c>
      <c r="L19" s="72">
        <f t="shared" si="2"/>
        <v>275.81404938109904</v>
      </c>
      <c r="M19" s="72">
        <f t="shared" si="2"/>
        <v>287.99067792847063</v>
      </c>
      <c r="N19" s="72">
        <f t="shared" si="2"/>
        <v>298.23867355443031</v>
      </c>
      <c r="O19" s="72">
        <f t="shared" si="2"/>
        <v>303.52782687382182</v>
      </c>
      <c r="P19" s="72">
        <f t="shared" si="2"/>
        <v>318.16189141508198</v>
      </c>
    </row>
    <row r="20" spans="1:31" ht="18" customHeight="1" x14ac:dyDescent="0.25">
      <c r="B20" s="13" t="s">
        <v>141</v>
      </c>
      <c r="G20" s="42">
        <v>22.875</v>
      </c>
      <c r="H20" s="42">
        <v>62.776822135890413</v>
      </c>
      <c r="I20" s="42">
        <v>80.823322135890407</v>
      </c>
      <c r="J20" s="42">
        <v>78.472405133680226</v>
      </c>
      <c r="K20" s="42">
        <v>75.139674867321077</v>
      </c>
      <c r="L20" s="93"/>
      <c r="M20" s="93"/>
      <c r="N20" s="93"/>
      <c r="O20" s="93"/>
      <c r="P20" s="93"/>
      <c r="Q20" s="12" t="s">
        <v>179</v>
      </c>
    </row>
    <row r="21" spans="1:31" ht="18" customHeight="1" x14ac:dyDescent="0.25">
      <c r="B21" s="13" t="s">
        <v>182</v>
      </c>
      <c r="C21" s="17"/>
      <c r="G21" s="42">
        <v>0</v>
      </c>
      <c r="H21" s="42">
        <v>0</v>
      </c>
      <c r="I21" s="42">
        <v>2.1</v>
      </c>
      <c r="J21" s="42">
        <v>8.0068898437500007</v>
      </c>
      <c r="K21" s="42">
        <v>14.879078906249999</v>
      </c>
      <c r="L21" s="96"/>
      <c r="M21" s="96"/>
      <c r="N21" s="96"/>
      <c r="O21" s="96"/>
      <c r="P21" s="96"/>
      <c r="Q21" s="12"/>
    </row>
    <row r="22" spans="1:31" s="12" customFormat="1" ht="18" customHeight="1" x14ac:dyDescent="0.25">
      <c r="A22" s="72" t="s">
        <v>40</v>
      </c>
      <c r="B22" s="72"/>
      <c r="C22" s="72"/>
      <c r="D22" s="72"/>
      <c r="E22" s="72"/>
      <c r="F22" s="72"/>
      <c r="G22" s="72">
        <f>G19-G20+G21</f>
        <v>20.47221875000001</v>
      </c>
      <c r="H22" s="72">
        <f t="shared" ref="H22:P22" si="3">H19-H20+H21</f>
        <v>-45.563951823390468</v>
      </c>
      <c r="I22" s="72">
        <f t="shared" si="3"/>
        <v>-24.722513385890515</v>
      </c>
      <c r="J22" s="72">
        <f t="shared" si="3"/>
        <v>1.9695872100697738</v>
      </c>
      <c r="K22" s="72">
        <f t="shared" si="3"/>
        <v>37.342322788928996</v>
      </c>
      <c r="L22" s="72">
        <f t="shared" si="3"/>
        <v>275.81404938109904</v>
      </c>
      <c r="M22" s="72">
        <f t="shared" si="3"/>
        <v>287.99067792847063</v>
      </c>
      <c r="N22" s="72">
        <f t="shared" si="3"/>
        <v>298.23867355443031</v>
      </c>
      <c r="O22" s="72">
        <f t="shared" si="3"/>
        <v>303.52782687382182</v>
      </c>
      <c r="P22" s="72">
        <f t="shared" si="3"/>
        <v>318.16189141508198</v>
      </c>
    </row>
    <row r="23" spans="1:31" s="12" customFormat="1" ht="18" customHeight="1" x14ac:dyDescent="0.25">
      <c r="A23" s="12" t="s">
        <v>136</v>
      </c>
    </row>
    <row r="24" spans="1:31" ht="18" customHeight="1" x14ac:dyDescent="0.25">
      <c r="A24" s="16"/>
      <c r="B24" s="13" t="s">
        <v>42</v>
      </c>
      <c r="G24" s="42">
        <v>10.317738853125002</v>
      </c>
      <c r="H24" s="42">
        <v>0</v>
      </c>
      <c r="I24" s="42">
        <v>9.9998534501358147</v>
      </c>
      <c r="J24" s="42">
        <v>24.022717067702718</v>
      </c>
      <c r="K24" s="42">
        <v>40.143943982206963</v>
      </c>
      <c r="L24" s="93"/>
      <c r="M24" s="93"/>
      <c r="N24" s="93"/>
      <c r="O24" s="93"/>
      <c r="P24" s="93"/>
      <c r="Q24" s="13" t="s">
        <v>180</v>
      </c>
    </row>
    <row r="25" spans="1:31" ht="18" customHeight="1" x14ac:dyDescent="0.25">
      <c r="A25" s="16"/>
      <c r="B25" s="13" t="s">
        <v>165</v>
      </c>
      <c r="G25" s="42">
        <v>-3.3592316999999983</v>
      </c>
      <c r="H25" s="42">
        <v>-11.052188399999997</v>
      </c>
      <c r="I25" s="42">
        <v>-18.403035750000004</v>
      </c>
      <c r="J25" s="42">
        <v>-23.353254375000006</v>
      </c>
      <c r="K25" s="42">
        <v>-27.451288466250006</v>
      </c>
      <c r="L25" s="93"/>
      <c r="M25" s="93"/>
      <c r="N25" s="93"/>
      <c r="O25" s="93"/>
      <c r="P25" s="93"/>
      <c r="Q25" s="13" t="s">
        <v>180</v>
      </c>
    </row>
    <row r="26" spans="1:31" s="12" customFormat="1" ht="18" customHeight="1" x14ac:dyDescent="0.25">
      <c r="C26" s="71" t="s">
        <v>142</v>
      </c>
      <c r="D26" s="71"/>
      <c r="E26" s="71"/>
      <c r="F26" s="71"/>
      <c r="G26" s="73">
        <f t="shared" ref="G26:P26" si="4">SUM(G24:G25)</f>
        <v>6.9585071531250033</v>
      </c>
      <c r="H26" s="73">
        <f t="shared" si="4"/>
        <v>-11.052188399999997</v>
      </c>
      <c r="I26" s="73">
        <f t="shared" si="4"/>
        <v>-8.4031822998641896</v>
      </c>
      <c r="J26" s="73">
        <f t="shared" si="4"/>
        <v>0.6694626927027123</v>
      </c>
      <c r="K26" s="73">
        <f t="shared" si="4"/>
        <v>12.692655515956957</v>
      </c>
      <c r="L26" s="73">
        <f t="shared" si="4"/>
        <v>0</v>
      </c>
      <c r="M26" s="73">
        <f t="shared" si="4"/>
        <v>0</v>
      </c>
      <c r="N26" s="73">
        <f t="shared" si="4"/>
        <v>0</v>
      </c>
      <c r="O26" s="73">
        <f t="shared" si="4"/>
        <v>0</v>
      </c>
      <c r="P26" s="73">
        <f t="shared" si="4"/>
        <v>0</v>
      </c>
    </row>
    <row r="27" spans="1:31" s="12" customFormat="1" ht="18" customHeight="1" x14ac:dyDescent="0.25">
      <c r="A27" s="72" t="s">
        <v>41</v>
      </c>
      <c r="B27" s="72"/>
      <c r="C27" s="72"/>
      <c r="D27" s="72"/>
      <c r="E27" s="72"/>
      <c r="F27" s="72"/>
      <c r="G27" s="72">
        <f t="shared" ref="G27:P27" si="5">G22-G26</f>
        <v>13.513711596875007</v>
      </c>
      <c r="H27" s="72">
        <f t="shared" si="5"/>
        <v>-34.51176342339047</v>
      </c>
      <c r="I27" s="72">
        <f t="shared" si="5"/>
        <v>-16.319331086026324</v>
      </c>
      <c r="J27" s="72">
        <f t="shared" si="5"/>
        <v>1.3001245173670615</v>
      </c>
      <c r="K27" s="72">
        <f t="shared" si="5"/>
        <v>24.649667272972039</v>
      </c>
      <c r="L27" s="72">
        <f t="shared" si="5"/>
        <v>275.81404938109904</v>
      </c>
      <c r="M27" s="72">
        <f t="shared" si="5"/>
        <v>287.99067792847063</v>
      </c>
      <c r="N27" s="72">
        <f t="shared" si="5"/>
        <v>298.23867355443031</v>
      </c>
      <c r="O27" s="72">
        <f t="shared" si="5"/>
        <v>303.52782687382182</v>
      </c>
      <c r="P27" s="72">
        <f t="shared" si="5"/>
        <v>318.16189141508198</v>
      </c>
    </row>
    <row r="28" spans="1:31" ht="18" customHeight="1" x14ac:dyDescent="0.25">
      <c r="G28" s="49"/>
      <c r="H28" s="49"/>
      <c r="I28" s="49"/>
      <c r="J28" s="49"/>
      <c r="K28" s="49"/>
      <c r="L28" s="49"/>
      <c r="M28" s="49"/>
      <c r="N28" s="49"/>
      <c r="O28" s="49"/>
      <c r="P28" s="49"/>
    </row>
    <row r="29" spans="1:31" s="12" customFormat="1" ht="18" customHeight="1" x14ac:dyDescent="0.25">
      <c r="C29" s="15"/>
      <c r="G29" s="88"/>
      <c r="H29" s="88"/>
      <c r="I29" s="88"/>
      <c r="J29" s="88"/>
      <c r="K29" s="88"/>
      <c r="L29" s="19"/>
      <c r="M29" s="19"/>
      <c r="N29" s="19"/>
      <c r="O29" s="19"/>
      <c r="P29" s="19"/>
    </row>
    <row r="30" spans="1:31" ht="18" customHeight="1" x14ac:dyDescent="0.25">
      <c r="G30" s="87"/>
      <c r="H30" s="87"/>
      <c r="I30" s="87"/>
      <c r="J30" s="87"/>
      <c r="K30" s="87"/>
    </row>
    <row r="31" spans="1:31" ht="18" customHeight="1" x14ac:dyDescent="0.25">
      <c r="G31" s="87"/>
      <c r="H31" s="87"/>
      <c r="I31" s="87"/>
      <c r="J31" s="87"/>
      <c r="K31" s="87"/>
    </row>
  </sheetData>
  <pageMargins left="0.7" right="0.7" top="0.75" bottom="0.75" header="0.3" footer="0.3"/>
  <pageSetup scale="70" orientation="landscape" r:id="rId1"/>
  <headerFooter>
    <oddFooter>&amp;CPage &amp;P of &amp;N&amp;RAnthored byShashi Bhushan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"/>
  <sheetViews>
    <sheetView showGridLines="0" zoomScaleSheetLayoutView="110" workbookViewId="0">
      <pane xSplit="4" ySplit="4" topLeftCell="E26" activePane="bottomRight" state="frozen"/>
      <selection activeCell="Q8" sqref="Q8"/>
      <selection pane="topRight" activeCell="Q8" sqref="Q8"/>
      <selection pane="bottomLeft" activeCell="Q8" sqref="Q8"/>
      <selection pane="bottomRight" activeCell="D36" sqref="D36"/>
    </sheetView>
  </sheetViews>
  <sheetFormatPr defaultColWidth="11.7109375" defaultRowHeight="15" x14ac:dyDescent="0.25"/>
  <cols>
    <col min="1" max="2" width="3.7109375" style="13" customWidth="1"/>
    <col min="3" max="3" width="30.7109375" style="16" customWidth="1"/>
    <col min="4" max="4" width="6.7109375" style="13" customWidth="1"/>
    <col min="5" max="6" width="6.28515625" style="13" customWidth="1"/>
    <col min="7" max="16384" width="11.7109375" style="13"/>
  </cols>
  <sheetData>
    <row r="1" spans="1:17" x14ac:dyDescent="0.25">
      <c r="A1" s="12" t="s">
        <v>177</v>
      </c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x14ac:dyDescent="0.25">
      <c r="A2" s="12"/>
      <c r="B2" s="89" t="s">
        <v>187</v>
      </c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7" x14ac:dyDescent="0.25">
      <c r="B3" s="13" t="s">
        <v>28</v>
      </c>
      <c r="E3" s="16"/>
      <c r="F3" s="16"/>
      <c r="G3" s="18">
        <f>Assumptions!G3</f>
        <v>1</v>
      </c>
      <c r="H3" s="18">
        <f>Assumptions!H3</f>
        <v>2</v>
      </c>
      <c r="I3" s="18">
        <f>Assumptions!I3</f>
        <v>3</v>
      </c>
      <c r="J3" s="18">
        <f>Assumptions!J3</f>
        <v>4</v>
      </c>
      <c r="K3" s="18">
        <f>Assumptions!K3</f>
        <v>5</v>
      </c>
      <c r="L3" s="18">
        <f>Assumptions!L3</f>
        <v>6</v>
      </c>
      <c r="M3" s="18">
        <f>Assumptions!M3</f>
        <v>7</v>
      </c>
      <c r="N3" s="18">
        <f>Assumptions!N3</f>
        <v>8</v>
      </c>
      <c r="O3" s="18">
        <f>Assumptions!O3</f>
        <v>9</v>
      </c>
      <c r="P3" s="18">
        <f>Assumptions!P3</f>
        <v>10</v>
      </c>
    </row>
    <row r="4" spans="1:17" ht="18" customHeight="1" x14ac:dyDescent="0.25">
      <c r="A4" s="43" t="s">
        <v>135</v>
      </c>
      <c r="B4" s="12"/>
      <c r="C4" s="13"/>
      <c r="E4" s="12"/>
      <c r="F4" s="12"/>
      <c r="G4" s="20" t="str">
        <f>Assumptions!G4</f>
        <v>FY11A</v>
      </c>
      <c r="H4" s="20" t="str">
        <f>Assumptions!H4</f>
        <v>FY12A</v>
      </c>
      <c r="I4" s="20" t="str">
        <f>Assumptions!I4</f>
        <v>FY13A</v>
      </c>
      <c r="J4" s="20" t="str">
        <f>Assumptions!J4</f>
        <v>FY14A</v>
      </c>
      <c r="K4" s="20" t="str">
        <f>Assumptions!K4</f>
        <v>FY15A</v>
      </c>
      <c r="L4" s="20" t="str">
        <f>Assumptions!L4</f>
        <v>FY16P</v>
      </c>
      <c r="M4" s="20" t="str">
        <f>Assumptions!M4</f>
        <v>FY17P</v>
      </c>
      <c r="N4" s="20" t="str">
        <f>Assumptions!N4</f>
        <v>FY18P</v>
      </c>
      <c r="O4" s="20" t="str">
        <f>Assumptions!O4</f>
        <v>FY19P</v>
      </c>
      <c r="P4" s="20" t="str">
        <f>Assumptions!P4</f>
        <v>FY20P</v>
      </c>
    </row>
    <row r="5" spans="1:17" x14ac:dyDescent="0.25">
      <c r="A5" s="12" t="s">
        <v>137</v>
      </c>
      <c r="C5" s="13"/>
      <c r="E5" s="74"/>
      <c r="F5" s="74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7" s="12" customFormat="1" x14ac:dyDescent="0.25">
      <c r="A6" s="15"/>
      <c r="B6" s="12" t="s">
        <v>84</v>
      </c>
    </row>
    <row r="7" spans="1:17" x14ac:dyDescent="0.25">
      <c r="A7" s="16"/>
      <c r="C7" s="13" t="s">
        <v>125</v>
      </c>
      <c r="G7" s="41">
        <v>24.66</v>
      </c>
      <c r="H7" s="41">
        <v>52.804772383561641</v>
      </c>
      <c r="I7" s="41">
        <v>46.8</v>
      </c>
      <c r="J7" s="41">
        <v>71.530068097345904</v>
      </c>
      <c r="K7" s="41">
        <v>54.659835897688353</v>
      </c>
      <c r="L7" s="92"/>
      <c r="M7" s="92"/>
      <c r="N7" s="92"/>
      <c r="O7" s="92"/>
      <c r="P7" s="92"/>
      <c r="Q7" s="13" t="s">
        <v>180</v>
      </c>
    </row>
    <row r="8" spans="1:17" x14ac:dyDescent="0.25">
      <c r="A8" s="16"/>
      <c r="C8" s="13" t="s">
        <v>151</v>
      </c>
      <c r="G8" s="41">
        <v>9.6359999999999992</v>
      </c>
      <c r="H8" s="41">
        <v>5.752320000000001</v>
      </c>
      <c r="I8" s="41">
        <v>8</v>
      </c>
      <c r="J8" s="41">
        <v>8.566656</v>
      </c>
      <c r="K8" s="41">
        <v>9.4474800000000005</v>
      </c>
      <c r="L8" s="85">
        <f>Assumptions!L74*'P &amp; L'!L8*2-BS!K8</f>
        <v>9.4474800000000005</v>
      </c>
      <c r="M8" s="85">
        <f>Assumptions!M74*'P &amp; L'!M8*2-BS!L8</f>
        <v>12.119436000000002</v>
      </c>
      <c r="N8" s="85">
        <f>Assumptions!N74*'P &amp; L'!N8*2-BS!M8</f>
        <v>12.695413499999995</v>
      </c>
      <c r="O8" s="85">
        <f>Assumptions!O74*'P &amp; L'!O8*2-BS!N8</f>
        <v>15.638245560000007</v>
      </c>
      <c r="P8" s="85">
        <f>Assumptions!P74*'P &amp; L'!P8*2-BS!O8</f>
        <v>16.504066892250002</v>
      </c>
    </row>
    <row r="9" spans="1:17" x14ac:dyDescent="0.25">
      <c r="A9" s="16"/>
      <c r="C9" s="13" t="s">
        <v>152</v>
      </c>
      <c r="G9" s="41">
        <v>5</v>
      </c>
      <c r="H9" s="41">
        <v>8</v>
      </c>
      <c r="I9" s="41">
        <v>12</v>
      </c>
      <c r="J9" s="41">
        <v>4</v>
      </c>
      <c r="K9" s="41">
        <v>7</v>
      </c>
      <c r="L9" s="85">
        <f>Assumptions!L80</f>
        <v>7</v>
      </c>
      <c r="M9" s="85">
        <f>Assumptions!M80</f>
        <v>7</v>
      </c>
      <c r="N9" s="85">
        <f>Assumptions!N80</f>
        <v>7</v>
      </c>
      <c r="O9" s="85">
        <f>Assumptions!O80</f>
        <v>7</v>
      </c>
      <c r="P9" s="85">
        <f>Assumptions!P80</f>
        <v>7</v>
      </c>
    </row>
    <row r="10" spans="1:17" x14ac:dyDescent="0.25">
      <c r="A10" s="16"/>
      <c r="C10" s="13" t="s">
        <v>153</v>
      </c>
      <c r="G10" s="41">
        <v>3.578125</v>
      </c>
      <c r="H10" s="41">
        <v>4</v>
      </c>
      <c r="I10" s="41">
        <v>10</v>
      </c>
      <c r="J10" s="41">
        <v>6</v>
      </c>
      <c r="K10" s="41">
        <v>6</v>
      </c>
      <c r="L10" s="85">
        <f>Assumptions!L75*'P &amp; L'!L12/365*2-BS!K10</f>
        <v>7.6592824270312363</v>
      </c>
      <c r="M10" s="85">
        <f>Assumptions!M75*'P &amp; L'!M12/365*2-BS!L10</f>
        <v>10.187739252100791</v>
      </c>
      <c r="N10" s="85">
        <f>Assumptions!N75*'P &amp; L'!N12/365*2-BS!M10</f>
        <v>11.090186428180704</v>
      </c>
      <c r="O10" s="85">
        <f>Assumptions!O75*'P &amp; L'!O12/365*2-BS!N10</f>
        <v>14.245987379943198</v>
      </c>
      <c r="P10" s="85">
        <f>Assumptions!P75*'P &amp; L'!P12/365*2-BS!O10</f>
        <v>15.099446499098342</v>
      </c>
    </row>
    <row r="11" spans="1:17" x14ac:dyDescent="0.25">
      <c r="A11" s="16"/>
      <c r="C11" s="13" t="s">
        <v>154</v>
      </c>
      <c r="G11" s="41">
        <v>2</v>
      </c>
      <c r="H11" s="41">
        <v>2</v>
      </c>
      <c r="I11" s="41">
        <v>2</v>
      </c>
      <c r="J11" s="41">
        <v>2</v>
      </c>
      <c r="K11" s="41">
        <v>2</v>
      </c>
      <c r="L11" s="85">
        <f>Assumptions!L81</f>
        <v>2</v>
      </c>
      <c r="M11" s="85">
        <f>Assumptions!M81</f>
        <v>2</v>
      </c>
      <c r="N11" s="85">
        <f>Assumptions!N81</f>
        <v>2</v>
      </c>
      <c r="O11" s="85">
        <f>Assumptions!O81</f>
        <v>2</v>
      </c>
      <c r="P11" s="85">
        <f>Assumptions!P81</f>
        <v>2</v>
      </c>
    </row>
    <row r="12" spans="1:17" s="83" customFormat="1" x14ac:dyDescent="0.25">
      <c r="A12" s="90"/>
      <c r="C12" s="83" t="s">
        <v>155</v>
      </c>
      <c r="G12" s="91">
        <v>15.814001712328768</v>
      </c>
      <c r="H12" s="91">
        <v>18</v>
      </c>
      <c r="I12" s="91">
        <v>25</v>
      </c>
      <c r="J12" s="91">
        <v>22</v>
      </c>
      <c r="K12" s="91">
        <v>25</v>
      </c>
      <c r="L12" s="86">
        <f>Assumptions!L76*'P &amp; L'!L7/365*2-BS!K12</f>
        <v>27.019921342867946</v>
      </c>
      <c r="M12" s="86">
        <f>Assumptions!M76*'P &amp; L'!M7/365*2-BS!L12</f>
        <v>28.893510323454812</v>
      </c>
      <c r="N12" s="86">
        <f>Assumptions!N76*'P &amp; L'!N7/365*2-BS!M12</f>
        <v>32.379990196846471</v>
      </c>
      <c r="O12" s="86">
        <f>Assumptions!O76*'P &amp; L'!O7/365*2-BS!N12</f>
        <v>34.79399583897861</v>
      </c>
      <c r="P12" s="86">
        <f>Assumptions!P76*'P &amp; L'!P7/365*2-BS!O12</f>
        <v>38.592965490061466</v>
      </c>
    </row>
    <row r="13" spans="1:17" s="12" customFormat="1" x14ac:dyDescent="0.25">
      <c r="A13" s="15"/>
      <c r="C13" s="72" t="s">
        <v>150</v>
      </c>
      <c r="D13" s="72"/>
      <c r="E13" s="72"/>
      <c r="F13" s="72"/>
      <c r="G13" s="72">
        <f>SUM(G7:G12)</f>
        <v>60.688126712328767</v>
      </c>
      <c r="H13" s="72">
        <f t="shared" ref="H13:P13" si="0">SUM(H7:H12)</f>
        <v>90.557092383561638</v>
      </c>
      <c r="I13" s="72">
        <f t="shared" si="0"/>
        <v>103.8</v>
      </c>
      <c r="J13" s="72">
        <f t="shared" si="0"/>
        <v>114.0967240973459</v>
      </c>
      <c r="K13" s="72">
        <f t="shared" si="0"/>
        <v>104.10731589768835</v>
      </c>
      <c r="L13" s="72">
        <f t="shared" si="0"/>
        <v>53.126683769899181</v>
      </c>
      <c r="M13" s="72">
        <f t="shared" si="0"/>
        <v>60.200685575555603</v>
      </c>
      <c r="N13" s="72">
        <f t="shared" si="0"/>
        <v>65.165590125027165</v>
      </c>
      <c r="O13" s="72">
        <f t="shared" si="0"/>
        <v>73.678228778921806</v>
      </c>
      <c r="P13" s="72">
        <f t="shared" si="0"/>
        <v>79.196478881409803</v>
      </c>
    </row>
    <row r="14" spans="1:17" s="12" customFormat="1" x14ac:dyDescent="0.25">
      <c r="A14" s="15"/>
      <c r="B14" s="12" t="s">
        <v>88</v>
      </c>
    </row>
    <row r="15" spans="1:17" x14ac:dyDescent="0.25">
      <c r="A15" s="16"/>
      <c r="C15" s="13" t="s">
        <v>89</v>
      </c>
      <c r="G15" s="41">
        <v>0</v>
      </c>
      <c r="H15" s="41">
        <v>300</v>
      </c>
      <c r="I15" s="41">
        <v>285</v>
      </c>
      <c r="J15" s="41">
        <v>270</v>
      </c>
      <c r="K15" s="41">
        <v>255</v>
      </c>
      <c r="L15" s="92"/>
      <c r="M15" s="92"/>
      <c r="N15" s="92"/>
      <c r="O15" s="92"/>
      <c r="P15" s="92"/>
      <c r="Q15" s="13" t="s">
        <v>180</v>
      </c>
    </row>
    <row r="16" spans="1:17" x14ac:dyDescent="0.25">
      <c r="A16" s="16"/>
      <c r="C16" s="13" t="s">
        <v>156</v>
      </c>
      <c r="G16" s="41">
        <v>300</v>
      </c>
      <c r="H16" s="41">
        <v>285</v>
      </c>
      <c r="I16" s="41">
        <v>270</v>
      </c>
      <c r="J16" s="41">
        <v>255</v>
      </c>
      <c r="K16" s="41">
        <v>240</v>
      </c>
      <c r="L16" s="92"/>
      <c r="M16" s="92"/>
      <c r="N16" s="92"/>
      <c r="O16" s="92"/>
      <c r="P16" s="92"/>
      <c r="Q16" s="13" t="s">
        <v>180</v>
      </c>
    </row>
    <row r="17" spans="1:17" s="12" customFormat="1" x14ac:dyDescent="0.25">
      <c r="A17" s="15"/>
      <c r="C17" s="72" t="s">
        <v>166</v>
      </c>
      <c r="D17" s="72"/>
      <c r="E17" s="72"/>
      <c r="F17" s="72"/>
      <c r="G17" s="72">
        <f>SUM(G15:G16)</f>
        <v>300</v>
      </c>
      <c r="H17" s="72">
        <f t="shared" ref="H17:P17" si="1">SUM(H15:H16)</f>
        <v>585</v>
      </c>
      <c r="I17" s="72">
        <f t="shared" si="1"/>
        <v>555</v>
      </c>
      <c r="J17" s="72">
        <f t="shared" si="1"/>
        <v>525</v>
      </c>
      <c r="K17" s="72">
        <f t="shared" si="1"/>
        <v>495</v>
      </c>
      <c r="L17" s="72">
        <f t="shared" si="1"/>
        <v>0</v>
      </c>
      <c r="M17" s="72">
        <f t="shared" si="1"/>
        <v>0</v>
      </c>
      <c r="N17" s="72">
        <f t="shared" si="1"/>
        <v>0</v>
      </c>
      <c r="O17" s="72">
        <f t="shared" si="1"/>
        <v>0</v>
      </c>
      <c r="P17" s="72">
        <f t="shared" si="1"/>
        <v>0</v>
      </c>
    </row>
    <row r="18" spans="1:17" s="12" customFormat="1" x14ac:dyDescent="0.25">
      <c r="A18" s="15"/>
      <c r="B18" s="12" t="s">
        <v>90</v>
      </c>
    </row>
    <row r="19" spans="1:17" x14ac:dyDescent="0.25">
      <c r="A19" s="16"/>
      <c r="C19" s="13" t="s">
        <v>91</v>
      </c>
      <c r="G19" s="42">
        <v>200</v>
      </c>
      <c r="H19" s="42">
        <v>300</v>
      </c>
      <c r="I19" s="42">
        <v>300</v>
      </c>
      <c r="J19" s="42">
        <v>300</v>
      </c>
      <c r="K19" s="42">
        <v>300</v>
      </c>
      <c r="L19" s="93"/>
      <c r="M19" s="93"/>
      <c r="N19" s="93"/>
      <c r="O19" s="93"/>
      <c r="P19" s="93"/>
      <c r="Q19" s="13" t="s">
        <v>180</v>
      </c>
    </row>
    <row r="20" spans="1:17" x14ac:dyDescent="0.25">
      <c r="A20" s="16"/>
      <c r="C20" s="13" t="s">
        <v>157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93"/>
      <c r="M20" s="93"/>
      <c r="N20" s="93"/>
      <c r="O20" s="93"/>
      <c r="P20" s="93"/>
      <c r="Q20" s="13" t="s">
        <v>180</v>
      </c>
    </row>
    <row r="21" spans="1:17" x14ac:dyDescent="0.25">
      <c r="A21" s="16"/>
      <c r="C21" s="13" t="s">
        <v>158</v>
      </c>
      <c r="G21" s="42">
        <v>13.513711596875007</v>
      </c>
      <c r="H21" s="42">
        <v>-20.998051826515464</v>
      </c>
      <c r="I21" s="42">
        <v>-37.317382912541788</v>
      </c>
      <c r="J21" s="42">
        <v>-36.017258395174728</v>
      </c>
      <c r="K21" s="42">
        <v>-11.36759112220269</v>
      </c>
      <c r="L21" s="93"/>
      <c r="M21" s="93"/>
      <c r="N21" s="93"/>
      <c r="O21" s="93"/>
      <c r="P21" s="93"/>
      <c r="Q21" s="13" t="s">
        <v>180</v>
      </c>
    </row>
    <row r="22" spans="1:17" s="12" customFormat="1" x14ac:dyDescent="0.25">
      <c r="A22" s="15"/>
      <c r="C22" s="72" t="s">
        <v>167</v>
      </c>
      <c r="D22" s="72"/>
      <c r="E22" s="72"/>
      <c r="F22" s="72"/>
      <c r="G22" s="72">
        <f>SUM(G19:G21)</f>
        <v>213.513711596875</v>
      </c>
      <c r="H22" s="72">
        <f t="shared" ref="H22:P22" si="2">SUM(H19:H21)</f>
        <v>279.00194817348455</v>
      </c>
      <c r="I22" s="72">
        <f t="shared" si="2"/>
        <v>262.6826170874582</v>
      </c>
      <c r="J22" s="72">
        <f t="shared" si="2"/>
        <v>263.98274160482526</v>
      </c>
      <c r="K22" s="72">
        <f t="shared" si="2"/>
        <v>288.63240887779733</v>
      </c>
      <c r="L22" s="72">
        <f t="shared" si="2"/>
        <v>0</v>
      </c>
      <c r="M22" s="72">
        <f t="shared" si="2"/>
        <v>0</v>
      </c>
      <c r="N22" s="72">
        <f t="shared" si="2"/>
        <v>0</v>
      </c>
      <c r="O22" s="72">
        <f t="shared" si="2"/>
        <v>0</v>
      </c>
      <c r="P22" s="72">
        <f t="shared" si="2"/>
        <v>0</v>
      </c>
    </row>
    <row r="23" spans="1:17" s="12" customFormat="1" ht="15.75" thickBot="1" x14ac:dyDescent="0.3">
      <c r="A23" s="15"/>
      <c r="B23" s="62" t="s">
        <v>92</v>
      </c>
      <c r="C23" s="62"/>
      <c r="D23" s="62"/>
      <c r="E23" s="62"/>
      <c r="F23" s="62"/>
      <c r="G23" s="62">
        <f>SUM(G13,G17,G22)</f>
        <v>574.20183830920382</v>
      </c>
      <c r="H23" s="62">
        <f t="shared" ref="H23:P23" si="3">SUM(H13,H17,H22)</f>
        <v>954.55904055704627</v>
      </c>
      <c r="I23" s="62">
        <f t="shared" si="3"/>
        <v>921.48261708745815</v>
      </c>
      <c r="J23" s="62">
        <f t="shared" si="3"/>
        <v>903.07946570217121</v>
      </c>
      <c r="K23" s="62">
        <f t="shared" si="3"/>
        <v>887.73972477548568</v>
      </c>
      <c r="L23" s="62">
        <f t="shared" si="3"/>
        <v>53.126683769899181</v>
      </c>
      <c r="M23" s="62">
        <f t="shared" si="3"/>
        <v>60.200685575555603</v>
      </c>
      <c r="N23" s="62">
        <f t="shared" si="3"/>
        <v>65.165590125027165</v>
      </c>
      <c r="O23" s="62">
        <f t="shared" si="3"/>
        <v>73.678228778921806</v>
      </c>
      <c r="P23" s="62">
        <f t="shared" si="3"/>
        <v>79.196478881409803</v>
      </c>
    </row>
    <row r="24" spans="1:17" ht="15.75" thickTop="1" x14ac:dyDescent="0.25">
      <c r="A24" s="12" t="s">
        <v>93</v>
      </c>
      <c r="C24" s="13"/>
      <c r="E24" s="74"/>
      <c r="F24" s="74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7" s="12" customFormat="1" x14ac:dyDescent="0.25">
      <c r="A25" s="15"/>
      <c r="B25" s="12" t="s">
        <v>138</v>
      </c>
      <c r="G25" s="75"/>
      <c r="H25" s="75"/>
      <c r="I25" s="75"/>
      <c r="J25" s="75"/>
      <c r="K25" s="75"/>
    </row>
    <row r="26" spans="1:17" x14ac:dyDescent="0.25">
      <c r="A26" s="16"/>
      <c r="C26" s="13" t="s">
        <v>94</v>
      </c>
      <c r="G26" s="41">
        <v>20.5</v>
      </c>
      <c r="H26" s="41">
        <v>10.230346039623214</v>
      </c>
      <c r="I26" s="41">
        <v>62.469661237458169</v>
      </c>
      <c r="J26" s="41">
        <v>87.016819314928043</v>
      </c>
      <c r="K26" s="41">
        <v>101.01027349433852</v>
      </c>
      <c r="L26" s="92"/>
      <c r="M26" s="92"/>
      <c r="N26" s="92"/>
      <c r="O26" s="92"/>
      <c r="P26" s="92"/>
      <c r="Q26" s="13" t="s">
        <v>180</v>
      </c>
    </row>
    <row r="27" spans="1:17" x14ac:dyDescent="0.25">
      <c r="A27" s="16"/>
      <c r="C27" s="13" t="s">
        <v>127</v>
      </c>
      <c r="G27" s="41">
        <v>0</v>
      </c>
      <c r="H27" s="41">
        <v>0</v>
      </c>
      <c r="I27" s="41">
        <v>0</v>
      </c>
      <c r="J27" s="41">
        <v>12.672246093749999</v>
      </c>
      <c r="K27" s="41">
        <v>14.304726562500001</v>
      </c>
      <c r="L27" s="92"/>
      <c r="M27" s="92"/>
      <c r="N27" s="92"/>
      <c r="O27" s="92"/>
      <c r="P27" s="92"/>
      <c r="Q27" s="13" t="s">
        <v>180</v>
      </c>
    </row>
    <row r="28" spans="1:17" s="83" customFormat="1" x14ac:dyDescent="0.25">
      <c r="A28" s="90"/>
      <c r="C28" s="83" t="s">
        <v>159</v>
      </c>
      <c r="G28" s="91">
        <v>35.78125</v>
      </c>
      <c r="H28" s="91">
        <v>59.871575342465754</v>
      </c>
      <c r="I28" s="91">
        <v>65</v>
      </c>
      <c r="J28" s="91">
        <v>69.101763698630137</v>
      </c>
      <c r="K28" s="91">
        <v>71.700256849315068</v>
      </c>
      <c r="L28" s="83">
        <f>Assumptions!L77*'P &amp; L'!L7/365*2-BS!K28</f>
        <v>73.649523373404193</v>
      </c>
      <c r="M28" s="83">
        <f>Assumptions!M77*'P &amp; L'!M7/365*2-BS!L28</f>
        <v>78.365118969410801</v>
      </c>
      <c r="N28" s="83">
        <f>Assumptions!N77*'P &amp; L'!N7/365*2-BS!M28</f>
        <v>81.736608196537716</v>
      </c>
      <c r="O28" s="83">
        <f>Assumptions!O77*'P &amp; L'!O7/365*2-BS!N28</f>
        <v>86.198356893024979</v>
      </c>
      <c r="P28" s="83">
        <f>Assumptions!P77*'P &amp; L'!P7/365*2-BS!O28</f>
        <v>90.942584246037271</v>
      </c>
    </row>
    <row r="29" spans="1:17" s="83" customFormat="1" x14ac:dyDescent="0.25">
      <c r="A29" s="90"/>
      <c r="C29" s="83" t="s">
        <v>160</v>
      </c>
      <c r="G29" s="91">
        <v>32.938356164383563</v>
      </c>
      <c r="H29" s="91">
        <v>51.888698630136986</v>
      </c>
      <c r="I29" s="91">
        <v>55</v>
      </c>
      <c r="J29" s="91">
        <v>60.009426369863014</v>
      </c>
      <c r="K29" s="91">
        <v>51.21446917808219</v>
      </c>
      <c r="L29" s="83">
        <f>Assumptions!L78*'P &amp; L'!L5/365*2-BS!K29</f>
        <v>61.827868149072863</v>
      </c>
      <c r="M29" s="83">
        <f>Assumptions!M78*'P &amp; L'!M5/365*2-BS!L29</f>
        <v>70.962471725421409</v>
      </c>
      <c r="N29" s="83">
        <f>Assumptions!N78*'P &amp; L'!N5/365*2-BS!M29</f>
        <v>76.800901054311197</v>
      </c>
      <c r="O29" s="83">
        <f>Assumptions!O78*'P &amp; L'!O5/365*2-BS!N29</f>
        <v>87.71970808935049</v>
      </c>
      <c r="P29" s="83">
        <f>Assumptions!P78*'P &amp; L'!P5/365*2-BS!O29</f>
        <v>96.148925237977409</v>
      </c>
    </row>
    <row r="30" spans="1:17" x14ac:dyDescent="0.25">
      <c r="A30" s="16"/>
      <c r="C30" s="13" t="s">
        <v>161</v>
      </c>
      <c r="G30" s="41">
        <v>10</v>
      </c>
      <c r="H30" s="41">
        <v>14</v>
      </c>
      <c r="I30" s="41">
        <v>15</v>
      </c>
      <c r="J30" s="41">
        <v>20</v>
      </c>
      <c r="K30" s="41">
        <v>16</v>
      </c>
      <c r="L30" s="13">
        <f>Assumptions!L82</f>
        <v>16</v>
      </c>
      <c r="M30" s="13">
        <f>Assumptions!M82</f>
        <v>16</v>
      </c>
      <c r="N30" s="13">
        <f>Assumptions!N82</f>
        <v>16</v>
      </c>
      <c r="O30" s="13">
        <f>Assumptions!O82</f>
        <v>16</v>
      </c>
      <c r="P30" s="13">
        <f>Assumptions!P82</f>
        <v>16</v>
      </c>
    </row>
    <row r="31" spans="1:17" s="12" customFormat="1" x14ac:dyDescent="0.25">
      <c r="A31" s="15"/>
      <c r="C31" s="72" t="s">
        <v>99</v>
      </c>
      <c r="D31" s="72"/>
      <c r="E31" s="72"/>
      <c r="F31" s="72"/>
      <c r="G31" s="72">
        <f>SUM(G26:G30)</f>
        <v>99.219606164383563</v>
      </c>
      <c r="H31" s="72">
        <f t="shared" ref="H31:P31" si="4">SUM(H26:H30)</f>
        <v>135.99062001222595</v>
      </c>
      <c r="I31" s="72">
        <f t="shared" si="4"/>
        <v>197.46966123745818</v>
      </c>
      <c r="J31" s="72">
        <f t="shared" si="4"/>
        <v>248.80025547717119</v>
      </c>
      <c r="K31" s="72">
        <f t="shared" si="4"/>
        <v>254.22972608423578</v>
      </c>
      <c r="L31" s="72">
        <f t="shared" si="4"/>
        <v>151.47739152247706</v>
      </c>
      <c r="M31" s="72">
        <f t="shared" si="4"/>
        <v>165.32759069483222</v>
      </c>
      <c r="N31" s="72">
        <f t="shared" si="4"/>
        <v>174.53750925084893</v>
      </c>
      <c r="O31" s="72">
        <f t="shared" si="4"/>
        <v>189.91806498237548</v>
      </c>
      <c r="P31" s="72">
        <f t="shared" si="4"/>
        <v>203.09150948401469</v>
      </c>
    </row>
    <row r="32" spans="1:17" s="12" customFormat="1" x14ac:dyDescent="0.25">
      <c r="A32" s="15"/>
      <c r="B32" s="12" t="s">
        <v>95</v>
      </c>
    </row>
    <row r="33" spans="1:16" x14ac:dyDescent="0.25">
      <c r="A33" s="16"/>
      <c r="C33" s="13" t="s">
        <v>96</v>
      </c>
      <c r="G33" s="41">
        <v>505</v>
      </c>
      <c r="H33" s="41">
        <v>990</v>
      </c>
      <c r="I33" s="41">
        <v>1044</v>
      </c>
      <c r="J33" s="41">
        <v>1059</v>
      </c>
      <c r="K33" s="41">
        <v>1124</v>
      </c>
      <c r="L33" s="94">
        <f>'Asset Schedule'!L137:P137</f>
        <v>1300</v>
      </c>
      <c r="M33" s="94">
        <f>'Asset Schedule'!M137:Q137</f>
        <v>1505</v>
      </c>
      <c r="N33" s="94">
        <f>'Asset Schedule'!N137:R137</f>
        <v>1645</v>
      </c>
      <c r="O33" s="94">
        <f>'Asset Schedule'!O137:S137</f>
        <v>1750</v>
      </c>
      <c r="P33" s="94">
        <f>'Asset Schedule'!P137:T137</f>
        <v>1874.5</v>
      </c>
    </row>
    <row r="34" spans="1:16" x14ac:dyDescent="0.25">
      <c r="A34" s="16"/>
      <c r="C34" s="13" t="s">
        <v>162</v>
      </c>
      <c r="G34" s="41">
        <v>73.382999999999996</v>
      </c>
      <c r="H34" s="41">
        <v>225.84899999999999</v>
      </c>
      <c r="I34" s="41">
        <v>388.80150000000003</v>
      </c>
      <c r="J34" s="41">
        <v>551.88850000000002</v>
      </c>
      <c r="K34" s="41">
        <v>715.10900000000004</v>
      </c>
      <c r="L34" s="13">
        <f>'P &amp; L'!L18+K34</f>
        <v>715.10900000000004</v>
      </c>
      <c r="M34" s="13">
        <f>'P &amp; L'!M18+L34</f>
        <v>715.10900000000004</v>
      </c>
      <c r="N34" s="13">
        <f>'P &amp; L'!N18+M34</f>
        <v>715.10900000000004</v>
      </c>
      <c r="O34" s="13">
        <f>'P &amp; L'!O18+N34</f>
        <v>715.10900000000004</v>
      </c>
      <c r="P34" s="13">
        <f>'P &amp; L'!P18+O34</f>
        <v>715.10900000000004</v>
      </c>
    </row>
    <row r="35" spans="1:16" s="12" customFormat="1" x14ac:dyDescent="0.25">
      <c r="A35" s="15"/>
      <c r="C35" s="72" t="s">
        <v>163</v>
      </c>
      <c r="D35" s="72"/>
      <c r="E35" s="72"/>
      <c r="F35" s="72"/>
      <c r="G35" s="72">
        <f>G33-G34</f>
        <v>431.61700000000002</v>
      </c>
      <c r="H35" s="72">
        <f t="shared" ref="H35:P35" si="5">H33-H34</f>
        <v>764.15100000000007</v>
      </c>
      <c r="I35" s="72">
        <f t="shared" si="5"/>
        <v>655.19849999999997</v>
      </c>
      <c r="J35" s="72">
        <f t="shared" si="5"/>
        <v>507.11149999999998</v>
      </c>
      <c r="K35" s="72">
        <f t="shared" si="5"/>
        <v>408.89099999999996</v>
      </c>
      <c r="L35" s="72">
        <f t="shared" si="5"/>
        <v>584.89099999999996</v>
      </c>
      <c r="M35" s="72">
        <f t="shared" si="5"/>
        <v>789.89099999999996</v>
      </c>
      <c r="N35" s="72">
        <f t="shared" si="5"/>
        <v>929.89099999999996</v>
      </c>
      <c r="O35" s="72">
        <f t="shared" si="5"/>
        <v>1034.8910000000001</v>
      </c>
      <c r="P35" s="72">
        <f t="shared" si="5"/>
        <v>1159.3910000000001</v>
      </c>
    </row>
    <row r="36" spans="1:16" x14ac:dyDescent="0.25">
      <c r="A36" s="16"/>
      <c r="B36" s="13" t="s">
        <v>164</v>
      </c>
      <c r="C36" s="13"/>
      <c r="G36" s="41">
        <v>39.999999999999993</v>
      </c>
      <c r="H36" s="41">
        <v>39.999999999999993</v>
      </c>
      <c r="I36" s="41">
        <v>0.99999999999999978</v>
      </c>
      <c r="J36" s="41">
        <v>0.99999999999999978</v>
      </c>
      <c r="K36" s="41">
        <v>0.99999999999999978</v>
      </c>
      <c r="L36" s="94">
        <f>'Asset Schedule'!L21</f>
        <v>14.999999999999996</v>
      </c>
      <c r="M36" s="94">
        <f>'Asset Schedule'!M21</f>
        <v>14.999999999999996</v>
      </c>
      <c r="N36" s="94">
        <f>'Asset Schedule'!N21</f>
        <v>9.9999999999999982</v>
      </c>
      <c r="O36" s="94">
        <f>'Asset Schedule'!O21</f>
        <v>9.9999999999999982</v>
      </c>
      <c r="P36" s="94">
        <f>'Asset Schedule'!P21</f>
        <v>10.499999999999998</v>
      </c>
    </row>
    <row r="37" spans="1:16" x14ac:dyDescent="0.25">
      <c r="A37" s="16"/>
      <c r="B37" s="13" t="s">
        <v>183</v>
      </c>
      <c r="C37" s="13"/>
      <c r="G37" s="41">
        <v>3.3592316999999983</v>
      </c>
      <c r="H37" s="41">
        <v>14.411420099999996</v>
      </c>
      <c r="I37" s="41">
        <v>32.814455850000002</v>
      </c>
      <c r="J37" s="41">
        <v>56.167710225000008</v>
      </c>
      <c r="K37" s="41">
        <v>83.618998691250013</v>
      </c>
      <c r="L37" s="95"/>
      <c r="M37" s="95"/>
      <c r="N37" s="95"/>
      <c r="O37" s="95"/>
      <c r="P37" s="95"/>
    </row>
    <row r="38" spans="1:16" x14ac:dyDescent="0.25">
      <c r="A38" s="16"/>
      <c r="B38" s="13" t="s">
        <v>126</v>
      </c>
      <c r="C38" s="13"/>
      <c r="G38" s="41">
        <v>0</v>
      </c>
      <c r="H38" s="41">
        <v>0</v>
      </c>
      <c r="I38" s="41">
        <v>35</v>
      </c>
      <c r="J38" s="41">
        <v>90</v>
      </c>
      <c r="K38" s="41">
        <v>140</v>
      </c>
      <c r="L38" s="13">
        <f>Assumptions!L83</f>
        <v>140</v>
      </c>
      <c r="M38" s="13">
        <f>Assumptions!M83</f>
        <v>140</v>
      </c>
      <c r="N38" s="13">
        <f>Assumptions!N83</f>
        <v>140</v>
      </c>
      <c r="O38" s="13">
        <f>Assumptions!O83</f>
        <v>140</v>
      </c>
      <c r="P38" s="13">
        <f>Assumptions!P83</f>
        <v>140</v>
      </c>
    </row>
    <row r="39" spans="1:16" s="12" customFormat="1" ht="15.75" thickBot="1" x14ac:dyDescent="0.3">
      <c r="A39" s="15"/>
      <c r="B39" s="62" t="s">
        <v>98</v>
      </c>
      <c r="C39" s="62"/>
      <c r="D39" s="62"/>
      <c r="E39" s="62"/>
      <c r="F39" s="62"/>
      <c r="G39" s="62">
        <f>SUM(G31,G35:G38)</f>
        <v>574.19583786438363</v>
      </c>
      <c r="H39" s="62">
        <f t="shared" ref="H39:P39" si="6">SUM(H31,H35:H38)</f>
        <v>954.55304011222597</v>
      </c>
      <c r="I39" s="62">
        <f t="shared" si="6"/>
        <v>921.48261708745827</v>
      </c>
      <c r="J39" s="62">
        <f t="shared" si="6"/>
        <v>903.07946570217109</v>
      </c>
      <c r="K39" s="62">
        <f t="shared" si="6"/>
        <v>887.73972477548568</v>
      </c>
      <c r="L39" s="62">
        <f t="shared" si="6"/>
        <v>891.36839152247705</v>
      </c>
      <c r="M39" s="62">
        <f t="shared" si="6"/>
        <v>1110.2185906948321</v>
      </c>
      <c r="N39" s="62">
        <f t="shared" si="6"/>
        <v>1254.4285092508489</v>
      </c>
      <c r="O39" s="62">
        <f t="shared" si="6"/>
        <v>1374.8090649823755</v>
      </c>
      <c r="P39" s="62">
        <f t="shared" si="6"/>
        <v>1512.9825094840148</v>
      </c>
    </row>
    <row r="40" spans="1:16" ht="15.75" thickTop="1" x14ac:dyDescent="0.25">
      <c r="D40" s="12" t="s">
        <v>100</v>
      </c>
      <c r="G40" s="76" t="b">
        <f t="shared" ref="G40:P40" si="7">ABS(G23-G39)&lt;0.1</f>
        <v>1</v>
      </c>
      <c r="H40" s="76" t="b">
        <f t="shared" si="7"/>
        <v>1</v>
      </c>
      <c r="I40" s="76" t="b">
        <f t="shared" si="7"/>
        <v>1</v>
      </c>
      <c r="J40" s="76" t="b">
        <f t="shared" si="7"/>
        <v>1</v>
      </c>
      <c r="K40" s="76" t="b">
        <f t="shared" si="7"/>
        <v>1</v>
      </c>
      <c r="L40" s="76" t="b">
        <f t="shared" si="7"/>
        <v>0</v>
      </c>
      <c r="M40" s="76" t="b">
        <f t="shared" si="7"/>
        <v>0</v>
      </c>
      <c r="N40" s="76" t="b">
        <f t="shared" si="7"/>
        <v>0</v>
      </c>
      <c r="O40" s="76" t="b">
        <f t="shared" si="7"/>
        <v>0</v>
      </c>
      <c r="P40" s="76" t="b">
        <f t="shared" si="7"/>
        <v>0</v>
      </c>
    </row>
    <row r="42" spans="1:16" x14ac:dyDescent="0.25">
      <c r="D42" s="12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pageMargins left="0.7" right="0.7" top="0.75" bottom="0.75" header="0.3" footer="0.3"/>
  <pageSetup scale="75" orientation="landscape" r:id="rId1"/>
  <headerFooter>
    <oddFooter>&amp;CPage &amp;P of &amp;N&amp;RAnthored byShashi Bhushan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39"/>
  <sheetViews>
    <sheetView showGridLines="0" tabSelected="1" zoomScaleSheetLayoutView="110" workbookViewId="0">
      <pane xSplit="4" ySplit="4" topLeftCell="E145" activePane="bottomRight" state="frozen"/>
      <selection activeCell="Q8" sqref="Q8"/>
      <selection pane="topRight" activeCell="Q8" sqref="Q8"/>
      <selection pane="bottomLeft" activeCell="Q8" sqref="Q8"/>
      <selection pane="bottomRight" activeCell="I161" sqref="I161"/>
    </sheetView>
  </sheetViews>
  <sheetFormatPr defaultColWidth="11.7109375" defaultRowHeight="15" x14ac:dyDescent="0.25"/>
  <cols>
    <col min="1" max="2" width="3.7109375" style="13" customWidth="1"/>
    <col min="3" max="3" width="30.7109375" style="16" customWidth="1"/>
    <col min="4" max="4" width="6.7109375" style="13" customWidth="1"/>
    <col min="5" max="6" width="6.28515625" style="13" customWidth="1"/>
    <col min="7" max="16384" width="11.7109375" style="13"/>
  </cols>
  <sheetData>
    <row r="1" spans="1:16" ht="15" customHeight="1" x14ac:dyDescent="0.25">
      <c r="A1" s="12" t="s">
        <v>178</v>
      </c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customHeight="1" x14ac:dyDescent="0.25">
      <c r="A2" s="12"/>
      <c r="B2" s="89" t="s">
        <v>187</v>
      </c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B3" s="13" t="s">
        <v>28</v>
      </c>
      <c r="E3" s="16"/>
      <c r="F3" s="42"/>
      <c r="G3" s="18">
        <f>Assumptions!G3</f>
        <v>1</v>
      </c>
      <c r="H3" s="18">
        <f>Assumptions!H3</f>
        <v>2</v>
      </c>
      <c r="I3" s="18">
        <f>Assumptions!I3</f>
        <v>3</v>
      </c>
      <c r="J3" s="18">
        <f>Assumptions!J3</f>
        <v>4</v>
      </c>
      <c r="K3" s="18">
        <f>Assumptions!K3</f>
        <v>5</v>
      </c>
      <c r="L3" s="18">
        <f>Assumptions!L3</f>
        <v>6</v>
      </c>
      <c r="M3" s="18">
        <f>Assumptions!M3</f>
        <v>7</v>
      </c>
      <c r="N3" s="18">
        <f>Assumptions!N3</f>
        <v>8</v>
      </c>
      <c r="O3" s="18">
        <f>Assumptions!O3</f>
        <v>9</v>
      </c>
      <c r="P3" s="18">
        <f>Assumptions!P3</f>
        <v>10</v>
      </c>
    </row>
    <row r="4" spans="1:16" ht="15" customHeight="1" x14ac:dyDescent="0.25">
      <c r="A4" s="43" t="s">
        <v>135</v>
      </c>
      <c r="B4" s="12"/>
      <c r="C4" s="13"/>
      <c r="E4" s="12"/>
      <c r="F4" s="12"/>
      <c r="G4" s="20" t="str">
        <f>Assumptions!G4</f>
        <v>FY11A</v>
      </c>
      <c r="H4" s="20" t="str">
        <f>Assumptions!H4</f>
        <v>FY12A</v>
      </c>
      <c r="I4" s="20" t="str">
        <f>Assumptions!I4</f>
        <v>FY13A</v>
      </c>
      <c r="J4" s="20" t="str">
        <f>Assumptions!J4</f>
        <v>FY14A</v>
      </c>
      <c r="K4" s="20" t="str">
        <f>Assumptions!K4</f>
        <v>FY15A</v>
      </c>
      <c r="L4" s="20" t="str">
        <f>Assumptions!L4</f>
        <v>FY16P</v>
      </c>
      <c r="M4" s="20" t="str">
        <f>Assumptions!M4</f>
        <v>FY17P</v>
      </c>
      <c r="N4" s="20" t="str">
        <f>Assumptions!N4</f>
        <v>FY18P</v>
      </c>
      <c r="O4" s="20" t="str">
        <f>Assumptions!O4</f>
        <v>FY19P</v>
      </c>
      <c r="P4" s="20" t="str">
        <f>Assumptions!P4</f>
        <v>FY20P</v>
      </c>
    </row>
    <row r="5" spans="1:16" x14ac:dyDescent="0.25">
      <c r="A5" s="12" t="s">
        <v>103</v>
      </c>
      <c r="C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A6" s="16"/>
      <c r="B6" s="13" t="s">
        <v>133</v>
      </c>
      <c r="C6" s="13"/>
      <c r="G6" s="42">
        <f>Assumptions!G85</f>
        <v>100</v>
      </c>
      <c r="H6" s="42">
        <f>Assumptions!H85</f>
        <v>50</v>
      </c>
      <c r="I6" s="42">
        <f>Assumptions!I85</f>
        <v>0</v>
      </c>
      <c r="J6" s="42">
        <f>Assumptions!J85</f>
        <v>0</v>
      </c>
      <c r="K6" s="42">
        <f>Assumptions!K85</f>
        <v>50</v>
      </c>
      <c r="L6" s="42">
        <f>Assumptions!L85</f>
        <v>0</v>
      </c>
      <c r="M6" s="42">
        <f>Assumptions!M85</f>
        <v>50</v>
      </c>
      <c r="N6" s="42">
        <f>Assumptions!N85</f>
        <v>30</v>
      </c>
      <c r="O6" s="42">
        <f>Assumptions!O85</f>
        <v>0</v>
      </c>
      <c r="P6" s="42">
        <f>Assumptions!P85</f>
        <v>0</v>
      </c>
    </row>
    <row r="7" spans="1:16" x14ac:dyDescent="0.25">
      <c r="A7" s="16"/>
      <c r="B7" s="13" t="s">
        <v>134</v>
      </c>
      <c r="C7" s="13"/>
      <c r="G7" s="42">
        <f>Assumptions!G86</f>
        <v>400</v>
      </c>
      <c r="H7" s="42">
        <f>Assumptions!H86</f>
        <v>400</v>
      </c>
      <c r="I7" s="42">
        <f>Assumptions!I86</f>
        <v>10</v>
      </c>
      <c r="J7" s="42">
        <f>Assumptions!J86</f>
        <v>10</v>
      </c>
      <c r="K7" s="42">
        <f>Assumptions!K86</f>
        <v>10</v>
      </c>
      <c r="L7" s="42">
        <f>Assumptions!L86</f>
        <v>150</v>
      </c>
      <c r="M7" s="42">
        <f>Assumptions!M86</f>
        <v>150</v>
      </c>
      <c r="N7" s="42">
        <f>Assumptions!N86</f>
        <v>100</v>
      </c>
      <c r="O7" s="42">
        <f>Assumptions!O86</f>
        <v>100</v>
      </c>
      <c r="P7" s="42">
        <f>Assumptions!P86</f>
        <v>105</v>
      </c>
    </row>
    <row r="8" spans="1:16" x14ac:dyDescent="0.25">
      <c r="A8" s="16"/>
      <c r="B8" s="13" t="s">
        <v>104</v>
      </c>
      <c r="C8" s="13"/>
      <c r="G8" s="42">
        <f>Assumptions!G87</f>
        <v>10</v>
      </c>
      <c r="H8" s="42">
        <f>Assumptions!H87</f>
        <v>10</v>
      </c>
      <c r="I8" s="42">
        <f>Assumptions!I87</f>
        <v>5</v>
      </c>
      <c r="J8" s="42">
        <f>Assumptions!J87</f>
        <v>5</v>
      </c>
      <c r="K8" s="42">
        <f>Assumptions!K87</f>
        <v>5</v>
      </c>
      <c r="L8" s="42">
        <f>Assumptions!L87</f>
        <v>10</v>
      </c>
      <c r="M8" s="42">
        <f>Assumptions!M87</f>
        <v>5</v>
      </c>
      <c r="N8" s="42">
        <f>Assumptions!N87</f>
        <v>5</v>
      </c>
      <c r="O8" s="42">
        <f>Assumptions!O87</f>
        <v>5</v>
      </c>
      <c r="P8" s="42">
        <f>Assumptions!P87</f>
        <v>10</v>
      </c>
    </row>
    <row r="9" spans="1:16" x14ac:dyDescent="0.25">
      <c r="A9" s="16"/>
      <c r="B9" s="13" t="s">
        <v>105</v>
      </c>
      <c r="C9" s="13"/>
      <c r="G9" s="42">
        <f>Assumptions!G88</f>
        <v>35</v>
      </c>
      <c r="H9" s="42">
        <f>Assumptions!H88</f>
        <v>25</v>
      </c>
      <c r="I9" s="42">
        <f>Assumptions!I88</f>
        <v>0</v>
      </c>
      <c r="J9" s="42">
        <f>Assumptions!J88</f>
        <v>0</v>
      </c>
      <c r="K9" s="42">
        <f>Assumptions!K88</f>
        <v>0</v>
      </c>
      <c r="L9" s="42">
        <f>Assumptions!L88</f>
        <v>30</v>
      </c>
      <c r="M9" s="42">
        <f>Assumptions!M88</f>
        <v>0</v>
      </c>
      <c r="N9" s="42">
        <f>Assumptions!N88</f>
        <v>0</v>
      </c>
      <c r="O9" s="42">
        <f>Assumptions!O88</f>
        <v>0</v>
      </c>
      <c r="P9" s="42">
        <f>Assumptions!P88</f>
        <v>10</v>
      </c>
    </row>
    <row r="10" spans="1:16" s="74" customFormat="1" x14ac:dyDescent="0.25">
      <c r="B10" s="77" t="s">
        <v>53</v>
      </c>
      <c r="C10" s="77"/>
      <c r="D10" s="77"/>
      <c r="E10" s="77"/>
      <c r="F10" s="77"/>
      <c r="G10" s="97">
        <f>SUM(G6:G9)</f>
        <v>545</v>
      </c>
      <c r="H10" s="97">
        <f t="shared" ref="H10:P10" si="0">SUM(H6:H9)</f>
        <v>485</v>
      </c>
      <c r="I10" s="97">
        <f t="shared" si="0"/>
        <v>15</v>
      </c>
      <c r="J10" s="97">
        <f t="shared" si="0"/>
        <v>15</v>
      </c>
      <c r="K10" s="97">
        <f t="shared" si="0"/>
        <v>65</v>
      </c>
      <c r="L10" s="97">
        <f t="shared" si="0"/>
        <v>190</v>
      </c>
      <c r="M10" s="97">
        <f t="shared" si="0"/>
        <v>205</v>
      </c>
      <c r="N10" s="97">
        <f t="shared" si="0"/>
        <v>135</v>
      </c>
      <c r="O10" s="97">
        <f t="shared" si="0"/>
        <v>105</v>
      </c>
      <c r="P10" s="97">
        <f t="shared" si="0"/>
        <v>125</v>
      </c>
    </row>
    <row r="11" spans="1:16" x14ac:dyDescent="0.25">
      <c r="A11" s="12" t="s">
        <v>111</v>
      </c>
      <c r="C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6"/>
      <c r="B12" s="13" t="s">
        <v>133</v>
      </c>
      <c r="C12" s="13"/>
      <c r="G12" s="81">
        <f>Assumptions!G91</f>
        <v>1</v>
      </c>
      <c r="H12" s="81">
        <f>Assumptions!H91</f>
        <v>1</v>
      </c>
      <c r="I12" s="81">
        <f>Assumptions!I91</f>
        <v>1</v>
      </c>
      <c r="J12" s="81">
        <f>Assumptions!J91</f>
        <v>1</v>
      </c>
      <c r="K12" s="81">
        <f>Assumptions!K91</f>
        <v>1</v>
      </c>
      <c r="L12" s="81">
        <f>Assumptions!L91</f>
        <v>1</v>
      </c>
      <c r="M12" s="81">
        <f>Assumptions!M91</f>
        <v>1</v>
      </c>
      <c r="N12" s="81">
        <f>Assumptions!N91</f>
        <v>1</v>
      </c>
      <c r="O12" s="81">
        <f>Assumptions!O91</f>
        <v>1</v>
      </c>
      <c r="P12" s="81">
        <f>Assumptions!P91</f>
        <v>1</v>
      </c>
    </row>
    <row r="13" spans="1:16" x14ac:dyDescent="0.25">
      <c r="A13" s="16"/>
      <c r="B13" s="13" t="s">
        <v>134</v>
      </c>
      <c r="C13" s="13"/>
      <c r="G13" s="81">
        <f>Assumptions!G92</f>
        <v>0.9</v>
      </c>
      <c r="H13" s="81">
        <f>Assumptions!H92</f>
        <v>0.9</v>
      </c>
      <c r="I13" s="81">
        <f>Assumptions!I92</f>
        <v>0.9</v>
      </c>
      <c r="J13" s="81">
        <f>Assumptions!J92</f>
        <v>0.9</v>
      </c>
      <c r="K13" s="81">
        <f>Assumptions!K92</f>
        <v>0.9</v>
      </c>
      <c r="L13" s="81">
        <f>Assumptions!L92</f>
        <v>0.9</v>
      </c>
      <c r="M13" s="81">
        <f>Assumptions!M92</f>
        <v>0.9</v>
      </c>
      <c r="N13" s="81">
        <f>Assumptions!N92</f>
        <v>0.9</v>
      </c>
      <c r="O13" s="81">
        <f>Assumptions!O92</f>
        <v>0.9</v>
      </c>
      <c r="P13" s="81">
        <f>Assumptions!P92</f>
        <v>0.9</v>
      </c>
    </row>
    <row r="14" spans="1:16" x14ac:dyDescent="0.25">
      <c r="A14" s="16"/>
      <c r="B14" s="13" t="s">
        <v>104</v>
      </c>
      <c r="C14" s="13"/>
      <c r="G14" s="81">
        <f>Assumptions!G93</f>
        <v>1</v>
      </c>
      <c r="H14" s="81">
        <f>Assumptions!H93</f>
        <v>1</v>
      </c>
      <c r="I14" s="81">
        <f>Assumptions!I93</f>
        <v>1</v>
      </c>
      <c r="J14" s="81">
        <f>Assumptions!J93</f>
        <v>1</v>
      </c>
      <c r="K14" s="81">
        <f>Assumptions!K93</f>
        <v>1</v>
      </c>
      <c r="L14" s="81">
        <f>Assumptions!L93</f>
        <v>1</v>
      </c>
      <c r="M14" s="81">
        <f>Assumptions!M93</f>
        <v>1</v>
      </c>
      <c r="N14" s="81">
        <f>Assumptions!N93</f>
        <v>1</v>
      </c>
      <c r="O14" s="81">
        <f>Assumptions!O93</f>
        <v>1</v>
      </c>
      <c r="P14" s="81">
        <f>Assumptions!P93</f>
        <v>1</v>
      </c>
    </row>
    <row r="15" spans="1:16" x14ac:dyDescent="0.25">
      <c r="A15" s="16"/>
      <c r="B15" s="13" t="s">
        <v>105</v>
      </c>
      <c r="C15" s="13"/>
      <c r="G15" s="81">
        <f>Assumptions!G94</f>
        <v>1</v>
      </c>
      <c r="H15" s="81">
        <f>Assumptions!H94</f>
        <v>1</v>
      </c>
      <c r="I15" s="81">
        <f>Assumptions!I94</f>
        <v>1</v>
      </c>
      <c r="J15" s="81">
        <f>Assumptions!J94</f>
        <v>1</v>
      </c>
      <c r="K15" s="81">
        <f>Assumptions!K94</f>
        <v>1</v>
      </c>
      <c r="L15" s="81">
        <f>Assumptions!L94</f>
        <v>1</v>
      </c>
      <c r="M15" s="81">
        <f>Assumptions!M94</f>
        <v>1</v>
      </c>
      <c r="N15" s="81">
        <f>Assumptions!N94</f>
        <v>1</v>
      </c>
      <c r="O15" s="81">
        <f>Assumptions!O94</f>
        <v>1</v>
      </c>
      <c r="P15" s="81">
        <f>Assumptions!P94</f>
        <v>1</v>
      </c>
    </row>
    <row r="16" spans="1:16" x14ac:dyDescent="0.25">
      <c r="A16" s="12" t="s">
        <v>112</v>
      </c>
      <c r="C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6"/>
      <c r="B17" s="13" t="s">
        <v>133</v>
      </c>
      <c r="C17" s="13"/>
      <c r="G17" s="98">
        <f>(1-G12)*G6</f>
        <v>0</v>
      </c>
      <c r="H17" s="98">
        <f t="shared" ref="H17:P17" si="1">(1-H12)*H6</f>
        <v>0</v>
      </c>
      <c r="I17" s="98">
        <f t="shared" si="1"/>
        <v>0</v>
      </c>
      <c r="J17" s="98">
        <f t="shared" si="1"/>
        <v>0</v>
      </c>
      <c r="K17" s="98">
        <f t="shared" si="1"/>
        <v>0</v>
      </c>
      <c r="L17" s="98">
        <f t="shared" si="1"/>
        <v>0</v>
      </c>
      <c r="M17" s="98">
        <f t="shared" si="1"/>
        <v>0</v>
      </c>
      <c r="N17" s="98">
        <f t="shared" si="1"/>
        <v>0</v>
      </c>
      <c r="O17" s="98">
        <f t="shared" si="1"/>
        <v>0</v>
      </c>
      <c r="P17" s="98">
        <f t="shared" si="1"/>
        <v>0</v>
      </c>
    </row>
    <row r="18" spans="1:16" x14ac:dyDescent="0.25">
      <c r="A18" s="16"/>
      <c r="B18" s="13" t="s">
        <v>134</v>
      </c>
      <c r="C18" s="13"/>
      <c r="G18" s="98">
        <f t="shared" ref="G18:P20" si="2">(1-G13)*G7</f>
        <v>39.999999999999993</v>
      </c>
      <c r="H18" s="98">
        <f t="shared" si="2"/>
        <v>39.999999999999993</v>
      </c>
      <c r="I18" s="98">
        <f t="shared" si="2"/>
        <v>0.99999999999999978</v>
      </c>
      <c r="J18" s="98">
        <f t="shared" si="2"/>
        <v>0.99999999999999978</v>
      </c>
      <c r="K18" s="98">
        <f t="shared" si="2"/>
        <v>0.99999999999999978</v>
      </c>
      <c r="L18" s="98">
        <f t="shared" si="2"/>
        <v>14.999999999999996</v>
      </c>
      <c r="M18" s="98">
        <f t="shared" si="2"/>
        <v>14.999999999999996</v>
      </c>
      <c r="N18" s="98">
        <f t="shared" si="2"/>
        <v>9.9999999999999982</v>
      </c>
      <c r="O18" s="98">
        <f t="shared" si="2"/>
        <v>9.9999999999999982</v>
      </c>
      <c r="P18" s="98">
        <f t="shared" si="2"/>
        <v>10.499999999999998</v>
      </c>
    </row>
    <row r="19" spans="1:16" x14ac:dyDescent="0.25">
      <c r="A19" s="16"/>
      <c r="B19" s="13" t="s">
        <v>104</v>
      </c>
      <c r="C19" s="13"/>
      <c r="G19" s="98">
        <f t="shared" si="2"/>
        <v>0</v>
      </c>
      <c r="H19" s="98">
        <f t="shared" si="2"/>
        <v>0</v>
      </c>
      <c r="I19" s="98">
        <f t="shared" si="2"/>
        <v>0</v>
      </c>
      <c r="J19" s="98">
        <f t="shared" si="2"/>
        <v>0</v>
      </c>
      <c r="K19" s="98">
        <f t="shared" si="2"/>
        <v>0</v>
      </c>
      <c r="L19" s="98">
        <f t="shared" si="2"/>
        <v>0</v>
      </c>
      <c r="M19" s="98">
        <f t="shared" si="2"/>
        <v>0</v>
      </c>
      <c r="N19" s="98">
        <f t="shared" si="2"/>
        <v>0</v>
      </c>
      <c r="O19" s="98">
        <f t="shared" si="2"/>
        <v>0</v>
      </c>
      <c r="P19" s="98">
        <f t="shared" si="2"/>
        <v>0</v>
      </c>
    </row>
    <row r="20" spans="1:16" x14ac:dyDescent="0.25">
      <c r="A20" s="16"/>
      <c r="B20" s="13" t="s">
        <v>105</v>
      </c>
      <c r="C20" s="13"/>
      <c r="G20" s="98">
        <f t="shared" si="2"/>
        <v>0</v>
      </c>
      <c r="H20" s="98">
        <f t="shared" si="2"/>
        <v>0</v>
      </c>
      <c r="I20" s="98">
        <f t="shared" si="2"/>
        <v>0</v>
      </c>
      <c r="J20" s="98">
        <f t="shared" si="2"/>
        <v>0</v>
      </c>
      <c r="K20" s="98">
        <f t="shared" si="2"/>
        <v>0</v>
      </c>
      <c r="L20" s="98">
        <f t="shared" si="2"/>
        <v>0</v>
      </c>
      <c r="M20" s="98">
        <f t="shared" si="2"/>
        <v>0</v>
      </c>
      <c r="N20" s="98">
        <f t="shared" si="2"/>
        <v>0</v>
      </c>
      <c r="O20" s="98">
        <f t="shared" si="2"/>
        <v>0</v>
      </c>
      <c r="P20" s="98">
        <f t="shared" si="2"/>
        <v>0</v>
      </c>
    </row>
    <row r="21" spans="1:16" s="74" customFormat="1" x14ac:dyDescent="0.25">
      <c r="A21" s="61"/>
      <c r="B21" s="77" t="s">
        <v>53</v>
      </c>
      <c r="C21" s="77"/>
      <c r="D21" s="77"/>
      <c r="E21" s="77"/>
      <c r="F21" s="77"/>
      <c r="G21" s="97">
        <f>SUM(G17:G20)</f>
        <v>39.999999999999993</v>
      </c>
      <c r="H21" s="97">
        <f t="shared" ref="H21:P21" si="3">SUM(H17:H20)</f>
        <v>39.999999999999993</v>
      </c>
      <c r="I21" s="97">
        <f t="shared" si="3"/>
        <v>0.99999999999999978</v>
      </c>
      <c r="J21" s="97">
        <f t="shared" si="3"/>
        <v>0.99999999999999978</v>
      </c>
      <c r="K21" s="97">
        <f t="shared" si="3"/>
        <v>0.99999999999999978</v>
      </c>
      <c r="L21" s="97">
        <f t="shared" si="3"/>
        <v>14.999999999999996</v>
      </c>
      <c r="M21" s="97">
        <f t="shared" si="3"/>
        <v>14.999999999999996</v>
      </c>
      <c r="N21" s="97">
        <f t="shared" si="3"/>
        <v>9.9999999999999982</v>
      </c>
      <c r="O21" s="97">
        <f t="shared" si="3"/>
        <v>9.9999999999999982</v>
      </c>
      <c r="P21" s="97">
        <f t="shared" si="3"/>
        <v>10.499999999999998</v>
      </c>
    </row>
    <row r="22" spans="1:16" x14ac:dyDescent="0.25">
      <c r="A22" s="12" t="s">
        <v>113</v>
      </c>
      <c r="C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6"/>
      <c r="B23" s="13" t="s">
        <v>133</v>
      </c>
      <c r="C23" s="13"/>
      <c r="G23" s="98">
        <f>F17+G12*G6</f>
        <v>100</v>
      </c>
      <c r="H23" s="98">
        <f t="shared" ref="H23:P23" si="4">G17+H12*H6</f>
        <v>50</v>
      </c>
      <c r="I23" s="98">
        <f t="shared" si="4"/>
        <v>0</v>
      </c>
      <c r="J23" s="98">
        <f t="shared" si="4"/>
        <v>0</v>
      </c>
      <c r="K23" s="98">
        <f t="shared" si="4"/>
        <v>50</v>
      </c>
      <c r="L23" s="98">
        <f t="shared" si="4"/>
        <v>0</v>
      </c>
      <c r="M23" s="98">
        <f t="shared" si="4"/>
        <v>50</v>
      </c>
      <c r="N23" s="98">
        <f t="shared" si="4"/>
        <v>30</v>
      </c>
      <c r="O23" s="98">
        <f t="shared" si="4"/>
        <v>0</v>
      </c>
      <c r="P23" s="98">
        <f t="shared" si="4"/>
        <v>0</v>
      </c>
    </row>
    <row r="24" spans="1:16" x14ac:dyDescent="0.25">
      <c r="A24" s="16"/>
      <c r="B24" s="13" t="s">
        <v>134</v>
      </c>
      <c r="C24" s="13"/>
      <c r="G24" s="98">
        <f t="shared" ref="G24" si="5">F18+G13*G7</f>
        <v>360</v>
      </c>
      <c r="H24" s="98">
        <f t="shared" ref="H24:P24" si="6">G18+H13*H7</f>
        <v>400</v>
      </c>
      <c r="I24" s="98">
        <f t="shared" si="6"/>
        <v>48.999999999999993</v>
      </c>
      <c r="J24" s="98">
        <f t="shared" si="6"/>
        <v>10</v>
      </c>
      <c r="K24" s="98">
        <f t="shared" si="6"/>
        <v>10</v>
      </c>
      <c r="L24" s="98">
        <f t="shared" si="6"/>
        <v>136</v>
      </c>
      <c r="M24" s="98">
        <f t="shared" si="6"/>
        <v>150</v>
      </c>
      <c r="N24" s="98">
        <f t="shared" si="6"/>
        <v>105</v>
      </c>
      <c r="O24" s="98">
        <f t="shared" si="6"/>
        <v>100</v>
      </c>
      <c r="P24" s="98">
        <f t="shared" si="6"/>
        <v>104.5</v>
      </c>
    </row>
    <row r="25" spans="1:16" x14ac:dyDescent="0.25">
      <c r="A25" s="16"/>
      <c r="B25" s="13" t="s">
        <v>104</v>
      </c>
      <c r="C25" s="13"/>
      <c r="G25" s="98">
        <f t="shared" ref="G25" si="7">F19+G14*G8</f>
        <v>10</v>
      </c>
      <c r="H25" s="98">
        <f t="shared" ref="H25:P25" si="8">G19+H14*H8</f>
        <v>10</v>
      </c>
      <c r="I25" s="98">
        <f t="shared" si="8"/>
        <v>5</v>
      </c>
      <c r="J25" s="98">
        <f t="shared" si="8"/>
        <v>5</v>
      </c>
      <c r="K25" s="98">
        <f t="shared" si="8"/>
        <v>5</v>
      </c>
      <c r="L25" s="98">
        <f t="shared" si="8"/>
        <v>10</v>
      </c>
      <c r="M25" s="98">
        <f t="shared" si="8"/>
        <v>5</v>
      </c>
      <c r="N25" s="98">
        <f t="shared" si="8"/>
        <v>5</v>
      </c>
      <c r="O25" s="98">
        <f t="shared" si="8"/>
        <v>5</v>
      </c>
      <c r="P25" s="98">
        <f t="shared" si="8"/>
        <v>10</v>
      </c>
    </row>
    <row r="26" spans="1:16" x14ac:dyDescent="0.25">
      <c r="A26" s="16"/>
      <c r="B26" s="13" t="s">
        <v>105</v>
      </c>
      <c r="C26" s="13"/>
      <c r="G26" s="98">
        <f t="shared" ref="G26" si="9">F20+G15*G9</f>
        <v>35</v>
      </c>
      <c r="H26" s="98">
        <f t="shared" ref="H26:P26" si="10">G20+H15*H9</f>
        <v>25</v>
      </c>
      <c r="I26" s="98">
        <f t="shared" si="10"/>
        <v>0</v>
      </c>
      <c r="J26" s="98">
        <f t="shared" si="10"/>
        <v>0</v>
      </c>
      <c r="K26" s="98">
        <f t="shared" si="10"/>
        <v>0</v>
      </c>
      <c r="L26" s="98">
        <f t="shared" si="10"/>
        <v>30</v>
      </c>
      <c r="M26" s="98">
        <f t="shared" si="10"/>
        <v>0</v>
      </c>
      <c r="N26" s="98">
        <f t="shared" si="10"/>
        <v>0</v>
      </c>
      <c r="O26" s="98">
        <f t="shared" si="10"/>
        <v>0</v>
      </c>
      <c r="P26" s="98">
        <f t="shared" si="10"/>
        <v>10</v>
      </c>
    </row>
    <row r="27" spans="1:16" s="74" customFormat="1" x14ac:dyDescent="0.25">
      <c r="A27" s="61"/>
      <c r="B27" s="77" t="s">
        <v>53</v>
      </c>
      <c r="C27" s="77"/>
      <c r="D27" s="77"/>
      <c r="E27" s="77"/>
      <c r="F27" s="77"/>
      <c r="G27" s="97">
        <f>SUM(G23:G26)</f>
        <v>505</v>
      </c>
      <c r="H27" s="97">
        <f t="shared" ref="H27:P27" si="11">SUM(H23:H26)</f>
        <v>485</v>
      </c>
      <c r="I27" s="97">
        <f t="shared" si="11"/>
        <v>53.999999999999993</v>
      </c>
      <c r="J27" s="97">
        <f t="shared" si="11"/>
        <v>15</v>
      </c>
      <c r="K27" s="97">
        <f t="shared" si="11"/>
        <v>65</v>
      </c>
      <c r="L27" s="97">
        <f t="shared" si="11"/>
        <v>176</v>
      </c>
      <c r="M27" s="97">
        <f t="shared" si="11"/>
        <v>205</v>
      </c>
      <c r="N27" s="97">
        <f t="shared" si="11"/>
        <v>140</v>
      </c>
      <c r="O27" s="97">
        <f t="shared" si="11"/>
        <v>105</v>
      </c>
      <c r="P27" s="97">
        <f t="shared" si="11"/>
        <v>124.5</v>
      </c>
    </row>
    <row r="28" spans="1:16" x14ac:dyDescent="0.25">
      <c r="A28" s="12" t="s">
        <v>117</v>
      </c>
      <c r="C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6"/>
      <c r="B29" s="13" t="s">
        <v>133</v>
      </c>
      <c r="C29" s="13"/>
      <c r="G29" s="42">
        <f>Assumptions!G96</f>
        <v>0</v>
      </c>
      <c r="H29" s="42">
        <f>Assumptions!H96</f>
        <v>0</v>
      </c>
      <c r="I29" s="42">
        <f>Assumptions!I96</f>
        <v>0</v>
      </c>
      <c r="J29" s="42">
        <f>Assumptions!J96</f>
        <v>0</v>
      </c>
      <c r="K29" s="42">
        <f>Assumptions!K96</f>
        <v>0</v>
      </c>
      <c r="L29" s="42">
        <f>Assumptions!L96</f>
        <v>0</v>
      </c>
      <c r="M29" s="42">
        <f>Assumptions!M96</f>
        <v>0</v>
      </c>
      <c r="N29" s="42">
        <f>Assumptions!N96</f>
        <v>0</v>
      </c>
      <c r="O29" s="42">
        <f>Assumptions!O96</f>
        <v>0</v>
      </c>
      <c r="P29" s="42">
        <f>Assumptions!P96</f>
        <v>0</v>
      </c>
    </row>
    <row r="30" spans="1:16" x14ac:dyDescent="0.25">
      <c r="A30" s="16"/>
      <c r="B30" s="13" t="s">
        <v>134</v>
      </c>
      <c r="C30" s="13"/>
      <c r="G30" s="42">
        <f>Assumptions!G97</f>
        <v>0</v>
      </c>
      <c r="H30" s="42">
        <f>Assumptions!H97</f>
        <v>0</v>
      </c>
      <c r="I30" s="42">
        <f>Assumptions!I97</f>
        <v>0</v>
      </c>
      <c r="J30" s="42">
        <f>Assumptions!J97</f>
        <v>0</v>
      </c>
      <c r="K30" s="42">
        <f>Assumptions!K97</f>
        <v>0</v>
      </c>
      <c r="L30" s="42">
        <f>Assumptions!L97</f>
        <v>0</v>
      </c>
      <c r="M30" s="42">
        <f>Assumptions!M97</f>
        <v>0</v>
      </c>
      <c r="N30" s="42">
        <f>Assumptions!N97</f>
        <v>0</v>
      </c>
      <c r="O30" s="42">
        <f>Assumptions!O97</f>
        <v>0</v>
      </c>
      <c r="P30" s="42">
        <f>Assumptions!P97</f>
        <v>0</v>
      </c>
    </row>
    <row r="31" spans="1:16" x14ac:dyDescent="0.25">
      <c r="A31" s="16"/>
      <c r="B31" s="13" t="s">
        <v>104</v>
      </c>
      <c r="C31" s="13"/>
      <c r="G31" s="42">
        <f>Assumptions!G98</f>
        <v>0</v>
      </c>
      <c r="H31" s="42">
        <f>Assumptions!H98</f>
        <v>0</v>
      </c>
      <c r="I31" s="42">
        <f>Assumptions!I98</f>
        <v>0</v>
      </c>
      <c r="J31" s="42">
        <f>Assumptions!J98</f>
        <v>0</v>
      </c>
      <c r="K31" s="42">
        <f>Assumptions!K98</f>
        <v>0</v>
      </c>
      <c r="L31" s="42">
        <f>Assumptions!L98</f>
        <v>0</v>
      </c>
      <c r="M31" s="42">
        <f>Assumptions!M98</f>
        <v>0</v>
      </c>
      <c r="N31" s="42">
        <f>Assumptions!N98</f>
        <v>0</v>
      </c>
      <c r="O31" s="42">
        <f>Assumptions!O98</f>
        <v>0</v>
      </c>
      <c r="P31" s="42">
        <f>Assumptions!P98</f>
        <v>0</v>
      </c>
    </row>
    <row r="32" spans="1:16" x14ac:dyDescent="0.25">
      <c r="A32" s="16"/>
      <c r="B32" s="13" t="s">
        <v>105</v>
      </c>
      <c r="C32" s="13"/>
      <c r="G32" s="42">
        <f>Assumptions!G99</f>
        <v>0</v>
      </c>
      <c r="H32" s="42">
        <f>Assumptions!H99</f>
        <v>0</v>
      </c>
      <c r="I32" s="42">
        <f>Assumptions!I99</f>
        <v>0</v>
      </c>
      <c r="J32" s="42">
        <f>Assumptions!J99</f>
        <v>0</v>
      </c>
      <c r="K32" s="42">
        <f>Assumptions!K99</f>
        <v>0</v>
      </c>
      <c r="L32" s="42">
        <f>Assumptions!L99</f>
        <v>0</v>
      </c>
      <c r="M32" s="42">
        <f>Assumptions!M99</f>
        <v>0</v>
      </c>
      <c r="N32" s="42">
        <f>Assumptions!N99</f>
        <v>0</v>
      </c>
      <c r="O32" s="42">
        <f>Assumptions!O99</f>
        <v>0</v>
      </c>
      <c r="P32" s="42">
        <f>Assumptions!P99</f>
        <v>0</v>
      </c>
    </row>
    <row r="33" spans="1:16" s="74" customFormat="1" x14ac:dyDescent="0.25">
      <c r="A33" s="61"/>
      <c r="B33" s="77" t="s">
        <v>53</v>
      </c>
      <c r="C33" s="77"/>
      <c r="D33" s="77"/>
      <c r="E33" s="77"/>
      <c r="F33" s="77"/>
      <c r="G33" s="78">
        <f>SUM(G29:G32)</f>
        <v>0</v>
      </c>
      <c r="H33" s="78">
        <f t="shared" ref="H33" si="12">SUM(H29:H32)</f>
        <v>0</v>
      </c>
      <c r="I33" s="78">
        <f t="shared" ref="I33" si="13">SUM(I29:I32)</f>
        <v>0</v>
      </c>
      <c r="J33" s="78">
        <f t="shared" ref="J33" si="14">SUM(J29:J32)</f>
        <v>0</v>
      </c>
      <c r="K33" s="78">
        <f t="shared" ref="K33" si="15">SUM(K29:K32)</f>
        <v>0</v>
      </c>
      <c r="L33" s="78">
        <f t="shared" ref="L33" si="16">SUM(L29:L32)</f>
        <v>0</v>
      </c>
      <c r="M33" s="78">
        <f t="shared" ref="M33" si="17">SUM(M29:M32)</f>
        <v>0</v>
      </c>
      <c r="N33" s="78">
        <f t="shared" ref="N33" si="18">SUM(N29:N32)</f>
        <v>0</v>
      </c>
      <c r="O33" s="78">
        <f t="shared" ref="O33" si="19">SUM(O29:O32)</f>
        <v>0</v>
      </c>
      <c r="P33" s="78">
        <f t="shared" ref="P33" si="20">SUM(P29:P32)</f>
        <v>0</v>
      </c>
    </row>
    <row r="34" spans="1:16" x14ac:dyDescent="0.25">
      <c r="A34" s="12" t="s">
        <v>133</v>
      </c>
      <c r="C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6"/>
      <c r="B35" s="12" t="s">
        <v>96</v>
      </c>
      <c r="C35" s="13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 x14ac:dyDescent="0.25">
      <c r="A36" s="16"/>
      <c r="C36" s="13" t="s">
        <v>114</v>
      </c>
      <c r="G36" s="42">
        <v>0</v>
      </c>
      <c r="H36" s="99">
        <f>G39</f>
        <v>100</v>
      </c>
      <c r="I36" s="99">
        <f t="shared" ref="I36:P36" si="21">H39</f>
        <v>150</v>
      </c>
      <c r="J36" s="99">
        <f t="shared" si="21"/>
        <v>150</v>
      </c>
      <c r="K36" s="99">
        <f t="shared" si="21"/>
        <v>150</v>
      </c>
      <c r="L36" s="99">
        <f t="shared" si="21"/>
        <v>200</v>
      </c>
      <c r="M36" s="99">
        <f t="shared" si="21"/>
        <v>200</v>
      </c>
      <c r="N36" s="99">
        <f t="shared" si="21"/>
        <v>250</v>
      </c>
      <c r="O36" s="99">
        <f t="shared" si="21"/>
        <v>280</v>
      </c>
      <c r="P36" s="99">
        <f t="shared" si="21"/>
        <v>280</v>
      </c>
    </row>
    <row r="37" spans="1:16" x14ac:dyDescent="0.25">
      <c r="A37" s="16"/>
      <c r="C37" s="13" t="s">
        <v>115</v>
      </c>
      <c r="G37" s="99">
        <f>G23</f>
        <v>100</v>
      </c>
      <c r="H37" s="99">
        <f t="shared" ref="H37:P37" si="22">H23</f>
        <v>50</v>
      </c>
      <c r="I37" s="99">
        <f t="shared" si="22"/>
        <v>0</v>
      </c>
      <c r="J37" s="99">
        <f t="shared" si="22"/>
        <v>0</v>
      </c>
      <c r="K37" s="99">
        <f t="shared" si="22"/>
        <v>50</v>
      </c>
      <c r="L37" s="99">
        <f t="shared" si="22"/>
        <v>0</v>
      </c>
      <c r="M37" s="99">
        <f t="shared" si="22"/>
        <v>50</v>
      </c>
      <c r="N37" s="99">
        <f t="shared" si="22"/>
        <v>30</v>
      </c>
      <c r="O37" s="99">
        <f t="shared" si="22"/>
        <v>0</v>
      </c>
      <c r="P37" s="99">
        <f t="shared" si="22"/>
        <v>0</v>
      </c>
    </row>
    <row r="38" spans="1:16" x14ac:dyDescent="0.25">
      <c r="A38" s="16"/>
      <c r="C38" s="13" t="s">
        <v>116</v>
      </c>
      <c r="G38" s="99">
        <v>0</v>
      </c>
      <c r="H38" s="99">
        <v>0</v>
      </c>
      <c r="I38" s="99">
        <v>0</v>
      </c>
      <c r="J38" s="99">
        <v>0</v>
      </c>
      <c r="K38" s="99">
        <v>0</v>
      </c>
      <c r="L38" s="99">
        <v>0</v>
      </c>
      <c r="M38" s="99">
        <v>0</v>
      </c>
      <c r="N38" s="99">
        <v>0</v>
      </c>
      <c r="O38" s="99">
        <v>0</v>
      </c>
      <c r="P38" s="99">
        <v>0</v>
      </c>
    </row>
    <row r="39" spans="1:16" s="12" customFormat="1" x14ac:dyDescent="0.25">
      <c r="A39" s="15"/>
      <c r="C39" s="72" t="s">
        <v>118</v>
      </c>
      <c r="D39" s="72"/>
      <c r="E39" s="72"/>
      <c r="F39" s="72"/>
      <c r="G39" s="100">
        <f>G36+G37-G38</f>
        <v>100</v>
      </c>
      <c r="H39" s="100">
        <f t="shared" ref="H39:P39" si="23">H36+H37-H38</f>
        <v>150</v>
      </c>
      <c r="I39" s="100">
        <f t="shared" si="23"/>
        <v>150</v>
      </c>
      <c r="J39" s="100">
        <f t="shared" si="23"/>
        <v>150</v>
      </c>
      <c r="K39" s="100">
        <f t="shared" si="23"/>
        <v>200</v>
      </c>
      <c r="L39" s="100">
        <f t="shared" si="23"/>
        <v>200</v>
      </c>
      <c r="M39" s="100">
        <f t="shared" si="23"/>
        <v>250</v>
      </c>
      <c r="N39" s="100">
        <f t="shared" si="23"/>
        <v>280</v>
      </c>
      <c r="O39" s="100">
        <f t="shared" si="23"/>
        <v>280</v>
      </c>
      <c r="P39" s="100">
        <f t="shared" si="23"/>
        <v>280</v>
      </c>
    </row>
    <row r="40" spans="1:16" x14ac:dyDescent="0.25">
      <c r="A40" s="12" t="s">
        <v>134</v>
      </c>
      <c r="C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6"/>
      <c r="B41" s="12" t="s">
        <v>96</v>
      </c>
      <c r="C41" s="13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25">
      <c r="A42" s="16"/>
      <c r="C42" s="13" t="s">
        <v>114</v>
      </c>
      <c r="G42" s="42">
        <v>0</v>
      </c>
      <c r="H42" s="99">
        <f>G45</f>
        <v>360</v>
      </c>
      <c r="I42" s="99">
        <f t="shared" ref="I42:P42" si="24">H45</f>
        <v>760</v>
      </c>
      <c r="J42" s="99">
        <f t="shared" si="24"/>
        <v>809</v>
      </c>
      <c r="K42" s="99">
        <f t="shared" si="24"/>
        <v>819</v>
      </c>
      <c r="L42" s="99">
        <f t="shared" si="24"/>
        <v>829</v>
      </c>
      <c r="M42" s="99">
        <f t="shared" si="24"/>
        <v>965</v>
      </c>
      <c r="N42" s="99">
        <f t="shared" si="24"/>
        <v>1115</v>
      </c>
      <c r="O42" s="99">
        <f t="shared" si="24"/>
        <v>1220</v>
      </c>
      <c r="P42" s="99">
        <f t="shared" si="24"/>
        <v>1320</v>
      </c>
    </row>
    <row r="43" spans="1:16" x14ac:dyDescent="0.25">
      <c r="A43" s="16"/>
      <c r="C43" s="13" t="s">
        <v>115</v>
      </c>
      <c r="G43" s="99">
        <f>G24</f>
        <v>360</v>
      </c>
      <c r="H43" s="99">
        <f t="shared" ref="H43:P43" si="25">H24</f>
        <v>400</v>
      </c>
      <c r="I43" s="99">
        <f t="shared" si="25"/>
        <v>48.999999999999993</v>
      </c>
      <c r="J43" s="99">
        <f t="shared" si="25"/>
        <v>10</v>
      </c>
      <c r="K43" s="99">
        <f t="shared" si="25"/>
        <v>10</v>
      </c>
      <c r="L43" s="99">
        <f t="shared" si="25"/>
        <v>136</v>
      </c>
      <c r="M43" s="99">
        <f t="shared" si="25"/>
        <v>150</v>
      </c>
      <c r="N43" s="99">
        <f t="shared" si="25"/>
        <v>105</v>
      </c>
      <c r="O43" s="99">
        <f t="shared" si="25"/>
        <v>100</v>
      </c>
      <c r="P43" s="99">
        <f t="shared" si="25"/>
        <v>104.5</v>
      </c>
    </row>
    <row r="44" spans="1:16" x14ac:dyDescent="0.25">
      <c r="A44" s="16"/>
      <c r="C44" s="13" t="s">
        <v>116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</row>
    <row r="45" spans="1:16" s="12" customFormat="1" x14ac:dyDescent="0.25">
      <c r="C45" s="72" t="s">
        <v>118</v>
      </c>
      <c r="D45" s="72"/>
      <c r="E45" s="72"/>
      <c r="F45" s="72"/>
      <c r="G45" s="100">
        <f>G42+G43-G44</f>
        <v>360</v>
      </c>
      <c r="H45" s="100">
        <f t="shared" ref="H45:P45" si="26">H42+H43-H44</f>
        <v>760</v>
      </c>
      <c r="I45" s="100">
        <f t="shared" si="26"/>
        <v>809</v>
      </c>
      <c r="J45" s="100">
        <f t="shared" si="26"/>
        <v>819</v>
      </c>
      <c r="K45" s="100">
        <f t="shared" si="26"/>
        <v>829</v>
      </c>
      <c r="L45" s="100">
        <f t="shared" si="26"/>
        <v>965</v>
      </c>
      <c r="M45" s="100">
        <f t="shared" si="26"/>
        <v>1115</v>
      </c>
      <c r="N45" s="100">
        <f t="shared" si="26"/>
        <v>1220</v>
      </c>
      <c r="O45" s="100">
        <f t="shared" si="26"/>
        <v>1320</v>
      </c>
      <c r="P45" s="100">
        <f t="shared" si="26"/>
        <v>1424.5</v>
      </c>
    </row>
    <row r="46" spans="1:16" s="12" customFormat="1" x14ac:dyDescent="0.25">
      <c r="A46" s="12" t="s">
        <v>119</v>
      </c>
      <c r="E46" s="82">
        <f>Assumptions!E101</f>
        <v>0.18</v>
      </c>
      <c r="F46" s="45"/>
    </row>
    <row r="47" spans="1:16" s="12" customFormat="1" x14ac:dyDescent="0.25">
      <c r="A47" s="15"/>
      <c r="B47" s="12" t="s">
        <v>120</v>
      </c>
    </row>
    <row r="48" spans="1:16" x14ac:dyDescent="0.25">
      <c r="A48" s="16"/>
      <c r="C48" s="19" t="s">
        <v>9</v>
      </c>
      <c r="E48" s="99">
        <f t="array" ref="E48:E57">TRANSPOSE(G43:P43)</f>
        <v>360</v>
      </c>
      <c r="F48" s="19"/>
      <c r="G48" s="99">
        <f>MIN($E48*$E$46,$E48-SUM($F48:F48))</f>
        <v>64.8</v>
      </c>
      <c r="H48" s="99">
        <f>MIN($E48*$E$46,$E48-SUM($F48:G48))</f>
        <v>64.8</v>
      </c>
      <c r="I48" s="99">
        <f>MIN($E48*$E$46,$E48-SUM($F48:H48))</f>
        <v>64.8</v>
      </c>
      <c r="J48" s="99">
        <f>MIN($E48*$E$46,$E48-SUM($F48:I48))</f>
        <v>64.8</v>
      </c>
      <c r="K48" s="99">
        <f>MIN($E48*$E$46,$E48-SUM($F48:J48))</f>
        <v>64.8</v>
      </c>
      <c r="L48" s="99">
        <f>MIN($E48*$E$46,$E48-SUM($F48:K48))</f>
        <v>36</v>
      </c>
      <c r="M48" s="99">
        <f>MIN($E48*$E$46,$E48-SUM($F48:L48))</f>
        <v>0</v>
      </c>
      <c r="N48" s="99">
        <f>MIN($E48*$E$46,$E48-SUM($F48:M48))</f>
        <v>0</v>
      </c>
      <c r="O48" s="99">
        <f>MIN($E48*$E$46,$E48-SUM($F48:N48))</f>
        <v>0</v>
      </c>
      <c r="P48" s="99">
        <f>MIN($E48*$E$46,$E48-SUM($F48:O48))</f>
        <v>0</v>
      </c>
    </row>
    <row r="49" spans="1:16" x14ac:dyDescent="0.25">
      <c r="A49" s="16"/>
      <c r="C49" s="19" t="s">
        <v>8</v>
      </c>
      <c r="E49" s="99">
        <v>400</v>
      </c>
      <c r="F49" s="19"/>
      <c r="G49" s="19"/>
      <c r="H49" s="99">
        <f>MIN($E49*$E$46,$E49-SUM($F49:G49))</f>
        <v>72</v>
      </c>
      <c r="I49" s="99">
        <f>MIN($E49*$E$46,$E49-SUM($F49:H49))</f>
        <v>72</v>
      </c>
      <c r="J49" s="99">
        <f>MIN($E49*$E$46,$E49-SUM($F49:I49))</f>
        <v>72</v>
      </c>
      <c r="K49" s="99">
        <f>MIN($E49*$E$46,$E49-SUM($F49:J49))</f>
        <v>72</v>
      </c>
      <c r="L49" s="99">
        <f>MIN($E49*$E$46,$E49-SUM($F49:K49))</f>
        <v>72</v>
      </c>
      <c r="M49" s="99">
        <f>MIN($E49*$E$46,$E49-SUM($F49:L49))</f>
        <v>40</v>
      </c>
      <c r="N49" s="99">
        <f>MIN($E49*$E$46,$E49-SUM($F49:M49))</f>
        <v>0</v>
      </c>
      <c r="O49" s="99">
        <f>MIN($E49*$E$46,$E49-SUM($F49:N49))</f>
        <v>0</v>
      </c>
      <c r="P49" s="99">
        <f>MIN($E49*$E$46,$E49-SUM($F49:O49))</f>
        <v>0</v>
      </c>
    </row>
    <row r="50" spans="1:16" x14ac:dyDescent="0.25">
      <c r="A50" s="16"/>
      <c r="C50" s="19" t="s">
        <v>181</v>
      </c>
      <c r="E50" s="99">
        <v>48.999999999999993</v>
      </c>
      <c r="F50" s="19"/>
      <c r="G50" s="19"/>
      <c r="H50" s="19"/>
      <c r="I50" s="99">
        <f>MIN($E50*$E$46,$E50-SUM($F50:H50))</f>
        <v>8.8199999999999985</v>
      </c>
      <c r="J50" s="99">
        <f>MIN($E50*$E$46,$E50-SUM($F50:I50))</f>
        <v>8.8199999999999985</v>
      </c>
      <c r="K50" s="99">
        <f>MIN($E50*$E$46,$E50-SUM($F50:J50))</f>
        <v>8.8199999999999985</v>
      </c>
      <c r="L50" s="99">
        <f>MIN($E50*$E$46,$E50-SUM($F50:K50))</f>
        <v>8.8199999999999985</v>
      </c>
      <c r="M50" s="99">
        <f>MIN($E50*$E$46,$E50-SUM($F50:L50))</f>
        <v>8.8199999999999985</v>
      </c>
      <c r="N50" s="99">
        <f>MIN($E50*$E$46,$E50-SUM($F50:M50))</f>
        <v>4.8999999999999986</v>
      </c>
      <c r="O50" s="99">
        <f>MIN($E50*$E$46,$E50-SUM($F50:N50))</f>
        <v>0</v>
      </c>
      <c r="P50" s="99">
        <f>MIN($E50*$E$46,$E50-SUM($F50:O50))</f>
        <v>0</v>
      </c>
    </row>
    <row r="51" spans="1:16" x14ac:dyDescent="0.25">
      <c r="A51" s="16"/>
      <c r="C51" s="19" t="s">
        <v>185</v>
      </c>
      <c r="E51" s="99">
        <v>10</v>
      </c>
      <c r="F51" s="19"/>
      <c r="G51" s="19"/>
      <c r="H51" s="19"/>
      <c r="I51" s="19"/>
      <c r="J51" s="99">
        <f>MIN($E51*$E$46,$E51-SUM($F51:I51))</f>
        <v>1.7999999999999998</v>
      </c>
      <c r="K51" s="99">
        <f>MIN($E51*$E$46,$E51-SUM($F51:J51))</f>
        <v>1.7999999999999998</v>
      </c>
      <c r="L51" s="99">
        <f>MIN($E51*$E$46,$E51-SUM($F51:K51))</f>
        <v>1.7999999999999998</v>
      </c>
      <c r="M51" s="99">
        <f>MIN($E51*$E$46,$E51-SUM($F51:L51))</f>
        <v>1.7999999999999998</v>
      </c>
      <c r="N51" s="99">
        <f>MIN($E51*$E$46,$E51-SUM($F51:M51))</f>
        <v>1.7999999999999998</v>
      </c>
      <c r="O51" s="99">
        <f>MIN($E51*$E$46,$E51-SUM($F51:N51))</f>
        <v>1</v>
      </c>
      <c r="P51" s="99">
        <f>MIN($E51*$E$46,$E51-SUM($F51:O51))</f>
        <v>0</v>
      </c>
    </row>
    <row r="52" spans="1:16" x14ac:dyDescent="0.25">
      <c r="A52" s="16"/>
      <c r="C52" s="19" t="s">
        <v>186</v>
      </c>
      <c r="E52" s="99">
        <v>10</v>
      </c>
      <c r="F52" s="19"/>
      <c r="G52" s="19"/>
      <c r="H52" s="19"/>
      <c r="I52" s="19"/>
      <c r="J52" s="19"/>
      <c r="K52" s="99">
        <f>MIN($E52*$E$46,$E52-SUM($F52:J52))</f>
        <v>1.7999999999999998</v>
      </c>
      <c r="L52" s="99">
        <f>MIN($E52*$E$46,$E52-SUM($F52:K52))</f>
        <v>1.7999999999999998</v>
      </c>
      <c r="M52" s="99">
        <f>MIN($E52*$E$46,$E52-SUM($F52:L52))</f>
        <v>1.7999999999999998</v>
      </c>
      <c r="N52" s="99">
        <f>MIN($E52*$E$46,$E52-SUM($F52:M52))</f>
        <v>1.7999999999999998</v>
      </c>
      <c r="O52" s="99">
        <f>MIN($E52*$E$46,$E52-SUM($F52:N52))</f>
        <v>1.7999999999999998</v>
      </c>
      <c r="P52" s="99">
        <f>MIN($E52*$E$46,$E52-SUM($F52:O52))</f>
        <v>1</v>
      </c>
    </row>
    <row r="53" spans="1:16" x14ac:dyDescent="0.25">
      <c r="A53" s="16"/>
      <c r="C53" s="19" t="s">
        <v>4</v>
      </c>
      <c r="E53" s="99">
        <v>136</v>
      </c>
      <c r="F53" s="19"/>
      <c r="G53" s="19"/>
      <c r="H53" s="19"/>
      <c r="I53" s="19"/>
      <c r="J53" s="19"/>
      <c r="K53" s="19"/>
      <c r="L53" s="99">
        <f>MIN($E53*$E$46,$E53-SUM($F53:K53))</f>
        <v>24.48</v>
      </c>
      <c r="M53" s="99">
        <f>MIN($E53*$E$46,$E53-SUM($F53:L53))</f>
        <v>24.48</v>
      </c>
      <c r="N53" s="99">
        <f>MIN($E53*$E$46,$E53-SUM($F53:M53))</f>
        <v>24.48</v>
      </c>
      <c r="O53" s="99">
        <f>MIN($E53*$E$46,$E53-SUM($F53:N53))</f>
        <v>24.48</v>
      </c>
      <c r="P53" s="99">
        <f>MIN($E53*$E$46,$E53-SUM($F53:O53))</f>
        <v>24.48</v>
      </c>
    </row>
    <row r="54" spans="1:16" x14ac:dyDescent="0.25">
      <c r="A54" s="16"/>
      <c r="C54" s="19" t="s">
        <v>5</v>
      </c>
      <c r="E54" s="99">
        <v>150</v>
      </c>
      <c r="F54" s="19"/>
      <c r="G54" s="19"/>
      <c r="H54" s="19"/>
      <c r="I54" s="19"/>
      <c r="J54" s="19"/>
      <c r="K54" s="19"/>
      <c r="L54" s="19"/>
      <c r="M54" s="99">
        <f>MIN($E54*$E$46,$E54-SUM($F54:L54))</f>
        <v>27</v>
      </c>
      <c r="N54" s="99">
        <f>MIN($E54*$E$46,$E54-SUM($F54:M54))</f>
        <v>27</v>
      </c>
      <c r="O54" s="99">
        <f>MIN($E54*$E$46,$E54-SUM($F54:N54))</f>
        <v>27</v>
      </c>
      <c r="P54" s="99">
        <f>MIN($E54*$E$46,$E54-SUM($F54:O54))</f>
        <v>27</v>
      </c>
    </row>
    <row r="55" spans="1:16" x14ac:dyDescent="0.25">
      <c r="A55" s="16"/>
      <c r="C55" s="19" t="s">
        <v>6</v>
      </c>
      <c r="E55" s="99">
        <v>105</v>
      </c>
      <c r="F55" s="19"/>
      <c r="G55" s="19"/>
      <c r="H55" s="19"/>
      <c r="I55" s="19"/>
      <c r="J55" s="19"/>
      <c r="K55" s="19"/>
      <c r="L55" s="19"/>
      <c r="M55" s="19"/>
      <c r="N55" s="99">
        <f>MIN($E55*$E$46,$E55-SUM($F55:M55))</f>
        <v>18.899999999999999</v>
      </c>
      <c r="O55" s="99">
        <f>MIN($E55*$E$46,$E55-SUM($F55:N55))</f>
        <v>18.899999999999999</v>
      </c>
      <c r="P55" s="99">
        <f>MIN($E55*$E$46,$E55-SUM($F55:O55))</f>
        <v>18.899999999999999</v>
      </c>
    </row>
    <row r="56" spans="1:16" x14ac:dyDescent="0.25">
      <c r="A56" s="16"/>
      <c r="C56" s="19" t="s">
        <v>188</v>
      </c>
      <c r="E56" s="99">
        <v>100</v>
      </c>
      <c r="F56" s="19"/>
      <c r="G56" s="19"/>
      <c r="H56" s="19"/>
      <c r="I56" s="19"/>
      <c r="J56" s="19"/>
      <c r="K56" s="19"/>
      <c r="L56" s="19"/>
      <c r="M56" s="19"/>
      <c r="N56" s="19"/>
      <c r="O56" s="99">
        <f>MIN($E56*$E$46,$E56-SUM($F56:N56))</f>
        <v>18</v>
      </c>
      <c r="P56" s="99">
        <f>MIN($E56*$E$46,$E56-SUM($F56:O56))</f>
        <v>18</v>
      </c>
    </row>
    <row r="57" spans="1:16" x14ac:dyDescent="0.25">
      <c r="A57" s="16"/>
      <c r="C57" s="19" t="s">
        <v>189</v>
      </c>
      <c r="E57" s="99">
        <v>104.5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99">
        <f>MIN($E57*$E$46,$E57-SUM($F57:O57))</f>
        <v>18.809999999999999</v>
      </c>
    </row>
    <row r="58" spans="1:16" s="12" customFormat="1" x14ac:dyDescent="0.25">
      <c r="A58" s="15"/>
      <c r="C58" s="79" t="s">
        <v>168</v>
      </c>
      <c r="D58" s="72"/>
      <c r="E58" s="72"/>
      <c r="F58" s="72"/>
      <c r="G58" s="101">
        <f>SUM(G48:G57)</f>
        <v>64.8</v>
      </c>
      <c r="H58" s="101">
        <f t="shared" ref="H58:P58" si="27">SUM(H48:H57)</f>
        <v>136.80000000000001</v>
      </c>
      <c r="I58" s="101">
        <f t="shared" si="27"/>
        <v>145.62</v>
      </c>
      <c r="J58" s="101">
        <f t="shared" si="27"/>
        <v>147.42000000000002</v>
      </c>
      <c r="K58" s="101">
        <f t="shared" si="27"/>
        <v>149.22000000000003</v>
      </c>
      <c r="L58" s="101">
        <f t="shared" si="27"/>
        <v>144.89999999999998</v>
      </c>
      <c r="M58" s="101">
        <f t="shared" si="27"/>
        <v>103.89999999999999</v>
      </c>
      <c r="N58" s="101">
        <f t="shared" si="27"/>
        <v>78.88</v>
      </c>
      <c r="O58" s="101">
        <f t="shared" si="27"/>
        <v>91.18</v>
      </c>
      <c r="P58" s="101">
        <f t="shared" si="27"/>
        <v>108.19</v>
      </c>
    </row>
    <row r="59" spans="1:16" s="12" customFormat="1" x14ac:dyDescent="0.25">
      <c r="A59" s="12" t="s">
        <v>121</v>
      </c>
      <c r="E59" s="82">
        <f>Assumptions!G101</f>
        <v>0.15</v>
      </c>
      <c r="F59" s="45"/>
    </row>
    <row r="60" spans="1:16" s="12" customFormat="1" x14ac:dyDescent="0.25">
      <c r="A60" s="15"/>
      <c r="B60" s="12" t="s">
        <v>120</v>
      </c>
    </row>
    <row r="61" spans="1:16" x14ac:dyDescent="0.25">
      <c r="A61" s="16"/>
      <c r="C61" s="19" t="s">
        <v>9</v>
      </c>
      <c r="E61" s="99">
        <f t="array" ref="E61:E70">TRANSPOSE(G43:P43)</f>
        <v>360</v>
      </c>
      <c r="F61" s="19"/>
      <c r="G61" s="99">
        <f>$E$59*($E61-SUM($F61:F61))</f>
        <v>54</v>
      </c>
      <c r="H61" s="99">
        <f>$E$59*($E61-SUM($F61:G61))</f>
        <v>45.9</v>
      </c>
      <c r="I61" s="99">
        <f>$E$59*($E61-SUM($F61:H61))</f>
        <v>39.015000000000001</v>
      </c>
      <c r="J61" s="99">
        <f>$E$59*($E61-SUM($F61:I61))</f>
        <v>33.162749999999996</v>
      </c>
      <c r="K61" s="99">
        <f>$E$59*($E61-SUM($F61:J61))</f>
        <v>28.188337499999999</v>
      </c>
      <c r="L61" s="99">
        <f>$E$59*($E61-SUM($F61:K61))</f>
        <v>23.960086874999998</v>
      </c>
      <c r="M61" s="99">
        <f>$E$59*($E61-SUM($F61:L61))</f>
        <v>20.366073843749998</v>
      </c>
      <c r="N61" s="99">
        <f>$E$59*($E61-SUM($F61:M61))</f>
        <v>17.311162767187501</v>
      </c>
      <c r="O61" s="99">
        <f>$E$59*($E61-SUM($F61:N61))</f>
        <v>14.714488352109372</v>
      </c>
      <c r="P61" s="99">
        <f>$E$59*($E61-SUM($F61:O61))</f>
        <v>12.507315099292969</v>
      </c>
    </row>
    <row r="62" spans="1:16" x14ac:dyDescent="0.25">
      <c r="A62" s="16"/>
      <c r="C62" s="19" t="s">
        <v>8</v>
      </c>
      <c r="E62" s="99">
        <v>400</v>
      </c>
      <c r="F62" s="19"/>
      <c r="G62" s="19"/>
      <c r="H62" s="99">
        <f>$E$59*($E62-SUM($F62:G62))</f>
        <v>60</v>
      </c>
      <c r="I62" s="99">
        <f>$E$59*($E62-SUM($F62:H62))</f>
        <v>51</v>
      </c>
      <c r="J62" s="99">
        <f>$E$59*($E62-SUM($F62:I62))</f>
        <v>43.35</v>
      </c>
      <c r="K62" s="99">
        <f>$E$59*($E62-SUM($F62:J62))</f>
        <v>36.847499999999997</v>
      </c>
      <c r="L62" s="99">
        <f>$E$59*($E62-SUM($F62:K62))</f>
        <v>31.320374999999999</v>
      </c>
      <c r="M62" s="99">
        <f>$E$59*($E62-SUM($F62:L62))</f>
        <v>26.622318749999998</v>
      </c>
      <c r="N62" s="99">
        <f>$E$59*($E62-SUM($F62:M62))</f>
        <v>22.628970937499997</v>
      </c>
      <c r="O62" s="99">
        <f>$E$59*($E62-SUM($F62:N62))</f>
        <v>19.234625296874999</v>
      </c>
      <c r="P62" s="99">
        <f>$E$59*($E62-SUM($F62:O62))</f>
        <v>16.349431502343752</v>
      </c>
    </row>
    <row r="63" spans="1:16" x14ac:dyDescent="0.25">
      <c r="A63" s="16"/>
      <c r="C63" s="19" t="s">
        <v>181</v>
      </c>
      <c r="E63" s="99">
        <v>48.999999999999993</v>
      </c>
      <c r="F63" s="19"/>
      <c r="G63" s="19"/>
      <c r="H63" s="19"/>
      <c r="I63" s="99">
        <f>$E$59*($E63-SUM($F63:H63))</f>
        <v>7.3499999999999988</v>
      </c>
      <c r="J63" s="99">
        <f>$E$59*($E63-SUM($F63:I63))</f>
        <v>6.2474999999999987</v>
      </c>
      <c r="K63" s="99">
        <f>$E$59*($E63-SUM($F63:J63))</f>
        <v>5.3103749999999996</v>
      </c>
      <c r="L63" s="99">
        <f>$E$59*($E63-SUM($F63:K63))</f>
        <v>4.5138187499999995</v>
      </c>
      <c r="M63" s="99">
        <f>$E$59*($E63-SUM($F63:L63))</f>
        <v>3.8367459374999995</v>
      </c>
      <c r="N63" s="99">
        <f>$E$59*($E63-SUM($F63:M63))</f>
        <v>3.2612340468749998</v>
      </c>
      <c r="O63" s="99">
        <f>$E$59*($E63-SUM($F63:N63))</f>
        <v>2.7720489398437498</v>
      </c>
      <c r="P63" s="99">
        <f>$E$59*($E63-SUM($F63:O63))</f>
        <v>2.3562415988671868</v>
      </c>
    </row>
    <row r="64" spans="1:16" x14ac:dyDescent="0.25">
      <c r="A64" s="16"/>
      <c r="C64" s="19" t="s">
        <v>185</v>
      </c>
      <c r="E64" s="99">
        <v>10</v>
      </c>
      <c r="F64" s="19"/>
      <c r="G64" s="19"/>
      <c r="H64" s="19"/>
      <c r="I64" s="19"/>
      <c r="J64" s="99">
        <f>$E$59*($E64-SUM($F64:I64))</f>
        <v>1.5</v>
      </c>
      <c r="K64" s="99">
        <f>$E$59*($E64-SUM($F64:J64))</f>
        <v>1.2749999999999999</v>
      </c>
      <c r="L64" s="99">
        <f>$E$59*($E64-SUM($F64:K64))</f>
        <v>1.08375</v>
      </c>
      <c r="M64" s="99">
        <f>$E$59*($E64-SUM($F64:L64))</f>
        <v>0.92118750000000005</v>
      </c>
      <c r="N64" s="99">
        <f>$E$59*($E64-SUM($F64:M64))</f>
        <v>0.78300937500000001</v>
      </c>
      <c r="O64" s="99">
        <f>$E$59*($E64-SUM($F64:N64))</f>
        <v>0.66555796875000006</v>
      </c>
      <c r="P64" s="99">
        <f>$E$59*($E64-SUM($F64:O64))</f>
        <v>0.56572427343749998</v>
      </c>
    </row>
    <row r="65" spans="1:16" x14ac:dyDescent="0.25">
      <c r="A65" s="16"/>
      <c r="C65" s="19" t="s">
        <v>186</v>
      </c>
      <c r="E65" s="99">
        <v>10</v>
      </c>
      <c r="F65" s="19"/>
      <c r="G65" s="19"/>
      <c r="H65" s="19"/>
      <c r="I65" s="19"/>
      <c r="J65" s="19"/>
      <c r="K65" s="99">
        <f>$E$59*($E65-SUM($F65:J65))</f>
        <v>1.5</v>
      </c>
      <c r="L65" s="99">
        <f>$E$59*($E65-SUM($F65:K65))</f>
        <v>1.2749999999999999</v>
      </c>
      <c r="M65" s="99">
        <f>$E$59*($E65-SUM($F65:L65))</f>
        <v>1.08375</v>
      </c>
      <c r="N65" s="99">
        <f>$E$59*($E65-SUM($F65:M65))</f>
        <v>0.92118750000000005</v>
      </c>
      <c r="O65" s="99">
        <f>$E$59*($E65-SUM($F65:N65))</f>
        <v>0.78300937500000001</v>
      </c>
      <c r="P65" s="99">
        <f>$E$59*($E65-SUM($F65:O65))</f>
        <v>0.66555796875000006</v>
      </c>
    </row>
    <row r="66" spans="1:16" x14ac:dyDescent="0.25">
      <c r="A66" s="16"/>
      <c r="C66" s="19" t="s">
        <v>4</v>
      </c>
      <c r="E66" s="99">
        <v>136</v>
      </c>
      <c r="F66" s="19"/>
      <c r="G66" s="19"/>
      <c r="H66" s="19"/>
      <c r="I66" s="19"/>
      <c r="J66" s="19"/>
      <c r="K66" s="19"/>
      <c r="L66" s="99">
        <f>$E$59*($E66-SUM($F66:K66))</f>
        <v>20.399999999999999</v>
      </c>
      <c r="M66" s="99">
        <f>$E$59*($E66-SUM($F66:L66))</f>
        <v>17.34</v>
      </c>
      <c r="N66" s="99">
        <f>$E$59*($E66-SUM($F66:M66))</f>
        <v>14.739000000000001</v>
      </c>
      <c r="O66" s="99">
        <f>$E$59*($E66-SUM($F66:N66))</f>
        <v>12.52815</v>
      </c>
      <c r="P66" s="99">
        <f>$E$59*($E66-SUM($F66:O66))</f>
        <v>10.648927500000001</v>
      </c>
    </row>
    <row r="67" spans="1:16" x14ac:dyDescent="0.25">
      <c r="A67" s="16"/>
      <c r="C67" s="19" t="s">
        <v>5</v>
      </c>
      <c r="E67" s="99">
        <v>150</v>
      </c>
      <c r="F67" s="19"/>
      <c r="G67" s="19"/>
      <c r="H67" s="19"/>
      <c r="I67" s="19"/>
      <c r="J67" s="19"/>
      <c r="K67" s="19"/>
      <c r="L67" s="19"/>
      <c r="M67" s="99">
        <f>$E$59*($E67-SUM($F67:L67))</f>
        <v>22.5</v>
      </c>
      <c r="N67" s="99">
        <f>$E$59*($E67-SUM($F67:M67))</f>
        <v>19.125</v>
      </c>
      <c r="O67" s="99">
        <f>$E$59*($E67-SUM($F67:N67))</f>
        <v>16.256249999999998</v>
      </c>
      <c r="P67" s="99">
        <f>$E$59*($E67-SUM($F67:O67))</f>
        <v>13.8178125</v>
      </c>
    </row>
    <row r="68" spans="1:16" x14ac:dyDescent="0.25">
      <c r="A68" s="16"/>
      <c r="C68" s="19" t="s">
        <v>6</v>
      </c>
      <c r="E68" s="99">
        <v>105</v>
      </c>
      <c r="F68" s="19"/>
      <c r="G68" s="19"/>
      <c r="H68" s="19"/>
      <c r="I68" s="19"/>
      <c r="J68" s="19"/>
      <c r="K68" s="19"/>
      <c r="L68" s="19"/>
      <c r="M68" s="19"/>
      <c r="N68" s="99">
        <f>$E$59*($E68-SUM($F68:M68))</f>
        <v>15.75</v>
      </c>
      <c r="O68" s="99">
        <f>$E$59*($E68-SUM($F68:N68))</f>
        <v>13.387499999999999</v>
      </c>
      <c r="P68" s="99">
        <f>$E$59*($E68-SUM($F68:O68))</f>
        <v>11.379375</v>
      </c>
    </row>
    <row r="69" spans="1:16" x14ac:dyDescent="0.25">
      <c r="A69" s="16"/>
      <c r="C69" s="19" t="s">
        <v>188</v>
      </c>
      <c r="E69" s="99">
        <v>100</v>
      </c>
      <c r="F69" s="19"/>
      <c r="G69" s="19"/>
      <c r="H69" s="19"/>
      <c r="I69" s="19"/>
      <c r="J69" s="19"/>
      <c r="K69" s="19"/>
      <c r="L69" s="19"/>
      <c r="M69" s="19"/>
      <c r="N69" s="19"/>
      <c r="O69" s="99">
        <f>$E$59*($E69-SUM($F69:N69))</f>
        <v>15</v>
      </c>
      <c r="P69" s="99">
        <f>$E$59*($E69-SUM($F69:O69))</f>
        <v>12.75</v>
      </c>
    </row>
    <row r="70" spans="1:16" x14ac:dyDescent="0.25">
      <c r="A70" s="16"/>
      <c r="C70" s="19" t="s">
        <v>189</v>
      </c>
      <c r="E70" s="99">
        <v>104.5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99">
        <f>$E$59*($E70-SUM($F70:O70))</f>
        <v>15.674999999999999</v>
      </c>
    </row>
    <row r="71" spans="1:16" s="12" customFormat="1" x14ac:dyDescent="0.25">
      <c r="A71" s="15"/>
      <c r="C71" s="79" t="s">
        <v>168</v>
      </c>
      <c r="D71" s="72"/>
      <c r="E71" s="72"/>
      <c r="F71" s="72"/>
      <c r="G71" s="99">
        <f t="shared" ref="G71:O71" si="28">SUM(G61:G70)</f>
        <v>54</v>
      </c>
      <c r="H71" s="99">
        <f t="shared" si="28"/>
        <v>105.9</v>
      </c>
      <c r="I71" s="99">
        <f t="shared" si="28"/>
        <v>97.364999999999995</v>
      </c>
      <c r="J71" s="99">
        <f t="shared" si="28"/>
        <v>84.260249999999999</v>
      </c>
      <c r="K71" s="99">
        <f t="shared" si="28"/>
        <v>73.121212499999999</v>
      </c>
      <c r="L71" s="99">
        <f t="shared" si="28"/>
        <v>82.553030624999991</v>
      </c>
      <c r="M71" s="99">
        <f t="shared" si="28"/>
        <v>92.670076031249991</v>
      </c>
      <c r="N71" s="99">
        <f t="shared" si="28"/>
        <v>94.519564626562499</v>
      </c>
      <c r="O71" s="99">
        <f t="shared" si="28"/>
        <v>95.341629932578115</v>
      </c>
      <c r="P71" s="99">
        <f>SUM(P61:P70)</f>
        <v>96.715385442691399</v>
      </c>
    </row>
    <row r="72" spans="1:16" x14ac:dyDescent="0.25">
      <c r="A72" s="12" t="s">
        <v>104</v>
      </c>
      <c r="C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16"/>
      <c r="B73" s="12" t="s">
        <v>96</v>
      </c>
      <c r="C73" s="13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spans="1:16" x14ac:dyDescent="0.25">
      <c r="A74" s="16"/>
      <c r="C74" s="13" t="s">
        <v>114</v>
      </c>
      <c r="G74" s="42">
        <v>0</v>
      </c>
      <c r="H74" s="19">
        <f>G77</f>
        <v>10</v>
      </c>
      <c r="I74" s="19">
        <f t="shared" ref="I74" si="29">H77</f>
        <v>20</v>
      </c>
      <c r="J74" s="19">
        <f t="shared" ref="J74" si="30">I77</f>
        <v>25</v>
      </c>
      <c r="K74" s="19">
        <f t="shared" ref="K74" si="31">J77</f>
        <v>30</v>
      </c>
      <c r="L74" s="19">
        <f t="shared" ref="L74" si="32">K77</f>
        <v>35</v>
      </c>
      <c r="M74" s="19">
        <f t="shared" ref="M74" si="33">L77</f>
        <v>45</v>
      </c>
      <c r="N74" s="19">
        <f t="shared" ref="N74" si="34">M77</f>
        <v>50</v>
      </c>
      <c r="O74" s="19">
        <f t="shared" ref="O74" si="35">N77</f>
        <v>55</v>
      </c>
      <c r="P74" s="19">
        <f t="shared" ref="P74" si="36">O77</f>
        <v>60</v>
      </c>
    </row>
    <row r="75" spans="1:16" x14ac:dyDescent="0.25">
      <c r="A75" s="16"/>
      <c r="C75" s="13" t="s">
        <v>115</v>
      </c>
      <c r="G75" s="19">
        <f>G25</f>
        <v>10</v>
      </c>
      <c r="H75" s="19">
        <f t="shared" ref="H75:P75" si="37">H25</f>
        <v>10</v>
      </c>
      <c r="I75" s="19">
        <f t="shared" si="37"/>
        <v>5</v>
      </c>
      <c r="J75" s="19">
        <f t="shared" si="37"/>
        <v>5</v>
      </c>
      <c r="K75" s="19">
        <f t="shared" si="37"/>
        <v>5</v>
      </c>
      <c r="L75" s="19">
        <f t="shared" si="37"/>
        <v>10</v>
      </c>
      <c r="M75" s="19">
        <f t="shared" si="37"/>
        <v>5</v>
      </c>
      <c r="N75" s="19">
        <f t="shared" si="37"/>
        <v>5</v>
      </c>
      <c r="O75" s="19">
        <f t="shared" si="37"/>
        <v>5</v>
      </c>
      <c r="P75" s="19">
        <f t="shared" si="37"/>
        <v>10</v>
      </c>
    </row>
    <row r="76" spans="1:16" x14ac:dyDescent="0.25">
      <c r="A76" s="16"/>
      <c r="C76" s="13" t="s">
        <v>116</v>
      </c>
      <c r="G76" s="19">
        <f t="shared" ref="G76:P76" si="38">G31</f>
        <v>0</v>
      </c>
      <c r="H76" s="19">
        <f t="shared" si="38"/>
        <v>0</v>
      </c>
      <c r="I76" s="19">
        <f t="shared" si="38"/>
        <v>0</v>
      </c>
      <c r="J76" s="19">
        <f t="shared" si="38"/>
        <v>0</v>
      </c>
      <c r="K76" s="19">
        <f t="shared" si="38"/>
        <v>0</v>
      </c>
      <c r="L76" s="19">
        <f t="shared" si="38"/>
        <v>0</v>
      </c>
      <c r="M76" s="19">
        <f t="shared" si="38"/>
        <v>0</v>
      </c>
      <c r="N76" s="19">
        <f t="shared" si="38"/>
        <v>0</v>
      </c>
      <c r="O76" s="19">
        <f t="shared" si="38"/>
        <v>0</v>
      </c>
      <c r="P76" s="19">
        <f t="shared" si="38"/>
        <v>0</v>
      </c>
    </row>
    <row r="77" spans="1:16" s="12" customFormat="1" x14ac:dyDescent="0.25">
      <c r="A77" s="15"/>
      <c r="C77" s="72" t="s">
        <v>118</v>
      </c>
      <c r="D77" s="72"/>
      <c r="E77" s="72"/>
      <c r="F77" s="72"/>
      <c r="G77" s="79">
        <f>G74+G75-G76</f>
        <v>10</v>
      </c>
      <c r="H77" s="79">
        <f>H74+H75-H76</f>
        <v>20</v>
      </c>
      <c r="I77" s="79">
        <f t="shared" ref="I77:P77" si="39">I74+I75-I76</f>
        <v>25</v>
      </c>
      <c r="J77" s="79">
        <f t="shared" si="39"/>
        <v>30</v>
      </c>
      <c r="K77" s="79">
        <f t="shared" si="39"/>
        <v>35</v>
      </c>
      <c r="L77" s="79">
        <f t="shared" si="39"/>
        <v>45</v>
      </c>
      <c r="M77" s="79">
        <f t="shared" si="39"/>
        <v>50</v>
      </c>
      <c r="N77" s="79">
        <f t="shared" si="39"/>
        <v>55</v>
      </c>
      <c r="O77" s="79">
        <f t="shared" si="39"/>
        <v>60</v>
      </c>
      <c r="P77" s="79">
        <f t="shared" si="39"/>
        <v>70</v>
      </c>
    </row>
    <row r="78" spans="1:16" s="12" customFormat="1" x14ac:dyDescent="0.25">
      <c r="A78" s="12" t="s">
        <v>119</v>
      </c>
      <c r="E78" s="82">
        <f>Assumptions!E102</f>
        <v>0.33329999999999999</v>
      </c>
      <c r="F78" s="45"/>
    </row>
    <row r="79" spans="1:16" s="12" customFormat="1" x14ac:dyDescent="0.25">
      <c r="A79" s="15"/>
      <c r="B79" s="12" t="s">
        <v>120</v>
      </c>
    </row>
    <row r="80" spans="1:16" x14ac:dyDescent="0.25">
      <c r="A80" s="16"/>
      <c r="C80" s="19" t="s">
        <v>1</v>
      </c>
      <c r="E80" s="19">
        <f t="array" ref="E80:E89">TRANSPOSE(G75:P75)</f>
        <v>10</v>
      </c>
      <c r="F80" s="19"/>
      <c r="G80" s="19">
        <f>MIN($E80-SUM($F80:F80),$E80*$E$78)</f>
        <v>3.3329999999999997</v>
      </c>
      <c r="H80" s="19">
        <f>MIN($E80-SUM($F80:G80),$E80*$E$78)</f>
        <v>3.3329999999999997</v>
      </c>
      <c r="I80" s="19">
        <f>MIN($E80-SUM($F80:H80),$E80*$E$78)</f>
        <v>3.3329999999999997</v>
      </c>
      <c r="J80" s="19">
        <f>MIN($E80-SUM($F80:I80),$E80*$E$78)</f>
        <v>1.0000000000012221E-3</v>
      </c>
      <c r="K80" s="19">
        <f>MIN($E80-SUM($F80:J80),$E80*$E$78)</f>
        <v>0</v>
      </c>
      <c r="L80" s="19">
        <f>MIN($E80-SUM($F80:K80),$E80*$E$78)</f>
        <v>0</v>
      </c>
      <c r="M80" s="19">
        <f>MIN($E80-SUM($F80:L80),$E80*$E$78)</f>
        <v>0</v>
      </c>
      <c r="N80" s="19">
        <f>MIN($E80-SUM($F80:M80),$E80*$E$78)</f>
        <v>0</v>
      </c>
      <c r="O80" s="19">
        <f>MIN($E80-SUM($F80:N80),$E80*$E$78)</f>
        <v>0</v>
      </c>
      <c r="P80" s="19">
        <f>MIN($E80-SUM($F80:O80),$E80*$E$78)</f>
        <v>0</v>
      </c>
    </row>
    <row r="81" spans="1:16" x14ac:dyDescent="0.25">
      <c r="A81" s="16"/>
      <c r="C81" s="19" t="s">
        <v>10</v>
      </c>
      <c r="E81" s="19">
        <v>10</v>
      </c>
      <c r="F81" s="19"/>
      <c r="G81" s="19"/>
      <c r="H81" s="19">
        <f>MIN($E81-SUM($F81:G81),$E81*$E$78)</f>
        <v>3.3329999999999997</v>
      </c>
      <c r="I81" s="19">
        <f>MIN($E81-SUM($F81:H81),$E81*$E$78)</f>
        <v>3.3329999999999997</v>
      </c>
      <c r="J81" s="19">
        <f>MIN($E81-SUM($F81:I81),$E81*$E$78)</f>
        <v>3.3329999999999997</v>
      </c>
      <c r="K81" s="19">
        <f>MIN($E81-SUM($F81:J81),$E81*$E$78)</f>
        <v>1.0000000000012221E-3</v>
      </c>
      <c r="L81" s="19">
        <f>MIN($E81-SUM($F81:K81),$E81*$E$78)</f>
        <v>0</v>
      </c>
      <c r="M81" s="19">
        <f>MIN($E81-SUM($F81:L81),$E81*$E$78)</f>
        <v>0</v>
      </c>
      <c r="N81" s="19">
        <f>MIN($E81-SUM($F81:M81),$E81*$E$78)</f>
        <v>0</v>
      </c>
      <c r="O81" s="19">
        <f>MIN($E81-SUM($F81:N81),$E81*$E$78)</f>
        <v>0</v>
      </c>
      <c r="P81" s="19">
        <f>MIN($E81-SUM($F81:O81),$E81*$E$78)</f>
        <v>0</v>
      </c>
    </row>
    <row r="82" spans="1:16" x14ac:dyDescent="0.25">
      <c r="A82" s="16"/>
      <c r="C82" s="19" t="s">
        <v>9</v>
      </c>
      <c r="E82" s="19">
        <v>5</v>
      </c>
      <c r="F82" s="19"/>
      <c r="G82" s="19"/>
      <c r="H82" s="19"/>
      <c r="I82" s="19">
        <f>MIN($E82-SUM($F82:H82),$E82*$E$78)</f>
        <v>1.6664999999999999</v>
      </c>
      <c r="J82" s="19">
        <f>MIN($E82-SUM($F82:I82),$E82*$E$78)</f>
        <v>1.6664999999999999</v>
      </c>
      <c r="K82" s="19">
        <f>MIN($E82-SUM($F82:J82),$E82*$E$78)</f>
        <v>1.6664999999999999</v>
      </c>
      <c r="L82" s="19">
        <f>MIN($E82-SUM($F82:K82),$E82*$E$78)</f>
        <v>5.0000000000061107E-4</v>
      </c>
      <c r="M82" s="19">
        <f>MIN($E82-SUM($F82:L82),$E82*$E$78)</f>
        <v>0</v>
      </c>
      <c r="N82" s="19">
        <f>MIN($E82-SUM($F82:M82),$E82*$E$78)</f>
        <v>0</v>
      </c>
      <c r="O82" s="19">
        <f>MIN($E82-SUM($F82:N82),$E82*$E$78)</f>
        <v>0</v>
      </c>
      <c r="P82" s="19">
        <f>MIN($E82-SUM($F82:O82),$E82*$E$78)</f>
        <v>0</v>
      </c>
    </row>
    <row r="83" spans="1:16" x14ac:dyDescent="0.25">
      <c r="A83" s="16"/>
      <c r="C83" s="19" t="s">
        <v>8</v>
      </c>
      <c r="E83" s="19">
        <v>5</v>
      </c>
      <c r="F83" s="19"/>
      <c r="G83" s="19"/>
      <c r="H83" s="19"/>
      <c r="I83" s="19"/>
      <c r="J83" s="19">
        <f>MIN($E83-SUM($F83:I83),$E83*$E$78)</f>
        <v>1.6664999999999999</v>
      </c>
      <c r="K83" s="19">
        <f>MIN($E83-SUM($F83:J83),$E83*$E$78)</f>
        <v>1.6664999999999999</v>
      </c>
      <c r="L83" s="19">
        <f>MIN($E83-SUM($F83:K83),$E83*$E$78)</f>
        <v>1.6664999999999999</v>
      </c>
      <c r="M83" s="19">
        <f>MIN($E83-SUM($F83:L83),$E83*$E$78)</f>
        <v>5.0000000000061107E-4</v>
      </c>
      <c r="N83" s="19">
        <f>MIN($E83-SUM($F83:M83),$E83*$E$78)</f>
        <v>0</v>
      </c>
      <c r="O83" s="19">
        <f>MIN($E83-SUM($F83:N83),$E83*$E$78)</f>
        <v>0</v>
      </c>
      <c r="P83" s="19">
        <f>MIN($E83-SUM($F83:O83),$E83*$E$78)</f>
        <v>0</v>
      </c>
    </row>
    <row r="84" spans="1:16" x14ac:dyDescent="0.25">
      <c r="A84" s="16"/>
      <c r="C84" s="19" t="s">
        <v>7</v>
      </c>
      <c r="E84" s="19">
        <v>5</v>
      </c>
      <c r="F84" s="19"/>
      <c r="G84" s="19"/>
      <c r="H84" s="19"/>
      <c r="I84" s="19"/>
      <c r="J84" s="19"/>
      <c r="K84" s="19">
        <f>MIN($E84-SUM($F84:J84),$E84*$E$78)</f>
        <v>1.6664999999999999</v>
      </c>
      <c r="L84" s="19">
        <f>MIN($E84-SUM($F84:K84),$E84*$E$78)</f>
        <v>1.6664999999999999</v>
      </c>
      <c r="M84" s="19">
        <f>MIN($E84-SUM($F84:L84),$E84*$E$78)</f>
        <v>1.6664999999999999</v>
      </c>
      <c r="N84" s="19">
        <f>MIN($E84-SUM($F84:M84),$E84*$E$78)</f>
        <v>5.0000000000061107E-4</v>
      </c>
      <c r="O84" s="19">
        <f>MIN($E84-SUM($F84:N84),$E84*$E$78)</f>
        <v>0</v>
      </c>
      <c r="P84" s="19">
        <f>MIN($E84-SUM($F84:O84),$E84*$E$78)</f>
        <v>0</v>
      </c>
    </row>
    <row r="85" spans="1:16" x14ac:dyDescent="0.25">
      <c r="A85" s="16"/>
      <c r="C85" s="19" t="s">
        <v>2</v>
      </c>
      <c r="E85" s="19">
        <v>10</v>
      </c>
      <c r="F85" s="19"/>
      <c r="G85" s="19"/>
      <c r="H85" s="19"/>
      <c r="I85" s="19"/>
      <c r="J85" s="19"/>
      <c r="K85" s="19"/>
      <c r="L85" s="19">
        <f>MIN($E85-SUM($F85:K85),$E85*$E$78)</f>
        <v>3.3329999999999997</v>
      </c>
      <c r="M85" s="19">
        <f>MIN($E85-SUM($F85:L85),$E85*$E$78)</f>
        <v>3.3329999999999997</v>
      </c>
      <c r="N85" s="19">
        <f>MIN($E85-SUM($F85:M85),$E85*$E$78)</f>
        <v>3.3329999999999997</v>
      </c>
      <c r="O85" s="19">
        <f>MIN($E85-SUM($F85:N85),$E85*$E$78)</f>
        <v>1.0000000000012221E-3</v>
      </c>
      <c r="P85" s="19">
        <f>MIN($E85-SUM($F85:O85),$E85*$E$78)</f>
        <v>0</v>
      </c>
    </row>
    <row r="86" spans="1:16" x14ac:dyDescent="0.25">
      <c r="A86" s="16"/>
      <c r="C86" s="19" t="s">
        <v>3</v>
      </c>
      <c r="E86" s="19">
        <v>5</v>
      </c>
      <c r="F86" s="19"/>
      <c r="G86" s="19"/>
      <c r="H86" s="19"/>
      <c r="I86" s="19"/>
      <c r="J86" s="19"/>
      <c r="K86" s="19"/>
      <c r="L86" s="19"/>
      <c r="M86" s="19">
        <f>MIN($E86-SUM($F86:L86),$E86*$E$78)</f>
        <v>1.6664999999999999</v>
      </c>
      <c r="N86" s="19">
        <f>MIN($E86-SUM($F86:M86),$E86*$E$78)</f>
        <v>1.6664999999999999</v>
      </c>
      <c r="O86" s="19">
        <f>MIN($E86-SUM($F86:N86),$E86*$E$78)</f>
        <v>1.6664999999999999</v>
      </c>
      <c r="P86" s="19">
        <f>MIN($E86-SUM($F86:O86),$E86*$E$78)</f>
        <v>5.0000000000061107E-4</v>
      </c>
    </row>
    <row r="87" spans="1:16" x14ac:dyDescent="0.25">
      <c r="A87" s="16"/>
      <c r="C87" s="19" t="s">
        <v>4</v>
      </c>
      <c r="E87" s="19">
        <v>5</v>
      </c>
      <c r="F87" s="19"/>
      <c r="G87" s="19"/>
      <c r="H87" s="19"/>
      <c r="I87" s="19"/>
      <c r="J87" s="19"/>
      <c r="K87" s="19"/>
      <c r="L87" s="19"/>
      <c r="M87" s="19"/>
      <c r="N87" s="19">
        <f>MIN($E87-SUM($F87:M87),$E87*$E$78)</f>
        <v>1.6664999999999999</v>
      </c>
      <c r="O87" s="19">
        <f>MIN($E87-SUM($F87:N87),$E87*$E$78)</f>
        <v>1.6664999999999999</v>
      </c>
      <c r="P87" s="19">
        <f>MIN($E87-SUM($F87:O87),$E87*$E$78)</f>
        <v>1.6664999999999999</v>
      </c>
    </row>
    <row r="88" spans="1:16" x14ac:dyDescent="0.25">
      <c r="A88" s="16"/>
      <c r="C88" s="19" t="s">
        <v>5</v>
      </c>
      <c r="E88" s="19">
        <v>5</v>
      </c>
      <c r="F88" s="19"/>
      <c r="G88" s="19"/>
      <c r="H88" s="19"/>
      <c r="I88" s="19"/>
      <c r="J88" s="19"/>
      <c r="K88" s="19"/>
      <c r="L88" s="19"/>
      <c r="M88" s="19"/>
      <c r="N88" s="19"/>
      <c r="O88" s="19">
        <f>MIN($E88-SUM($F88:N88),$E88*$E$78)</f>
        <v>1.6664999999999999</v>
      </c>
      <c r="P88" s="19">
        <f>MIN($E88-SUM($F88:O88),$E88*$E$78)</f>
        <v>1.6664999999999999</v>
      </c>
    </row>
    <row r="89" spans="1:16" x14ac:dyDescent="0.25">
      <c r="A89" s="16"/>
      <c r="C89" s="19" t="s">
        <v>6</v>
      </c>
      <c r="E89" s="19">
        <v>10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>
        <f>MIN($E89-SUM($F89:O89),$E89*$E$78)</f>
        <v>3.3329999999999997</v>
      </c>
    </row>
    <row r="90" spans="1:16" s="12" customFormat="1" x14ac:dyDescent="0.25">
      <c r="A90" s="15"/>
      <c r="C90" s="79" t="s">
        <v>168</v>
      </c>
      <c r="D90" s="72"/>
      <c r="E90" s="72"/>
      <c r="F90" s="72"/>
      <c r="G90" s="72">
        <f>SUM(G80:G89)</f>
        <v>3.3329999999999997</v>
      </c>
      <c r="H90" s="72">
        <f t="shared" ref="H90" si="40">SUM(H80:H89)</f>
        <v>6.6659999999999995</v>
      </c>
      <c r="I90" s="72">
        <f t="shared" ref="I90" si="41">SUM(I80:I89)</f>
        <v>8.3324999999999996</v>
      </c>
      <c r="J90" s="72">
        <f t="shared" ref="J90" si="42">SUM(J80:J89)</f>
        <v>6.6670000000000007</v>
      </c>
      <c r="K90" s="72">
        <f>SUM(K80:K89)</f>
        <v>5.0005000000000006</v>
      </c>
      <c r="L90" s="72">
        <f t="shared" ref="L90" si="43">SUM(L80:L89)</f>
        <v>6.6665000000000001</v>
      </c>
      <c r="M90" s="72">
        <f t="shared" ref="M90" si="44">SUM(M80:M89)</f>
        <v>6.6665000000000001</v>
      </c>
      <c r="N90" s="72">
        <f t="shared" ref="N90" si="45">SUM(N80:N89)</f>
        <v>6.6665000000000001</v>
      </c>
      <c r="O90" s="72">
        <f t="shared" ref="O90" si="46">SUM(O80:O89)</f>
        <v>5.0005000000000006</v>
      </c>
      <c r="P90" s="72">
        <f t="shared" ref="P90" si="47">SUM(P80:P89)</f>
        <v>6.6665000000000001</v>
      </c>
    </row>
    <row r="91" spans="1:16" s="12" customFormat="1" x14ac:dyDescent="0.25">
      <c r="A91" s="12" t="s">
        <v>121</v>
      </c>
      <c r="E91" s="82">
        <f>Assumptions!G102</f>
        <v>0.6</v>
      </c>
      <c r="F91" s="45"/>
    </row>
    <row r="92" spans="1:16" s="12" customFormat="1" x14ac:dyDescent="0.25">
      <c r="A92" s="15"/>
      <c r="B92" s="12" t="s">
        <v>120</v>
      </c>
    </row>
    <row r="93" spans="1:16" x14ac:dyDescent="0.25">
      <c r="A93" s="16"/>
      <c r="C93" s="19" t="s">
        <v>1</v>
      </c>
      <c r="E93" s="19">
        <f t="array" ref="E93:E102">TRANSPOSE(G75:P75)</f>
        <v>10</v>
      </c>
      <c r="F93" s="19"/>
      <c r="G93" s="19">
        <f>($E93-SUM($F93:F93))*$E$91</f>
        <v>6</v>
      </c>
      <c r="H93" s="19">
        <f>($E93-SUM($F93:G93))*$E$91</f>
        <v>2.4</v>
      </c>
      <c r="I93" s="19">
        <f>($E93-SUM($F93:H93))*$E$91</f>
        <v>0.95999999999999974</v>
      </c>
      <c r="J93" s="19">
        <f>($E93-SUM($F93:I93))*$E$91</f>
        <v>0.38400000000000034</v>
      </c>
      <c r="K93" s="19">
        <f>($E93-SUM($F93:J93))*$E$91</f>
        <v>0.15360000000000013</v>
      </c>
      <c r="L93" s="19">
        <f>($E93-SUM($F93:K93))*$E$91</f>
        <v>6.1439999999999627E-2</v>
      </c>
      <c r="M93" s="19">
        <f>($E93-SUM($F93:L93))*$E$91</f>
        <v>2.4576000000000063E-2</v>
      </c>
      <c r="N93" s="19">
        <f>($E93-SUM($F93:M93))*$E$91</f>
        <v>9.8304000000002389E-3</v>
      </c>
      <c r="O93" s="19">
        <f>($E93-SUM($F93:N93))*$E$91</f>
        <v>3.9321600000000951E-3</v>
      </c>
      <c r="P93" s="19">
        <f>($E93-SUM($F93:O93))*$E$91</f>
        <v>1.5728640000002513E-3</v>
      </c>
    </row>
    <row r="94" spans="1:16" x14ac:dyDescent="0.25">
      <c r="A94" s="16"/>
      <c r="C94" s="19" t="s">
        <v>10</v>
      </c>
      <c r="E94" s="19">
        <v>10</v>
      </c>
      <c r="F94" s="19"/>
      <c r="G94" s="19"/>
      <c r="H94" s="19">
        <f>($E94-SUM($F94:G94))*$E$91</f>
        <v>6</v>
      </c>
      <c r="I94" s="19">
        <f>($E94-SUM($F94:H94))*$E$91</f>
        <v>2.4</v>
      </c>
      <c r="J94" s="19">
        <f>($E94-SUM($F94:I94))*$E$91</f>
        <v>0.95999999999999974</v>
      </c>
      <c r="K94" s="19">
        <f>($E94-SUM($F94:J94))*$E$91</f>
        <v>0.38400000000000034</v>
      </c>
      <c r="L94" s="19">
        <f>($E94-SUM($F94:K94))*$E$91</f>
        <v>0.15360000000000013</v>
      </c>
      <c r="M94" s="19">
        <f>($E94-SUM($F94:L94))*$E$91</f>
        <v>6.1439999999999627E-2</v>
      </c>
      <c r="N94" s="19">
        <f>($E94-SUM($F94:M94))*$E$91</f>
        <v>2.4576000000000063E-2</v>
      </c>
      <c r="O94" s="19">
        <f>($E94-SUM($F94:N94))*$E$91</f>
        <v>9.8304000000002389E-3</v>
      </c>
      <c r="P94" s="19">
        <f>($E94-SUM($F94:O94))*$E$91</f>
        <v>3.9321600000000951E-3</v>
      </c>
    </row>
    <row r="95" spans="1:16" x14ac:dyDescent="0.25">
      <c r="A95" s="16"/>
      <c r="C95" s="19" t="s">
        <v>9</v>
      </c>
      <c r="E95" s="19">
        <v>5</v>
      </c>
      <c r="F95" s="19"/>
      <c r="G95" s="19"/>
      <c r="H95" s="19"/>
      <c r="I95" s="19">
        <f>($E95-SUM($F95:H95))*$E$91</f>
        <v>3</v>
      </c>
      <c r="J95" s="19">
        <f>($E95-SUM($F95:I95))*$E$91</f>
        <v>1.2</v>
      </c>
      <c r="K95" s="19">
        <f>($E95-SUM($F95:J95))*$E$91</f>
        <v>0.47999999999999987</v>
      </c>
      <c r="L95" s="19">
        <f>($E95-SUM($F95:K95))*$E$91</f>
        <v>0.19200000000000017</v>
      </c>
      <c r="M95" s="19">
        <f>($E95-SUM($F95:L95))*$E$91</f>
        <v>7.6800000000000063E-2</v>
      </c>
      <c r="N95" s="19">
        <f>($E95-SUM($F95:M95))*$E$91</f>
        <v>3.0719999999999813E-2</v>
      </c>
      <c r="O95" s="19">
        <f>($E95-SUM($F95:N95))*$E$91</f>
        <v>1.2288000000000032E-2</v>
      </c>
      <c r="P95" s="19">
        <f>($E95-SUM($F95:O95))*$E$91</f>
        <v>4.9152000000001195E-3</v>
      </c>
    </row>
    <row r="96" spans="1:16" x14ac:dyDescent="0.25">
      <c r="A96" s="16"/>
      <c r="C96" s="19" t="s">
        <v>8</v>
      </c>
      <c r="E96" s="19">
        <v>5</v>
      </c>
      <c r="F96" s="19"/>
      <c r="G96" s="19"/>
      <c r="H96" s="19"/>
      <c r="I96" s="19"/>
      <c r="J96" s="19">
        <f>($E96-SUM($F96:I96))*$E$91</f>
        <v>3</v>
      </c>
      <c r="K96" s="19">
        <f>($E96-SUM($F96:J96))*$E$91</f>
        <v>1.2</v>
      </c>
      <c r="L96" s="19">
        <f>($E96-SUM($F96:K96))*$E$91</f>
        <v>0.47999999999999987</v>
      </c>
      <c r="M96" s="19">
        <f>($E96-SUM($F96:L96))*$E$91</f>
        <v>0.19200000000000017</v>
      </c>
      <c r="N96" s="19">
        <f>($E96-SUM($F96:M96))*$E$91</f>
        <v>7.6800000000000063E-2</v>
      </c>
      <c r="O96" s="19">
        <f>($E96-SUM($F96:N96))*$E$91</f>
        <v>3.0719999999999813E-2</v>
      </c>
      <c r="P96" s="19">
        <f>($E96-SUM($F96:O96))*$E$91</f>
        <v>1.2288000000000032E-2</v>
      </c>
    </row>
    <row r="97" spans="1:16" x14ac:dyDescent="0.25">
      <c r="A97" s="16"/>
      <c r="C97" s="19" t="s">
        <v>7</v>
      </c>
      <c r="E97" s="19">
        <v>5</v>
      </c>
      <c r="F97" s="19"/>
      <c r="G97" s="19"/>
      <c r="H97" s="19"/>
      <c r="I97" s="19"/>
      <c r="J97" s="19"/>
      <c r="K97" s="19">
        <f>($E97-SUM($F97:J97))*$E$91</f>
        <v>3</v>
      </c>
      <c r="L97" s="19">
        <f>($E97-SUM($F97:K97))*$E$91</f>
        <v>1.2</v>
      </c>
      <c r="M97" s="19">
        <f>($E97-SUM($F97:L97))*$E$91</f>
        <v>0.47999999999999987</v>
      </c>
      <c r="N97" s="19">
        <f>($E97-SUM($F97:M97))*$E$91</f>
        <v>0.19200000000000017</v>
      </c>
      <c r="O97" s="19">
        <f>($E97-SUM($F97:N97))*$E$91</f>
        <v>7.6800000000000063E-2</v>
      </c>
      <c r="P97" s="19">
        <f>($E97-SUM($F97:O97))*$E$91</f>
        <v>3.0719999999999813E-2</v>
      </c>
    </row>
    <row r="98" spans="1:16" x14ac:dyDescent="0.25">
      <c r="A98" s="16"/>
      <c r="C98" s="19" t="s">
        <v>2</v>
      </c>
      <c r="E98" s="19">
        <v>10</v>
      </c>
      <c r="F98" s="19"/>
      <c r="G98" s="19"/>
      <c r="H98" s="19"/>
      <c r="I98" s="19"/>
      <c r="J98" s="19"/>
      <c r="K98" s="19"/>
      <c r="L98" s="19">
        <f>($E98-SUM($F98:K98))*$E$91</f>
        <v>6</v>
      </c>
      <c r="M98" s="19">
        <f>($E98-SUM($F98:L98))*$E$91</f>
        <v>2.4</v>
      </c>
      <c r="N98" s="19">
        <f>($E98-SUM($F98:M98))*$E$91</f>
        <v>0.95999999999999974</v>
      </c>
      <c r="O98" s="19">
        <f>($E98-SUM($F98:N98))*$E$91</f>
        <v>0.38400000000000034</v>
      </c>
      <c r="P98" s="19">
        <f>($E98-SUM($F98:O98))*$E$91</f>
        <v>0.15360000000000013</v>
      </c>
    </row>
    <row r="99" spans="1:16" x14ac:dyDescent="0.25">
      <c r="A99" s="16"/>
      <c r="C99" s="19" t="s">
        <v>3</v>
      </c>
      <c r="E99" s="19">
        <v>5</v>
      </c>
      <c r="F99" s="19"/>
      <c r="G99" s="19"/>
      <c r="H99" s="19"/>
      <c r="I99" s="19"/>
      <c r="J99" s="19"/>
      <c r="K99" s="19"/>
      <c r="L99" s="19"/>
      <c r="M99" s="19">
        <f>($E99-SUM($F99:L99))*$E$91</f>
        <v>3</v>
      </c>
      <c r="N99" s="19">
        <f>($E99-SUM($F99:M99))*$E$91</f>
        <v>1.2</v>
      </c>
      <c r="O99" s="19">
        <f>($E99-SUM($F99:N99))*$E$91</f>
        <v>0.47999999999999987</v>
      </c>
      <c r="P99" s="19">
        <f>($E99-SUM($F99:O99))*$E$91</f>
        <v>0.19200000000000017</v>
      </c>
    </row>
    <row r="100" spans="1:16" x14ac:dyDescent="0.25">
      <c r="A100" s="16"/>
      <c r="C100" s="19" t="s">
        <v>4</v>
      </c>
      <c r="E100" s="19">
        <v>5</v>
      </c>
      <c r="F100" s="19"/>
      <c r="G100" s="19"/>
      <c r="H100" s="19"/>
      <c r="I100" s="19"/>
      <c r="J100" s="19"/>
      <c r="K100" s="19"/>
      <c r="L100" s="19"/>
      <c r="M100" s="19"/>
      <c r="N100" s="19">
        <f>($E100-SUM($F100:M100))*$E$91</f>
        <v>3</v>
      </c>
      <c r="O100" s="19">
        <f>($E100-SUM($F100:N100))*$E$91</f>
        <v>1.2</v>
      </c>
      <c r="P100" s="19">
        <f>($E100-SUM($F100:O100))*$E$91</f>
        <v>0.47999999999999987</v>
      </c>
    </row>
    <row r="101" spans="1:16" x14ac:dyDescent="0.25">
      <c r="A101" s="16"/>
      <c r="C101" s="19" t="s">
        <v>5</v>
      </c>
      <c r="E101" s="19">
        <v>5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>
        <f>($E101-SUM($F101:N101))*$E$91</f>
        <v>3</v>
      </c>
      <c r="P101" s="19">
        <f>($E101-SUM($F101:O101))*$E$91</f>
        <v>1.2</v>
      </c>
    </row>
    <row r="102" spans="1:16" x14ac:dyDescent="0.25">
      <c r="A102" s="16"/>
      <c r="C102" s="19" t="s">
        <v>6</v>
      </c>
      <c r="E102" s="19">
        <v>10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>
        <f>($E102-SUM($F102:O102))*$E$91</f>
        <v>6</v>
      </c>
    </row>
    <row r="103" spans="1:16" x14ac:dyDescent="0.25">
      <c r="A103" s="16"/>
      <c r="C103" s="79" t="s">
        <v>168</v>
      </c>
      <c r="D103" s="80"/>
      <c r="E103" s="72"/>
      <c r="F103" s="72"/>
      <c r="G103" s="72">
        <f>SUM(G93:G102)</f>
        <v>6</v>
      </c>
      <c r="H103" s="72">
        <f t="shared" ref="H103:P103" si="48">SUM(H93:H102)</f>
        <v>8.4</v>
      </c>
      <c r="I103" s="72">
        <f t="shared" si="48"/>
        <v>6.3599999999999994</v>
      </c>
      <c r="J103" s="72">
        <f t="shared" si="48"/>
        <v>5.5440000000000005</v>
      </c>
      <c r="K103" s="72">
        <f t="shared" si="48"/>
        <v>5.2176</v>
      </c>
      <c r="L103" s="72">
        <f t="shared" si="48"/>
        <v>8.08704</v>
      </c>
      <c r="M103" s="72">
        <f t="shared" si="48"/>
        <v>6.2348159999999995</v>
      </c>
      <c r="N103" s="72">
        <f t="shared" si="48"/>
        <v>5.4939264000000003</v>
      </c>
      <c r="O103" s="72">
        <f t="shared" si="48"/>
        <v>5.1975705600000008</v>
      </c>
      <c r="P103" s="72">
        <f t="shared" si="48"/>
        <v>8.079028224</v>
      </c>
    </row>
    <row r="104" spans="1:16" x14ac:dyDescent="0.25">
      <c r="A104" s="12" t="s">
        <v>105</v>
      </c>
      <c r="B104" s="16"/>
      <c r="C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6"/>
      <c r="B105" s="12" t="s">
        <v>96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 x14ac:dyDescent="0.25">
      <c r="A106" s="16"/>
      <c r="C106" s="13" t="s">
        <v>114</v>
      </c>
      <c r="G106" s="42">
        <v>0</v>
      </c>
      <c r="H106" s="19">
        <f>G109</f>
        <v>35</v>
      </c>
      <c r="I106" s="19">
        <f t="shared" ref="I106" si="49">H109</f>
        <v>60</v>
      </c>
      <c r="J106" s="19">
        <f t="shared" ref="J106" si="50">I109</f>
        <v>60</v>
      </c>
      <c r="K106" s="19">
        <f t="shared" ref="K106" si="51">J109</f>
        <v>60</v>
      </c>
      <c r="L106" s="19">
        <f t="shared" ref="L106" si="52">K109</f>
        <v>60</v>
      </c>
      <c r="M106" s="19">
        <f t="shared" ref="M106" si="53">L109</f>
        <v>90</v>
      </c>
      <c r="N106" s="19">
        <f t="shared" ref="N106" si="54">M109</f>
        <v>90</v>
      </c>
      <c r="O106" s="19">
        <f t="shared" ref="O106" si="55">N109</f>
        <v>90</v>
      </c>
      <c r="P106" s="19">
        <f t="shared" ref="P106" si="56">O109</f>
        <v>90</v>
      </c>
    </row>
    <row r="107" spans="1:16" x14ac:dyDescent="0.25">
      <c r="A107" s="16"/>
      <c r="C107" s="13" t="s">
        <v>115</v>
      </c>
      <c r="G107" s="19">
        <f>G26</f>
        <v>35</v>
      </c>
      <c r="H107" s="19">
        <f t="shared" ref="H107:P107" si="57">H26</f>
        <v>25</v>
      </c>
      <c r="I107" s="19">
        <f t="shared" si="57"/>
        <v>0</v>
      </c>
      <c r="J107" s="19">
        <f t="shared" si="57"/>
        <v>0</v>
      </c>
      <c r="K107" s="19">
        <f t="shared" si="57"/>
        <v>0</v>
      </c>
      <c r="L107" s="19">
        <f t="shared" si="57"/>
        <v>30</v>
      </c>
      <c r="M107" s="19">
        <f t="shared" si="57"/>
        <v>0</v>
      </c>
      <c r="N107" s="19">
        <f t="shared" si="57"/>
        <v>0</v>
      </c>
      <c r="O107" s="19">
        <f t="shared" si="57"/>
        <v>0</v>
      </c>
      <c r="P107" s="19">
        <f t="shared" si="57"/>
        <v>10</v>
      </c>
    </row>
    <row r="108" spans="1:16" x14ac:dyDescent="0.25">
      <c r="A108" s="16"/>
      <c r="C108" s="13" t="s">
        <v>116</v>
      </c>
      <c r="G108" s="19">
        <f t="shared" ref="G108:P108" si="58">G32</f>
        <v>0</v>
      </c>
      <c r="H108" s="19">
        <f t="shared" si="58"/>
        <v>0</v>
      </c>
      <c r="I108" s="19">
        <f t="shared" si="58"/>
        <v>0</v>
      </c>
      <c r="J108" s="19">
        <f t="shared" si="58"/>
        <v>0</v>
      </c>
      <c r="K108" s="19">
        <f t="shared" si="58"/>
        <v>0</v>
      </c>
      <c r="L108" s="19">
        <f t="shared" si="58"/>
        <v>0</v>
      </c>
      <c r="M108" s="19">
        <f t="shared" si="58"/>
        <v>0</v>
      </c>
      <c r="N108" s="19">
        <f t="shared" si="58"/>
        <v>0</v>
      </c>
      <c r="O108" s="19">
        <f t="shared" si="58"/>
        <v>0</v>
      </c>
      <c r="P108" s="19">
        <f t="shared" si="58"/>
        <v>0</v>
      </c>
    </row>
    <row r="109" spans="1:16" s="12" customFormat="1" x14ac:dyDescent="0.25">
      <c r="A109" s="15"/>
      <c r="C109" s="72" t="s">
        <v>118</v>
      </c>
      <c r="D109" s="72"/>
      <c r="E109" s="72"/>
      <c r="F109" s="72"/>
      <c r="G109" s="79">
        <f>G106+G107-G108</f>
        <v>35</v>
      </c>
      <c r="H109" s="79">
        <f>H106+H107-H108</f>
        <v>60</v>
      </c>
      <c r="I109" s="79">
        <f t="shared" ref="I109:P109" si="59">I106+I107-I108</f>
        <v>60</v>
      </c>
      <c r="J109" s="79">
        <f t="shared" si="59"/>
        <v>60</v>
      </c>
      <c r="K109" s="79">
        <f t="shared" si="59"/>
        <v>60</v>
      </c>
      <c r="L109" s="79">
        <f t="shared" si="59"/>
        <v>90</v>
      </c>
      <c r="M109" s="79">
        <f t="shared" si="59"/>
        <v>90</v>
      </c>
      <c r="N109" s="79">
        <f t="shared" si="59"/>
        <v>90</v>
      </c>
      <c r="O109" s="79">
        <f t="shared" si="59"/>
        <v>90</v>
      </c>
      <c r="P109" s="79">
        <f t="shared" si="59"/>
        <v>100</v>
      </c>
    </row>
    <row r="110" spans="1:16" s="12" customFormat="1" x14ac:dyDescent="0.25">
      <c r="A110" s="12" t="s">
        <v>119</v>
      </c>
      <c r="E110" s="82">
        <f>Assumptions!E103</f>
        <v>0.15</v>
      </c>
      <c r="F110" s="45"/>
    </row>
    <row r="111" spans="1:16" s="12" customFormat="1" x14ac:dyDescent="0.25">
      <c r="A111" s="15"/>
      <c r="B111" s="12" t="s">
        <v>120</v>
      </c>
    </row>
    <row r="112" spans="1:16" x14ac:dyDescent="0.25">
      <c r="A112" s="16"/>
      <c r="C112" s="19" t="s">
        <v>1</v>
      </c>
      <c r="E112" s="19">
        <f t="array" ref="E112:E121">TRANSPOSE(G107:P107)</f>
        <v>35</v>
      </c>
      <c r="F112" s="19"/>
      <c r="G112" s="19">
        <f>MIN($E112-SUM($F112:F112),$E112*$E$110)</f>
        <v>5.25</v>
      </c>
      <c r="H112" s="19">
        <f>MIN($E112-SUM($F112:G112),$E112*$E$110)</f>
        <v>5.25</v>
      </c>
      <c r="I112" s="19">
        <f>MIN($E112-SUM($F112:H112),$E112*$E$110)</f>
        <v>5.25</v>
      </c>
      <c r="J112" s="19">
        <f>MIN($E112-SUM($F112:I112),$E112*$E$110)</f>
        <v>5.25</v>
      </c>
      <c r="K112" s="19">
        <f>MIN($E112-SUM($F112:J112),$E112*$E$110)</f>
        <v>5.25</v>
      </c>
      <c r="L112" s="19">
        <f>MIN($E112-SUM($F112:K112),$E112*$E$110)</f>
        <v>5.25</v>
      </c>
      <c r="M112" s="19">
        <f>MIN($E112-SUM($F112:L112),$E112*$E$110)</f>
        <v>3.5</v>
      </c>
      <c r="N112" s="19">
        <f>MIN($E112-SUM($F112:M112),$E112*$E$110)</f>
        <v>0</v>
      </c>
      <c r="O112" s="19">
        <f>MIN($E112-SUM($F112:N112),$E112*$E$110)</f>
        <v>0</v>
      </c>
      <c r="P112" s="19">
        <f>MIN($E112-SUM($F112:O112),$E112*$E$110)</f>
        <v>0</v>
      </c>
    </row>
    <row r="113" spans="1:16" x14ac:dyDescent="0.25">
      <c r="A113" s="16"/>
      <c r="C113" s="19" t="s">
        <v>10</v>
      </c>
      <c r="E113" s="19">
        <v>25</v>
      </c>
      <c r="F113" s="19"/>
      <c r="G113" s="19"/>
      <c r="H113" s="19">
        <f>MIN($E113-SUM($F113:G113),$E113*$E$110)</f>
        <v>3.75</v>
      </c>
      <c r="I113" s="19">
        <f>MIN($E113-SUM($F113:H113),$E113*$E$110)</f>
        <v>3.75</v>
      </c>
      <c r="J113" s="19">
        <f>MIN($E113-SUM($F113:I113),$E113*$E$110)</f>
        <v>3.75</v>
      </c>
      <c r="K113" s="19">
        <f>MIN($E113-SUM($F113:J113),$E113*$E$110)</f>
        <v>3.75</v>
      </c>
      <c r="L113" s="19">
        <f>MIN($E113-SUM($F113:K113),$E113*$E$110)</f>
        <v>3.75</v>
      </c>
      <c r="M113" s="19">
        <f>MIN($E113-SUM($F113:L113),$E113*$E$110)</f>
        <v>3.75</v>
      </c>
      <c r="N113" s="19">
        <f>MIN($E113-SUM($F113:M113),$E113*$E$110)</f>
        <v>2.5</v>
      </c>
      <c r="O113" s="19">
        <f>MIN($E113-SUM($F113:N113),$E113*$E$110)</f>
        <v>0</v>
      </c>
      <c r="P113" s="19">
        <f>MIN($E113-SUM($F113:O113),$E113*$E$110)</f>
        <v>0</v>
      </c>
    </row>
    <row r="114" spans="1:16" x14ac:dyDescent="0.25">
      <c r="A114" s="16"/>
      <c r="C114" s="19" t="s">
        <v>9</v>
      </c>
      <c r="E114" s="19">
        <v>0</v>
      </c>
      <c r="F114" s="19"/>
      <c r="G114" s="19"/>
      <c r="H114" s="19"/>
      <c r="I114" s="19">
        <f>MIN($E114-SUM($F114:H114),$E114*$E$110)</f>
        <v>0</v>
      </c>
      <c r="J114" s="19">
        <f>MIN($E114-SUM($F114:I114),$E114*$E$110)</f>
        <v>0</v>
      </c>
      <c r="K114" s="19">
        <f>MIN($E114-SUM($F114:J114),$E114*$E$110)</f>
        <v>0</v>
      </c>
      <c r="L114" s="19">
        <f>MIN($E114-SUM($F114:K114),$E114*$E$110)</f>
        <v>0</v>
      </c>
      <c r="M114" s="19">
        <f>MIN($E114-SUM($F114:L114),$E114*$E$110)</f>
        <v>0</v>
      </c>
      <c r="N114" s="19">
        <f>MIN($E114-SUM($F114:M114),$E114*$E$110)</f>
        <v>0</v>
      </c>
      <c r="O114" s="19">
        <f>MIN($E114-SUM($F114:N114),$E114*$E$110)</f>
        <v>0</v>
      </c>
      <c r="P114" s="19">
        <f>MIN($E114-SUM($F114:O114),$E114*$E$110)</f>
        <v>0</v>
      </c>
    </row>
    <row r="115" spans="1:16" x14ac:dyDescent="0.25">
      <c r="A115" s="16"/>
      <c r="C115" s="19" t="s">
        <v>8</v>
      </c>
      <c r="E115" s="19">
        <v>0</v>
      </c>
      <c r="F115" s="19"/>
      <c r="G115" s="19"/>
      <c r="H115" s="19"/>
      <c r="I115" s="19"/>
      <c r="J115" s="19">
        <f>MIN($E115-SUM($F115:I115),$E115*$E$110)</f>
        <v>0</v>
      </c>
      <c r="K115" s="19">
        <f>MIN($E115-SUM($F115:J115),$E115*$E$110)</f>
        <v>0</v>
      </c>
      <c r="L115" s="19">
        <f>MIN($E115-SUM($F115:K115),$E115*$E$110)</f>
        <v>0</v>
      </c>
      <c r="M115" s="19">
        <f>MIN($E115-SUM($F115:L115),$E115*$E$110)</f>
        <v>0</v>
      </c>
      <c r="N115" s="19">
        <f>MIN($E115-SUM($F115:M115),$E115*$E$110)</f>
        <v>0</v>
      </c>
      <c r="O115" s="19">
        <f>MIN($E115-SUM($F115:N115),$E115*$E$110)</f>
        <v>0</v>
      </c>
      <c r="P115" s="19">
        <f>MIN($E115-SUM($F115:O115),$E115*$E$110)</f>
        <v>0</v>
      </c>
    </row>
    <row r="116" spans="1:16" x14ac:dyDescent="0.25">
      <c r="A116" s="16"/>
      <c r="C116" s="19" t="s">
        <v>7</v>
      </c>
      <c r="E116" s="19">
        <v>0</v>
      </c>
      <c r="F116" s="19"/>
      <c r="G116" s="19"/>
      <c r="H116" s="19"/>
      <c r="I116" s="19"/>
      <c r="J116" s="19"/>
      <c r="K116" s="19">
        <f>MIN($E116-SUM($F116:J116),$E116*$E$110)</f>
        <v>0</v>
      </c>
      <c r="L116" s="19">
        <f>MIN($E116-SUM($F116:K116),$E116*$E$110)</f>
        <v>0</v>
      </c>
      <c r="M116" s="19">
        <f>MIN($E116-SUM($F116:L116),$E116*$E$110)</f>
        <v>0</v>
      </c>
      <c r="N116" s="19">
        <f>MIN($E116-SUM($F116:M116),$E116*$E$110)</f>
        <v>0</v>
      </c>
      <c r="O116" s="19">
        <f>MIN($E116-SUM($F116:N116),$E116*$E$110)</f>
        <v>0</v>
      </c>
      <c r="P116" s="19">
        <f>MIN($E116-SUM($F116:O116),$E116*$E$110)</f>
        <v>0</v>
      </c>
    </row>
    <row r="117" spans="1:16" x14ac:dyDescent="0.25">
      <c r="A117" s="16"/>
      <c r="C117" s="19" t="s">
        <v>2</v>
      </c>
      <c r="E117" s="19">
        <v>30</v>
      </c>
      <c r="F117" s="19"/>
      <c r="G117" s="19"/>
      <c r="H117" s="19"/>
      <c r="I117" s="19"/>
      <c r="J117" s="19"/>
      <c r="K117" s="19"/>
      <c r="L117" s="19">
        <f>MIN($E117-SUM($F117:K117),$E117*$E$110)</f>
        <v>4.5</v>
      </c>
      <c r="M117" s="19">
        <f>MIN($E117-SUM($F117:L117),$E117*$E$110)</f>
        <v>4.5</v>
      </c>
      <c r="N117" s="19">
        <f>MIN($E117-SUM($F117:M117),$E117*$E$110)</f>
        <v>4.5</v>
      </c>
      <c r="O117" s="19">
        <f>MIN($E117-SUM($F117:N117),$E117*$E$110)</f>
        <v>4.5</v>
      </c>
      <c r="P117" s="19">
        <f>MIN($E117-SUM($F117:O117),$E117*$E$110)</f>
        <v>4.5</v>
      </c>
    </row>
    <row r="118" spans="1:16" x14ac:dyDescent="0.25">
      <c r="A118" s="16"/>
      <c r="C118" s="19" t="s">
        <v>3</v>
      </c>
      <c r="E118" s="19">
        <v>0</v>
      </c>
      <c r="F118" s="19"/>
      <c r="G118" s="19"/>
      <c r="H118" s="19"/>
      <c r="I118" s="19"/>
      <c r="J118" s="19"/>
      <c r="K118" s="19"/>
      <c r="L118" s="19"/>
      <c r="M118" s="19">
        <f>MIN($E118-SUM($F118:L118),$E118*$E$110)</f>
        <v>0</v>
      </c>
      <c r="N118" s="19">
        <f>MIN($E118-SUM($F118:M118),$E118*$E$110)</f>
        <v>0</v>
      </c>
      <c r="O118" s="19">
        <f>MIN($E118-SUM($F118:N118),$E118*$E$110)</f>
        <v>0</v>
      </c>
      <c r="P118" s="19">
        <f>MIN($E118-SUM($F118:O118),$E118*$E$110)</f>
        <v>0</v>
      </c>
    </row>
    <row r="119" spans="1:16" x14ac:dyDescent="0.25">
      <c r="A119" s="16"/>
      <c r="C119" s="19" t="s">
        <v>4</v>
      </c>
      <c r="E119" s="19">
        <v>0</v>
      </c>
      <c r="F119" s="19"/>
      <c r="G119" s="19"/>
      <c r="H119" s="19"/>
      <c r="I119" s="19"/>
      <c r="J119" s="19"/>
      <c r="K119" s="19"/>
      <c r="L119" s="19"/>
      <c r="M119" s="19"/>
      <c r="N119" s="19">
        <f>MIN($E119-SUM($F119:M119),$E119*$E$110)</f>
        <v>0</v>
      </c>
      <c r="O119" s="19">
        <f>MIN($E119-SUM($F119:N119),$E119*$E$110)</f>
        <v>0</v>
      </c>
      <c r="P119" s="19">
        <f>MIN($E119-SUM($F119:O119),$E119*$E$110)</f>
        <v>0</v>
      </c>
    </row>
    <row r="120" spans="1:16" x14ac:dyDescent="0.25">
      <c r="A120" s="16"/>
      <c r="C120" s="19" t="s">
        <v>5</v>
      </c>
      <c r="E120" s="19">
        <v>0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>
        <f>MIN($E120-SUM($F120:N120),$E120*$E$110)</f>
        <v>0</v>
      </c>
      <c r="P120" s="19">
        <f>MIN($E120-SUM($F120:O120),$E120*$E$110)</f>
        <v>0</v>
      </c>
    </row>
    <row r="121" spans="1:16" x14ac:dyDescent="0.25">
      <c r="A121" s="16"/>
      <c r="C121" s="19" t="s">
        <v>6</v>
      </c>
      <c r="E121" s="19">
        <v>10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>
        <f>MIN($E121-SUM($F121:O121),$E121*$E$110)</f>
        <v>1.5</v>
      </c>
    </row>
    <row r="122" spans="1:16" s="12" customFormat="1" x14ac:dyDescent="0.25">
      <c r="A122" s="15"/>
      <c r="C122" s="79" t="s">
        <v>168</v>
      </c>
      <c r="D122" s="72"/>
      <c r="E122" s="72"/>
      <c r="F122" s="72"/>
      <c r="G122" s="72">
        <f>SUM(G112:G121)</f>
        <v>5.25</v>
      </c>
      <c r="H122" s="72">
        <f t="shared" ref="H122" si="60">SUM(H112:H121)</f>
        <v>9</v>
      </c>
      <c r="I122" s="72">
        <f t="shared" ref="I122" si="61">SUM(I112:I121)</f>
        <v>9</v>
      </c>
      <c r="J122" s="72">
        <f t="shared" ref="J122" si="62">SUM(J112:J121)</f>
        <v>9</v>
      </c>
      <c r="K122" s="72">
        <f>SUM(K112:K121)</f>
        <v>9</v>
      </c>
      <c r="L122" s="72">
        <f t="shared" ref="L122" si="63">SUM(L112:L121)</f>
        <v>13.5</v>
      </c>
      <c r="M122" s="72">
        <f t="shared" ref="M122" si="64">SUM(M112:M121)</f>
        <v>11.75</v>
      </c>
      <c r="N122" s="72">
        <f t="shared" ref="N122" si="65">SUM(N112:N121)</f>
        <v>7</v>
      </c>
      <c r="O122" s="72">
        <f t="shared" ref="O122" si="66">SUM(O112:O121)</f>
        <v>4.5</v>
      </c>
      <c r="P122" s="72">
        <f t="shared" ref="P122" si="67">SUM(P112:P121)</f>
        <v>6</v>
      </c>
    </row>
    <row r="123" spans="1:16" s="12" customFormat="1" x14ac:dyDescent="0.25">
      <c r="A123" s="12" t="s">
        <v>121</v>
      </c>
      <c r="E123" s="82">
        <f>Assumptions!G103</f>
        <v>0.1</v>
      </c>
      <c r="F123" s="45"/>
    </row>
    <row r="124" spans="1:16" s="12" customFormat="1" x14ac:dyDescent="0.25">
      <c r="A124" s="15"/>
      <c r="B124" s="12" t="s">
        <v>120</v>
      </c>
    </row>
    <row r="125" spans="1:16" x14ac:dyDescent="0.25">
      <c r="A125" s="16"/>
      <c r="C125" s="19" t="s">
        <v>1</v>
      </c>
      <c r="E125" s="19">
        <f t="array" ref="E125:E134">TRANSPOSE(G107:P107)</f>
        <v>35</v>
      </c>
      <c r="F125" s="19"/>
      <c r="G125" s="19">
        <f>($E125-SUM($F125:F125))*$E$123</f>
        <v>3.5</v>
      </c>
      <c r="H125" s="19">
        <f>($E125-SUM($F125:G125))*$E$123</f>
        <v>3.1500000000000004</v>
      </c>
      <c r="I125" s="19">
        <f>($E125-SUM($F125:H125))*$E$123</f>
        <v>2.8350000000000004</v>
      </c>
      <c r="J125" s="19">
        <f>($E125-SUM($F125:I125))*$E$123</f>
        <v>2.5515000000000003</v>
      </c>
      <c r="K125" s="19">
        <f>($E125-SUM($F125:J125))*$E$123</f>
        <v>2.2963499999999999</v>
      </c>
      <c r="L125" s="19">
        <f>($E125-SUM($F125:K125))*$E$123</f>
        <v>2.0667149999999999</v>
      </c>
      <c r="M125" s="19">
        <f>($E125-SUM($F125:L125))*$E$123</f>
        <v>1.8600434999999997</v>
      </c>
      <c r="N125" s="19">
        <f>($E125-SUM($F125:M125))*$E$123</f>
        <v>1.6740391499999998</v>
      </c>
      <c r="O125" s="19">
        <f>($E125-SUM($F125:N125))*$E$123</f>
        <v>1.5066352350000001</v>
      </c>
      <c r="P125" s="19">
        <f>($E125-SUM($F125:O125))*$E$123</f>
        <v>1.3559717114999998</v>
      </c>
    </row>
    <row r="126" spans="1:16" x14ac:dyDescent="0.25">
      <c r="A126" s="16"/>
      <c r="C126" s="19" t="s">
        <v>10</v>
      </c>
      <c r="E126" s="19">
        <v>25</v>
      </c>
      <c r="F126" s="19"/>
      <c r="G126" s="19"/>
      <c r="H126" s="19">
        <f>($E126-SUM($F126:G126))*$E$123</f>
        <v>2.5</v>
      </c>
      <c r="I126" s="19">
        <f>($E126-SUM($F126:H126))*$E$123</f>
        <v>2.25</v>
      </c>
      <c r="J126" s="19">
        <f>($E126-SUM($F126:I126))*$E$123</f>
        <v>2.0249999999999999</v>
      </c>
      <c r="K126" s="19">
        <f>($E126-SUM($F126:J126))*$E$123</f>
        <v>1.8225000000000002</v>
      </c>
      <c r="L126" s="19">
        <f>($E126-SUM($F126:K126))*$E$123</f>
        <v>1.64025</v>
      </c>
      <c r="M126" s="19">
        <f>($E126-SUM($F126:L126))*$E$123</f>
        <v>1.4762250000000001</v>
      </c>
      <c r="N126" s="19">
        <f>($E126-SUM($F126:M126))*$E$123</f>
        <v>1.3286025000000001</v>
      </c>
      <c r="O126" s="19">
        <f>($E126-SUM($F126:N126))*$E$123</f>
        <v>1.1957422500000001</v>
      </c>
      <c r="P126" s="19">
        <f>($E126-SUM($F126:O126))*$E$123</f>
        <v>1.0761680250000001</v>
      </c>
    </row>
    <row r="127" spans="1:16" x14ac:dyDescent="0.25">
      <c r="A127" s="16"/>
      <c r="C127" s="19" t="s">
        <v>9</v>
      </c>
      <c r="E127" s="19">
        <v>0</v>
      </c>
      <c r="F127" s="19"/>
      <c r="G127" s="19"/>
      <c r="H127" s="19"/>
      <c r="I127" s="19">
        <f>($E127-SUM($F127:H127))*$E$123</f>
        <v>0</v>
      </c>
      <c r="J127" s="19">
        <f>($E127-SUM($F127:I127))*$E$123</f>
        <v>0</v>
      </c>
      <c r="K127" s="19">
        <f>($E127-SUM($F127:J127))*$E$123</f>
        <v>0</v>
      </c>
      <c r="L127" s="19">
        <f>($E127-SUM($F127:K127))*$E$123</f>
        <v>0</v>
      </c>
      <c r="M127" s="19">
        <f>($E127-SUM($F127:L127))*$E$123</f>
        <v>0</v>
      </c>
      <c r="N127" s="19">
        <f>($E127-SUM($F127:M127))*$E$123</f>
        <v>0</v>
      </c>
      <c r="O127" s="19">
        <f>($E127-SUM($F127:N127))*$E$123</f>
        <v>0</v>
      </c>
      <c r="P127" s="19">
        <f>($E127-SUM($F127:O127))*$E$123</f>
        <v>0</v>
      </c>
    </row>
    <row r="128" spans="1:16" x14ac:dyDescent="0.25">
      <c r="A128" s="16"/>
      <c r="C128" s="19" t="s">
        <v>8</v>
      </c>
      <c r="E128" s="19">
        <v>0</v>
      </c>
      <c r="F128" s="19"/>
      <c r="G128" s="19"/>
      <c r="H128" s="19"/>
      <c r="I128" s="19"/>
      <c r="J128" s="19">
        <f>($E128-SUM($F128:I128))*$E$123</f>
        <v>0</v>
      </c>
      <c r="K128" s="19">
        <f>($E128-SUM($F128:J128))*$E$123</f>
        <v>0</v>
      </c>
      <c r="L128" s="19">
        <f>($E128-SUM($F128:K128))*$E$123</f>
        <v>0</v>
      </c>
      <c r="M128" s="19">
        <f>($E128-SUM($F128:L128))*$E$123</f>
        <v>0</v>
      </c>
      <c r="N128" s="19">
        <f>($E128-SUM($F128:M128))*$E$123</f>
        <v>0</v>
      </c>
      <c r="O128" s="19">
        <f>($E128-SUM($F128:N128))*$E$123</f>
        <v>0</v>
      </c>
      <c r="P128" s="19">
        <f>($E128-SUM($F128:O128))*$E$123</f>
        <v>0</v>
      </c>
    </row>
    <row r="129" spans="1:16" x14ac:dyDescent="0.25">
      <c r="A129" s="16"/>
      <c r="C129" s="19" t="s">
        <v>7</v>
      </c>
      <c r="E129" s="19">
        <v>0</v>
      </c>
      <c r="F129" s="19"/>
      <c r="G129" s="19"/>
      <c r="H129" s="19"/>
      <c r="I129" s="19"/>
      <c r="J129" s="19"/>
      <c r="K129" s="19">
        <f>($E129-SUM($F129:J129))*$E$123</f>
        <v>0</v>
      </c>
      <c r="L129" s="19">
        <f>($E129-SUM($F129:K129))*$E$123</f>
        <v>0</v>
      </c>
      <c r="M129" s="19">
        <f>($E129-SUM($F129:L129))*$E$123</f>
        <v>0</v>
      </c>
      <c r="N129" s="19">
        <f>($E129-SUM($F129:M129))*$E$123</f>
        <v>0</v>
      </c>
      <c r="O129" s="19">
        <f>($E129-SUM($F129:N129))*$E$123</f>
        <v>0</v>
      </c>
      <c r="P129" s="19">
        <f>($E129-SUM($F129:O129))*$E$123</f>
        <v>0</v>
      </c>
    </row>
    <row r="130" spans="1:16" x14ac:dyDescent="0.25">
      <c r="A130" s="16"/>
      <c r="C130" s="19" t="s">
        <v>2</v>
      </c>
      <c r="E130" s="19">
        <v>30</v>
      </c>
      <c r="F130" s="19"/>
      <c r="G130" s="19"/>
      <c r="H130" s="19"/>
      <c r="I130" s="19"/>
      <c r="J130" s="19"/>
      <c r="K130" s="19"/>
      <c r="L130" s="19">
        <f>($E130-SUM($F130:K130))*$E$123</f>
        <v>3</v>
      </c>
      <c r="M130" s="19">
        <f>($E130-SUM($F130:L130))*$E$123</f>
        <v>2.7</v>
      </c>
      <c r="N130" s="19">
        <f>($E130-SUM($F130:M130))*$E$123</f>
        <v>2.4300000000000002</v>
      </c>
      <c r="O130" s="19">
        <f>($E130-SUM($F130:N130))*$E$123</f>
        <v>2.1869999999999998</v>
      </c>
      <c r="P130" s="19">
        <f>($E130-SUM($F130:O130))*$E$123</f>
        <v>1.9683000000000002</v>
      </c>
    </row>
    <row r="131" spans="1:16" x14ac:dyDescent="0.25">
      <c r="A131" s="16"/>
      <c r="C131" s="19" t="s">
        <v>3</v>
      </c>
      <c r="E131" s="19">
        <v>0</v>
      </c>
      <c r="F131" s="19"/>
      <c r="G131" s="19"/>
      <c r="H131" s="19"/>
      <c r="I131" s="19"/>
      <c r="J131" s="19"/>
      <c r="K131" s="19"/>
      <c r="L131" s="19"/>
      <c r="M131" s="19">
        <f>($E131-SUM($F131:L131))*$E$123</f>
        <v>0</v>
      </c>
      <c r="N131" s="19">
        <f>($E131-SUM($F131:M131))*$E$123</f>
        <v>0</v>
      </c>
      <c r="O131" s="19">
        <f>($E131-SUM($F131:N131))*$E$123</f>
        <v>0</v>
      </c>
      <c r="P131" s="19">
        <f>($E131-SUM($F131:O131))*$E$123</f>
        <v>0</v>
      </c>
    </row>
    <row r="132" spans="1:16" x14ac:dyDescent="0.25">
      <c r="A132" s="16"/>
      <c r="C132" s="19" t="s">
        <v>4</v>
      </c>
      <c r="E132" s="19">
        <v>0</v>
      </c>
      <c r="F132" s="19"/>
      <c r="G132" s="19"/>
      <c r="H132" s="19"/>
      <c r="I132" s="19"/>
      <c r="J132" s="19"/>
      <c r="K132" s="19"/>
      <c r="L132" s="19"/>
      <c r="M132" s="19"/>
      <c r="N132" s="19">
        <f>($E132-SUM($F132:M132))*$E$123</f>
        <v>0</v>
      </c>
      <c r="O132" s="19">
        <f>($E132-SUM($F132:N132))*$E$123</f>
        <v>0</v>
      </c>
      <c r="P132" s="19">
        <f>($E132-SUM($F132:O132))*$E$123</f>
        <v>0</v>
      </c>
    </row>
    <row r="133" spans="1:16" x14ac:dyDescent="0.25">
      <c r="A133" s="16"/>
      <c r="C133" s="19" t="s">
        <v>5</v>
      </c>
      <c r="E133" s="19">
        <v>0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>
        <f>($E133-SUM($F133:N133))*$E$123</f>
        <v>0</v>
      </c>
      <c r="P133" s="19">
        <f>($E133-SUM($F133:O133))*$E$123</f>
        <v>0</v>
      </c>
    </row>
    <row r="134" spans="1:16" x14ac:dyDescent="0.25">
      <c r="A134" s="16"/>
      <c r="C134" s="19" t="s">
        <v>6</v>
      </c>
      <c r="E134" s="19">
        <v>10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>
        <f>($E134-SUM($F134:O134))*$E$123</f>
        <v>1</v>
      </c>
    </row>
    <row r="135" spans="1:16" s="12" customFormat="1" x14ac:dyDescent="0.25">
      <c r="A135" s="15"/>
      <c r="C135" s="79" t="s">
        <v>168</v>
      </c>
      <c r="D135" s="72"/>
      <c r="E135" s="72"/>
      <c r="F135" s="72"/>
      <c r="G135" s="72">
        <f>SUM(G125:G134)</f>
        <v>3.5</v>
      </c>
      <c r="H135" s="72">
        <f t="shared" ref="H135:P135" si="68">SUM(H125:H134)</f>
        <v>5.65</v>
      </c>
      <c r="I135" s="72">
        <f t="shared" si="68"/>
        <v>5.0850000000000009</v>
      </c>
      <c r="J135" s="72">
        <f t="shared" si="68"/>
        <v>4.5765000000000002</v>
      </c>
      <c r="K135" s="72">
        <f t="shared" si="68"/>
        <v>4.1188500000000001</v>
      </c>
      <c r="L135" s="72">
        <f t="shared" si="68"/>
        <v>6.7069650000000003</v>
      </c>
      <c r="M135" s="72">
        <f t="shared" si="68"/>
        <v>6.0362685000000003</v>
      </c>
      <c r="N135" s="72">
        <f t="shared" si="68"/>
        <v>5.4326416500000008</v>
      </c>
      <c r="O135" s="72">
        <f t="shared" si="68"/>
        <v>4.8893774850000007</v>
      </c>
      <c r="P135" s="72">
        <f t="shared" si="68"/>
        <v>5.4004397365000001</v>
      </c>
    </row>
    <row r="136" spans="1:16" x14ac:dyDescent="0.25">
      <c r="A136" s="12" t="s">
        <v>122</v>
      </c>
      <c r="C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x14ac:dyDescent="0.25">
      <c r="A137" s="16"/>
      <c r="B137" s="19" t="s">
        <v>96</v>
      </c>
      <c r="C137" s="13"/>
      <c r="G137" s="94">
        <f>SUM(G39,G45,G77,G109)</f>
        <v>505</v>
      </c>
      <c r="H137" s="94">
        <f t="shared" ref="H137:P137" si="69">SUM(H39,H45,H77,H109)</f>
        <v>990</v>
      </c>
      <c r="I137" s="94">
        <f t="shared" si="69"/>
        <v>1044</v>
      </c>
      <c r="J137" s="94">
        <f t="shared" si="69"/>
        <v>1059</v>
      </c>
      <c r="K137" s="94">
        <f t="shared" si="69"/>
        <v>1124</v>
      </c>
      <c r="L137" s="94">
        <f t="shared" si="69"/>
        <v>1300</v>
      </c>
      <c r="M137" s="94">
        <f t="shared" si="69"/>
        <v>1505</v>
      </c>
      <c r="N137" s="94">
        <f t="shared" si="69"/>
        <v>1645</v>
      </c>
      <c r="O137" s="94">
        <f t="shared" si="69"/>
        <v>1750</v>
      </c>
      <c r="P137" s="94">
        <f t="shared" si="69"/>
        <v>1874.5</v>
      </c>
    </row>
    <row r="138" spans="1:16" x14ac:dyDescent="0.25">
      <c r="A138" s="16"/>
      <c r="B138" s="19" t="s">
        <v>123</v>
      </c>
      <c r="C138" s="13"/>
      <c r="G138" s="94">
        <f>SUM(G58,G90,G122)</f>
        <v>73.382999999999996</v>
      </c>
      <c r="H138" s="94">
        <f t="shared" ref="H138:P138" si="70">SUM(H58,H90,H122)</f>
        <v>152.46600000000001</v>
      </c>
      <c r="I138" s="94">
        <f t="shared" si="70"/>
        <v>162.95250000000001</v>
      </c>
      <c r="J138" s="94">
        <f t="shared" si="70"/>
        <v>163.08700000000002</v>
      </c>
      <c r="K138" s="94">
        <f t="shared" si="70"/>
        <v>163.22050000000002</v>
      </c>
      <c r="L138" s="94">
        <f t="shared" si="70"/>
        <v>165.06649999999999</v>
      </c>
      <c r="M138" s="94">
        <f t="shared" si="70"/>
        <v>122.31649999999999</v>
      </c>
      <c r="N138" s="94">
        <f t="shared" si="70"/>
        <v>92.546499999999995</v>
      </c>
      <c r="O138" s="94">
        <f t="shared" si="70"/>
        <v>100.68050000000001</v>
      </c>
      <c r="P138" s="94">
        <f t="shared" si="70"/>
        <v>120.8565</v>
      </c>
    </row>
    <row r="139" spans="1:16" x14ac:dyDescent="0.25">
      <c r="A139" s="16"/>
      <c r="B139" s="19" t="s">
        <v>169</v>
      </c>
      <c r="C139" s="13"/>
      <c r="G139" s="94">
        <f>SUM(G71,G103,G135)</f>
        <v>63.5</v>
      </c>
      <c r="H139" s="94">
        <f t="shared" ref="H139:P139" si="71">SUM(H71,H103,H135)</f>
        <v>119.95000000000002</v>
      </c>
      <c r="I139" s="94">
        <f t="shared" si="71"/>
        <v>108.81</v>
      </c>
      <c r="J139" s="94">
        <f t="shared" si="71"/>
        <v>94.380749999999992</v>
      </c>
      <c r="K139" s="94">
        <f t="shared" si="71"/>
        <v>82.457662499999998</v>
      </c>
      <c r="L139" s="94">
        <f t="shared" si="71"/>
        <v>97.34703562499999</v>
      </c>
      <c r="M139" s="94">
        <f t="shared" si="71"/>
        <v>104.94116053124999</v>
      </c>
      <c r="N139" s="94">
        <f t="shared" si="71"/>
        <v>105.44613267656251</v>
      </c>
      <c r="O139" s="94">
        <f t="shared" si="71"/>
        <v>105.42857797757812</v>
      </c>
      <c r="P139" s="94">
        <f t="shared" si="71"/>
        <v>110.1948534031914</v>
      </c>
    </row>
  </sheetData>
  <pageMargins left="0.7" right="0.7" top="0.75" bottom="0.74" header="0.3" footer="0.3"/>
  <pageSetup scale="70" orientation="landscape" r:id="rId1"/>
  <headerFooter>
    <oddFooter>&amp;CPage &amp;P of &amp;N&amp;RAnthored byShashi Bhushan</oddFooter>
  </headerFooter>
  <rowBreaks count="1" manualBreakCount="1">
    <brk id="45" min="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Assumptions</vt:lpstr>
      <vt:lpstr>Revenue Build Up</vt:lpstr>
      <vt:lpstr>Cost Build Up</vt:lpstr>
      <vt:lpstr>P &amp; L</vt:lpstr>
      <vt:lpstr>BS</vt:lpstr>
      <vt:lpstr>Asset Schedule</vt:lpstr>
      <vt:lpstr>'Asset Schedule'!Print_Area</vt:lpstr>
      <vt:lpstr>BS!Print_Area</vt:lpstr>
      <vt:lpstr>'Cost Build Up'!Print_Area</vt:lpstr>
      <vt:lpstr>'P &amp; L'!Print_Area</vt:lpstr>
      <vt:lpstr>'Revenue Build Up'!Print_Area</vt:lpstr>
      <vt:lpstr>'Asset Schedule'!Print_Titles</vt:lpstr>
      <vt:lpstr>Assumptions!Print_Titles</vt:lpstr>
      <vt:lpstr>BS!Print_Titles</vt:lpstr>
      <vt:lpstr>'Cost Build Up'!Print_Titles</vt:lpstr>
      <vt:lpstr>'P &amp; 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2018-07-23T13:19:22Z</dcterms:modified>
</cp:coreProperties>
</file>