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375" windowHeight="4965" activeTab="2"/>
  </bookViews>
  <sheets>
    <sheet name="PRICE OF BOND" sheetId="1" r:id="rId1"/>
    <sheet name="BOND YIELD" sheetId="2" r:id="rId2"/>
    <sheet name="YIELD TO CALL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0"/>
</workbook>
</file>

<file path=xl/calcChain.xml><?xml version="1.0" encoding="utf-8"?>
<calcChain xmlns="http://schemas.openxmlformats.org/spreadsheetml/2006/main">
  <c r="G7" i="2"/>
  <c r="H7"/>
  <c r="I7"/>
  <c r="J7"/>
  <c r="E8"/>
  <c r="F8"/>
  <c r="G8"/>
  <c r="H8"/>
  <c r="I8"/>
  <c r="J8"/>
  <c r="E9"/>
  <c r="F9"/>
  <c r="G9"/>
  <c r="H9"/>
  <c r="I9"/>
  <c r="J9"/>
  <c r="E10"/>
  <c r="F10"/>
  <c r="G10"/>
  <c r="H10"/>
  <c r="I10"/>
  <c r="J10"/>
  <c r="E11"/>
  <c r="F11"/>
  <c r="G11"/>
  <c r="H11"/>
  <c r="I11"/>
  <c r="J11"/>
  <c r="C12"/>
  <c r="E12"/>
  <c r="F12"/>
  <c r="G12"/>
  <c r="H12"/>
  <c r="I12"/>
  <c r="J12"/>
  <c r="E13"/>
  <c r="F13"/>
  <c r="G13"/>
  <c r="H13"/>
  <c r="I13"/>
  <c r="J13"/>
  <c r="E14"/>
  <c r="F14"/>
  <c r="G14"/>
  <c r="H14"/>
  <c r="I14"/>
  <c r="J14"/>
  <c r="E15"/>
  <c r="F15"/>
  <c r="G15"/>
  <c r="H15"/>
  <c r="I15"/>
  <c r="J15"/>
  <c r="E16"/>
  <c r="F16"/>
  <c r="G16"/>
  <c r="H16"/>
  <c r="I16"/>
  <c r="J16"/>
  <c r="E17"/>
  <c r="F17"/>
  <c r="G17"/>
  <c r="H17"/>
  <c r="I17"/>
  <c r="J17"/>
  <c r="B18"/>
  <c r="E18"/>
  <c r="F18"/>
  <c r="G18"/>
  <c r="H18"/>
  <c r="I18"/>
  <c r="J18"/>
  <c r="B19"/>
  <c r="E19"/>
  <c r="F19"/>
  <c r="G19"/>
  <c r="H19"/>
  <c r="I19"/>
  <c r="J19"/>
  <c r="B20"/>
  <c r="E20"/>
  <c r="F20"/>
  <c r="G20"/>
  <c r="H20"/>
  <c r="I20"/>
  <c r="J20"/>
  <c r="E21"/>
  <c r="F21"/>
  <c r="G21"/>
  <c r="H21"/>
  <c r="I21"/>
  <c r="J21"/>
  <c r="B22"/>
  <c r="E22"/>
  <c r="F22"/>
  <c r="G22"/>
  <c r="H22"/>
  <c r="I22"/>
  <c r="J22"/>
  <c r="E23"/>
  <c r="F23"/>
  <c r="G23"/>
  <c r="H23"/>
  <c r="I23"/>
  <c r="J23"/>
  <c r="E24"/>
  <c r="F24"/>
  <c r="G24"/>
  <c r="H24"/>
  <c r="I24"/>
  <c r="J24"/>
  <c r="E25"/>
  <c r="F25"/>
  <c r="G25"/>
  <c r="H25"/>
  <c r="I25"/>
  <c r="J25"/>
  <c r="E26"/>
  <c r="F26"/>
  <c r="G26"/>
  <c r="H26"/>
  <c r="I26"/>
  <c r="J26"/>
  <c r="E27"/>
  <c r="F27"/>
  <c r="G27"/>
  <c r="H27"/>
  <c r="I27"/>
  <c r="J27"/>
  <c r="E28"/>
  <c r="F28"/>
  <c r="G28"/>
  <c r="H28"/>
  <c r="I28"/>
  <c r="J28"/>
  <c r="E29"/>
  <c r="F29"/>
  <c r="G29"/>
  <c r="H29"/>
  <c r="I29"/>
  <c r="J29"/>
  <c r="E30"/>
  <c r="F30"/>
  <c r="G30"/>
  <c r="H30"/>
  <c r="I30"/>
  <c r="J30"/>
  <c r="E31"/>
  <c r="F31"/>
  <c r="G31"/>
  <c r="H31"/>
  <c r="I31"/>
  <c r="J31"/>
  <c r="E32"/>
  <c r="F32"/>
  <c r="G32"/>
  <c r="H32"/>
  <c r="I32"/>
  <c r="J32"/>
  <c r="E33"/>
  <c r="F33"/>
  <c r="G33"/>
  <c r="H33"/>
  <c r="I33"/>
  <c r="J33"/>
  <c r="E34"/>
  <c r="F34"/>
  <c r="G34"/>
  <c r="H34"/>
  <c r="I34"/>
  <c r="J34"/>
  <c r="E35"/>
  <c r="F35"/>
  <c r="G35"/>
  <c r="H35"/>
  <c r="I35"/>
  <c r="J35"/>
  <c r="E36"/>
  <c r="F36"/>
  <c r="G36"/>
  <c r="H36"/>
  <c r="I36"/>
  <c r="J36"/>
  <c r="E37"/>
  <c r="F37"/>
  <c r="G37"/>
  <c r="H37"/>
  <c r="I37"/>
  <c r="J37"/>
  <c r="E38"/>
  <c r="F38"/>
  <c r="G38"/>
  <c r="H38"/>
  <c r="I38"/>
  <c r="J38"/>
  <c r="E39"/>
  <c r="F39"/>
  <c r="G39"/>
  <c r="H39"/>
  <c r="I39"/>
  <c r="J39"/>
  <c r="E40"/>
  <c r="F40"/>
  <c r="G40"/>
  <c r="H40"/>
  <c r="I40"/>
  <c r="J40"/>
  <c r="E41"/>
  <c r="F41"/>
  <c r="G41"/>
  <c r="H41"/>
  <c r="I41"/>
  <c r="J41"/>
  <c r="E42"/>
  <c r="F42"/>
  <c r="G42"/>
  <c r="H42"/>
  <c r="I42"/>
  <c r="J42"/>
  <c r="E43"/>
  <c r="F43"/>
  <c r="G43"/>
  <c r="H43"/>
  <c r="I43"/>
  <c r="J43"/>
  <c r="E44"/>
  <c r="F44"/>
  <c r="G44"/>
  <c r="H44"/>
  <c r="I44"/>
  <c r="J44"/>
  <c r="E45"/>
  <c r="F45"/>
  <c r="G45"/>
  <c r="H45"/>
  <c r="I45"/>
  <c r="J45"/>
  <c r="E46"/>
  <c r="F46"/>
  <c r="G46"/>
  <c r="H46"/>
  <c r="I46"/>
  <c r="J46"/>
  <c r="E47"/>
  <c r="F47"/>
  <c r="G47"/>
  <c r="H47"/>
  <c r="I47"/>
  <c r="J47"/>
  <c r="E48"/>
  <c r="F48"/>
  <c r="G48"/>
  <c r="H48"/>
  <c r="I48"/>
  <c r="J48"/>
  <c r="E49"/>
  <c r="F49"/>
  <c r="G49"/>
  <c r="H49"/>
  <c r="I49"/>
  <c r="J49"/>
  <c r="E50"/>
  <c r="F50"/>
  <c r="G50"/>
  <c r="H50"/>
  <c r="I50"/>
  <c r="J50"/>
  <c r="E51"/>
  <c r="F51"/>
  <c r="G51"/>
  <c r="H51"/>
  <c r="I51"/>
  <c r="J51"/>
  <c r="E52"/>
  <c r="F52"/>
  <c r="G52"/>
  <c r="H52"/>
  <c r="I52"/>
  <c r="J52"/>
  <c r="E53"/>
  <c r="F53"/>
  <c r="G53"/>
  <c r="H53"/>
  <c r="I53"/>
  <c r="J53"/>
  <c r="E54"/>
  <c r="F54"/>
  <c r="G54"/>
  <c r="H54"/>
  <c r="I54"/>
  <c r="J54"/>
  <c r="E55"/>
  <c r="F55"/>
  <c r="G55"/>
  <c r="H55"/>
  <c r="I55"/>
  <c r="J55"/>
  <c r="E56"/>
  <c r="F56"/>
  <c r="G56"/>
  <c r="H56"/>
  <c r="I56"/>
  <c r="J56"/>
  <c r="E57"/>
  <c r="F57"/>
  <c r="G57"/>
  <c r="H57"/>
  <c r="I57"/>
  <c r="J57"/>
  <c r="I59"/>
  <c r="J59"/>
  <c r="G7" i="1"/>
  <c r="H7"/>
  <c r="I7"/>
  <c r="J7"/>
  <c r="E8"/>
  <c r="F8"/>
  <c r="G8"/>
  <c r="H8"/>
  <c r="I8"/>
  <c r="J8"/>
  <c r="E9"/>
  <c r="F9"/>
  <c r="G9"/>
  <c r="H9"/>
  <c r="I9"/>
  <c r="J9"/>
  <c r="E10"/>
  <c r="F10"/>
  <c r="G10"/>
  <c r="H10"/>
  <c r="I10"/>
  <c r="J10"/>
  <c r="E11"/>
  <c r="F11"/>
  <c r="G11"/>
  <c r="H11"/>
  <c r="I11"/>
  <c r="J11"/>
  <c r="C12"/>
  <c r="E12"/>
  <c r="F12"/>
  <c r="G12"/>
  <c r="H12"/>
  <c r="I12"/>
  <c r="J12"/>
  <c r="E13"/>
  <c r="F13"/>
  <c r="G13"/>
  <c r="H13"/>
  <c r="I13"/>
  <c r="J13"/>
  <c r="E14"/>
  <c r="F14"/>
  <c r="G14"/>
  <c r="H14"/>
  <c r="I14"/>
  <c r="J14"/>
  <c r="E15"/>
  <c r="F15"/>
  <c r="G15"/>
  <c r="H15"/>
  <c r="I15"/>
  <c r="J15"/>
  <c r="E16"/>
  <c r="F16"/>
  <c r="G16"/>
  <c r="H16"/>
  <c r="I16"/>
  <c r="J16"/>
  <c r="E17"/>
  <c r="F17"/>
  <c r="G17"/>
  <c r="H17"/>
  <c r="I17"/>
  <c r="J17"/>
  <c r="B18"/>
  <c r="E18"/>
  <c r="F18"/>
  <c r="G18"/>
  <c r="H18"/>
  <c r="I18"/>
  <c r="J18"/>
  <c r="E19"/>
  <c r="F19"/>
  <c r="G19"/>
  <c r="H19"/>
  <c r="I19"/>
  <c r="J19"/>
  <c r="E20"/>
  <c r="F20"/>
  <c r="G20"/>
  <c r="H20"/>
  <c r="I20"/>
  <c r="J20"/>
  <c r="E21"/>
  <c r="F21"/>
  <c r="G21"/>
  <c r="H21"/>
  <c r="I21"/>
  <c r="J21"/>
  <c r="E22"/>
  <c r="F22"/>
  <c r="G22"/>
  <c r="H22"/>
  <c r="I22"/>
  <c r="J22"/>
  <c r="B23"/>
  <c r="E23"/>
  <c r="F23"/>
  <c r="G23"/>
  <c r="H23"/>
  <c r="I23"/>
  <c r="J23"/>
  <c r="E24"/>
  <c r="F24"/>
  <c r="G24"/>
  <c r="H24"/>
  <c r="I24"/>
  <c r="J24"/>
  <c r="E25"/>
  <c r="F25"/>
  <c r="G25"/>
  <c r="H25"/>
  <c r="I25"/>
  <c r="J25"/>
  <c r="E26"/>
  <c r="F26"/>
  <c r="G26"/>
  <c r="H26"/>
  <c r="I26"/>
  <c r="J26"/>
  <c r="E27"/>
  <c r="F27"/>
  <c r="G27"/>
  <c r="H27"/>
  <c r="I27"/>
  <c r="J27"/>
  <c r="E28"/>
  <c r="F28"/>
  <c r="G28"/>
  <c r="H28"/>
  <c r="I28"/>
  <c r="J28"/>
  <c r="E29"/>
  <c r="F29"/>
  <c r="G29"/>
  <c r="H29"/>
  <c r="I29"/>
  <c r="J29"/>
  <c r="E30"/>
  <c r="F30"/>
  <c r="G30"/>
  <c r="H30"/>
  <c r="I30"/>
  <c r="J30"/>
  <c r="E31"/>
  <c r="F31"/>
  <c r="G31"/>
  <c r="H31"/>
  <c r="I31"/>
  <c r="J31"/>
  <c r="E32"/>
  <c r="F32"/>
  <c r="G32"/>
  <c r="H32"/>
  <c r="I32"/>
  <c r="J32"/>
  <c r="E33"/>
  <c r="F33"/>
  <c r="G33"/>
  <c r="H33"/>
  <c r="I33"/>
  <c r="J33"/>
  <c r="E34"/>
  <c r="F34"/>
  <c r="G34"/>
  <c r="H34"/>
  <c r="I34"/>
  <c r="J34"/>
  <c r="E35"/>
  <c r="F35"/>
  <c r="G35"/>
  <c r="H35"/>
  <c r="I35"/>
  <c r="J35"/>
  <c r="E36"/>
  <c r="F36"/>
  <c r="G36"/>
  <c r="H36"/>
  <c r="I36"/>
  <c r="J36"/>
  <c r="E37"/>
  <c r="F37"/>
  <c r="G37"/>
  <c r="H37"/>
  <c r="I37"/>
  <c r="J37"/>
  <c r="E38"/>
  <c r="F38"/>
  <c r="G38"/>
  <c r="H38"/>
  <c r="I38"/>
  <c r="J38"/>
  <c r="E39"/>
  <c r="F39"/>
  <c r="G39"/>
  <c r="H39"/>
  <c r="I39"/>
  <c r="J39"/>
  <c r="E40"/>
  <c r="F40"/>
  <c r="G40"/>
  <c r="H40"/>
  <c r="I40"/>
  <c r="J40"/>
  <c r="E41"/>
  <c r="F41"/>
  <c r="G41"/>
  <c r="H41"/>
  <c r="I41"/>
  <c r="J41"/>
  <c r="E42"/>
  <c r="F42"/>
  <c r="G42"/>
  <c r="H42"/>
  <c r="I42"/>
  <c r="J42"/>
  <c r="E43"/>
  <c r="F43"/>
  <c r="G43"/>
  <c r="H43"/>
  <c r="I43"/>
  <c r="J43"/>
  <c r="E44"/>
  <c r="F44"/>
  <c r="G44"/>
  <c r="H44"/>
  <c r="I44"/>
  <c r="J44"/>
  <c r="E45"/>
  <c r="F45"/>
  <c r="G45"/>
  <c r="H45"/>
  <c r="I45"/>
  <c r="J45"/>
  <c r="E46"/>
  <c r="F46"/>
  <c r="G46"/>
  <c r="H46"/>
  <c r="I46"/>
  <c r="J46"/>
  <c r="E47"/>
  <c r="F47"/>
  <c r="G47"/>
  <c r="H47"/>
  <c r="I47"/>
  <c r="J47"/>
  <c r="E48"/>
  <c r="F48"/>
  <c r="G48"/>
  <c r="H48"/>
  <c r="I48"/>
  <c r="J48"/>
  <c r="E49"/>
  <c r="F49"/>
  <c r="G49"/>
  <c r="H49"/>
  <c r="I49"/>
  <c r="J49"/>
  <c r="E50"/>
  <c r="F50"/>
  <c r="G50"/>
  <c r="H50"/>
  <c r="I50"/>
  <c r="J50"/>
  <c r="E51"/>
  <c r="F51"/>
  <c r="G51"/>
  <c r="H51"/>
  <c r="I51"/>
  <c r="J51"/>
  <c r="E52"/>
  <c r="F52"/>
  <c r="G52"/>
  <c r="H52"/>
  <c r="I52"/>
  <c r="J52"/>
  <c r="E53"/>
  <c r="F53"/>
  <c r="G53"/>
  <c r="H53"/>
  <c r="I53"/>
  <c r="J53"/>
  <c r="E54"/>
  <c r="F54"/>
  <c r="G54"/>
  <c r="H54"/>
  <c r="I54"/>
  <c r="J54"/>
  <c r="E55"/>
  <c r="F55"/>
  <c r="G55"/>
  <c r="H55"/>
  <c r="I55"/>
  <c r="J55"/>
  <c r="E56"/>
  <c r="F56"/>
  <c r="G56"/>
  <c r="H56"/>
  <c r="I56"/>
  <c r="J56"/>
  <c r="E57"/>
  <c r="F57"/>
  <c r="G57"/>
  <c r="H57"/>
  <c r="I57"/>
  <c r="J57"/>
  <c r="I59"/>
  <c r="J59"/>
  <c r="G7" i="3"/>
  <c r="H7"/>
  <c r="I7"/>
  <c r="J7"/>
  <c r="M7"/>
  <c r="N7"/>
  <c r="O7"/>
  <c r="P7"/>
  <c r="E8"/>
  <c r="F8"/>
  <c r="G8"/>
  <c r="H8"/>
  <c r="I8"/>
  <c r="J8"/>
  <c r="K8"/>
  <c r="L8"/>
  <c r="M8"/>
  <c r="N8"/>
  <c r="O8"/>
  <c r="P8"/>
  <c r="E9"/>
  <c r="F9"/>
  <c r="G9"/>
  <c r="H9"/>
  <c r="I9"/>
  <c r="J9"/>
  <c r="K9"/>
  <c r="L9"/>
  <c r="M9"/>
  <c r="N9"/>
  <c r="O9"/>
  <c r="P9"/>
  <c r="E10"/>
  <c r="F10"/>
  <c r="G10"/>
  <c r="H10"/>
  <c r="I10"/>
  <c r="J10"/>
  <c r="K10"/>
  <c r="L10"/>
  <c r="M10"/>
  <c r="N10"/>
  <c r="O10"/>
  <c r="P10"/>
  <c r="E11"/>
  <c r="F11"/>
  <c r="G11"/>
  <c r="H11"/>
  <c r="I11"/>
  <c r="J11"/>
  <c r="K11"/>
  <c r="L11"/>
  <c r="M11"/>
  <c r="N11"/>
  <c r="O11"/>
  <c r="P11"/>
  <c r="C12"/>
  <c r="E12"/>
  <c r="F12"/>
  <c r="G12"/>
  <c r="H12"/>
  <c r="I12"/>
  <c r="J12"/>
  <c r="K12"/>
  <c r="L12"/>
  <c r="M12"/>
  <c r="N12"/>
  <c r="O12"/>
  <c r="P12"/>
  <c r="E13"/>
  <c r="F13"/>
  <c r="G13"/>
  <c r="H13"/>
  <c r="I13"/>
  <c r="J13"/>
  <c r="K13"/>
  <c r="L13"/>
  <c r="M13"/>
  <c r="N13"/>
  <c r="O13"/>
  <c r="P13"/>
  <c r="E14"/>
  <c r="F14"/>
  <c r="G14"/>
  <c r="H14"/>
  <c r="I14"/>
  <c r="J14"/>
  <c r="K14"/>
  <c r="L14"/>
  <c r="M14"/>
  <c r="N14"/>
  <c r="O14"/>
  <c r="P14"/>
  <c r="E15"/>
  <c r="F15"/>
  <c r="G15"/>
  <c r="H15"/>
  <c r="I15"/>
  <c r="J15"/>
  <c r="K15"/>
  <c r="L15"/>
  <c r="M15"/>
  <c r="N15"/>
  <c r="O15"/>
  <c r="P15"/>
  <c r="E16"/>
  <c r="F16"/>
  <c r="G16"/>
  <c r="H16"/>
  <c r="I16"/>
  <c r="J16"/>
  <c r="K16"/>
  <c r="L16"/>
  <c r="M16"/>
  <c r="N16"/>
  <c r="O16"/>
  <c r="P16"/>
  <c r="E17"/>
  <c r="F17"/>
  <c r="G17"/>
  <c r="H17"/>
  <c r="I17"/>
  <c r="J17"/>
  <c r="K17"/>
  <c r="L17"/>
  <c r="M17"/>
  <c r="N17"/>
  <c r="O17"/>
  <c r="P17"/>
  <c r="B18"/>
  <c r="E18"/>
  <c r="F18"/>
  <c r="G18"/>
  <c r="H18"/>
  <c r="I18"/>
  <c r="J18"/>
  <c r="K18"/>
  <c r="L18"/>
  <c r="M18"/>
  <c r="N18"/>
  <c r="O18"/>
  <c r="P18"/>
  <c r="B19"/>
  <c r="E19"/>
  <c r="F19"/>
  <c r="G19"/>
  <c r="H19"/>
  <c r="I19"/>
  <c r="J19"/>
  <c r="K19"/>
  <c r="L19"/>
  <c r="M19"/>
  <c r="N19"/>
  <c r="O19"/>
  <c r="P19"/>
  <c r="B20"/>
  <c r="E20"/>
  <c r="F20"/>
  <c r="G20"/>
  <c r="H20"/>
  <c r="I20"/>
  <c r="J20"/>
  <c r="K20"/>
  <c r="L20"/>
  <c r="M20"/>
  <c r="N20"/>
  <c r="O20"/>
  <c r="P20"/>
  <c r="B21"/>
  <c r="E21"/>
  <c r="F21"/>
  <c r="G21"/>
  <c r="H21"/>
  <c r="I21"/>
  <c r="J21"/>
  <c r="K21"/>
  <c r="L21"/>
  <c r="M21"/>
  <c r="N21"/>
  <c r="O21"/>
  <c r="P21"/>
  <c r="B22"/>
  <c r="E22"/>
  <c r="F22"/>
  <c r="G22"/>
  <c r="H22"/>
  <c r="I22"/>
  <c r="J22"/>
  <c r="K22"/>
  <c r="L22"/>
  <c r="M22"/>
  <c r="N22"/>
  <c r="O22"/>
  <c r="P22"/>
  <c r="B23"/>
  <c r="E23"/>
  <c r="F23"/>
  <c r="G23"/>
  <c r="H23"/>
  <c r="I23"/>
  <c r="J23"/>
  <c r="K23"/>
  <c r="L23"/>
  <c r="M23"/>
  <c r="N23"/>
  <c r="O23"/>
  <c r="P23"/>
  <c r="E24"/>
  <c r="F24"/>
  <c r="G24"/>
  <c r="H24"/>
  <c r="I24"/>
  <c r="J24"/>
  <c r="K24"/>
  <c r="L24"/>
  <c r="M24"/>
  <c r="N24"/>
  <c r="O24"/>
  <c r="P24"/>
  <c r="B25"/>
  <c r="E25"/>
  <c r="F25"/>
  <c r="G25"/>
  <c r="H25"/>
  <c r="I25"/>
  <c r="J25"/>
  <c r="K25"/>
  <c r="L25"/>
  <c r="M25"/>
  <c r="N25"/>
  <c r="O25"/>
  <c r="P25"/>
  <c r="E26"/>
  <c r="F26"/>
  <c r="G26"/>
  <c r="H26"/>
  <c r="I26"/>
  <c r="J26"/>
  <c r="K26"/>
  <c r="L26"/>
  <c r="M26"/>
  <c r="N26"/>
  <c r="O26"/>
  <c r="P26"/>
  <c r="E27"/>
  <c r="F27"/>
  <c r="G27"/>
  <c r="H27"/>
  <c r="I27"/>
  <c r="J27"/>
  <c r="K27"/>
  <c r="L27"/>
  <c r="M27"/>
  <c r="N27"/>
  <c r="O27"/>
  <c r="P27"/>
  <c r="E28"/>
  <c r="F28"/>
  <c r="G28"/>
  <c r="H28"/>
  <c r="I28"/>
  <c r="J28"/>
  <c r="K28"/>
  <c r="L28"/>
  <c r="M28"/>
  <c r="N28"/>
  <c r="O28"/>
  <c r="P28"/>
  <c r="E29"/>
  <c r="F29"/>
  <c r="G29"/>
  <c r="H29"/>
  <c r="I29"/>
  <c r="J29"/>
  <c r="K29"/>
  <c r="L29"/>
  <c r="M29"/>
  <c r="N29"/>
  <c r="O29"/>
  <c r="P29"/>
  <c r="E30"/>
  <c r="F30"/>
  <c r="G30"/>
  <c r="H30"/>
  <c r="I30"/>
  <c r="J30"/>
  <c r="K30"/>
  <c r="L30"/>
  <c r="M30"/>
  <c r="N30"/>
  <c r="O30"/>
  <c r="P30"/>
  <c r="E31"/>
  <c r="F31"/>
  <c r="G31"/>
  <c r="H31"/>
  <c r="I31"/>
  <c r="J31"/>
  <c r="K31"/>
  <c r="L31"/>
  <c r="M31"/>
  <c r="N31"/>
  <c r="O31"/>
  <c r="P31"/>
  <c r="E32"/>
  <c r="F32"/>
  <c r="G32"/>
  <c r="H32"/>
  <c r="I32"/>
  <c r="J32"/>
  <c r="K32"/>
  <c r="L32"/>
  <c r="M32"/>
  <c r="N32"/>
  <c r="O32"/>
  <c r="P32"/>
  <c r="E33"/>
  <c r="F33"/>
  <c r="G33"/>
  <c r="H33"/>
  <c r="I33"/>
  <c r="J33"/>
  <c r="K33"/>
  <c r="L33"/>
  <c r="M33"/>
  <c r="N33"/>
  <c r="O33"/>
  <c r="P33"/>
  <c r="E34"/>
  <c r="F34"/>
  <c r="G34"/>
  <c r="H34"/>
  <c r="I34"/>
  <c r="J34"/>
  <c r="K34"/>
  <c r="L34"/>
  <c r="M34"/>
  <c r="N34"/>
  <c r="O34"/>
  <c r="P34"/>
  <c r="E35"/>
  <c r="F35"/>
  <c r="G35"/>
  <c r="H35"/>
  <c r="I35"/>
  <c r="J35"/>
  <c r="K35"/>
  <c r="L35"/>
  <c r="M35"/>
  <c r="N35"/>
  <c r="O35"/>
  <c r="P35"/>
  <c r="E36"/>
  <c r="F36"/>
  <c r="G36"/>
  <c r="H36"/>
  <c r="I36"/>
  <c r="J36"/>
  <c r="K36"/>
  <c r="L36"/>
  <c r="M36"/>
  <c r="N36"/>
  <c r="O36"/>
  <c r="P36"/>
  <c r="E37"/>
  <c r="F37"/>
  <c r="G37"/>
  <c r="H37"/>
  <c r="I37"/>
  <c r="J37"/>
  <c r="K37"/>
  <c r="L37"/>
  <c r="M37"/>
  <c r="N37"/>
  <c r="O37"/>
  <c r="P37"/>
  <c r="E38"/>
  <c r="F38"/>
  <c r="G38"/>
  <c r="H38"/>
  <c r="I38"/>
  <c r="J38"/>
  <c r="K38"/>
  <c r="L38"/>
  <c r="M38"/>
  <c r="N38"/>
  <c r="O38"/>
  <c r="P38"/>
  <c r="E39"/>
  <c r="F39"/>
  <c r="G39"/>
  <c r="H39"/>
  <c r="I39"/>
  <c r="J39"/>
  <c r="K39"/>
  <c r="L39"/>
  <c r="M39"/>
  <c r="N39"/>
  <c r="O39"/>
  <c r="P39"/>
  <c r="E40"/>
  <c r="F40"/>
  <c r="G40"/>
  <c r="H40"/>
  <c r="I40"/>
  <c r="J40"/>
  <c r="K40"/>
  <c r="L40"/>
  <c r="M40"/>
  <c r="N40"/>
  <c r="O40"/>
  <c r="P40"/>
  <c r="E41"/>
  <c r="F41"/>
  <c r="G41"/>
  <c r="H41"/>
  <c r="I41"/>
  <c r="J41"/>
  <c r="K41"/>
  <c r="L41"/>
  <c r="M41"/>
  <c r="N41"/>
  <c r="O41"/>
  <c r="P41"/>
  <c r="E42"/>
  <c r="F42"/>
  <c r="G42"/>
  <c r="H42"/>
  <c r="I42"/>
  <c r="J42"/>
  <c r="K42"/>
  <c r="L42"/>
  <c r="M42"/>
  <c r="N42"/>
  <c r="O42"/>
  <c r="P42"/>
  <c r="E43"/>
  <c r="F43"/>
  <c r="G43"/>
  <c r="H43"/>
  <c r="I43"/>
  <c r="J43"/>
  <c r="K43"/>
  <c r="L43"/>
  <c r="M43"/>
  <c r="N43"/>
  <c r="O43"/>
  <c r="P43"/>
  <c r="E44"/>
  <c r="F44"/>
  <c r="G44"/>
  <c r="H44"/>
  <c r="I44"/>
  <c r="J44"/>
  <c r="K44"/>
  <c r="L44"/>
  <c r="M44"/>
  <c r="N44"/>
  <c r="O44"/>
  <c r="P44"/>
  <c r="E45"/>
  <c r="F45"/>
  <c r="G45"/>
  <c r="H45"/>
  <c r="I45"/>
  <c r="J45"/>
  <c r="K45"/>
  <c r="L45"/>
  <c r="M45"/>
  <c r="N45"/>
  <c r="O45"/>
  <c r="P45"/>
  <c r="E46"/>
  <c r="F46"/>
  <c r="G46"/>
  <c r="H46"/>
  <c r="I46"/>
  <c r="J46"/>
  <c r="K46"/>
  <c r="L46"/>
  <c r="M46"/>
  <c r="N46"/>
  <c r="O46"/>
  <c r="P46"/>
  <c r="E47"/>
  <c r="F47"/>
  <c r="G47"/>
  <c r="H47"/>
  <c r="I47"/>
  <c r="J47"/>
  <c r="K47"/>
  <c r="L47"/>
  <c r="M47"/>
  <c r="N47"/>
  <c r="O47"/>
  <c r="P47"/>
  <c r="E48"/>
  <c r="F48"/>
  <c r="G48"/>
  <c r="H48"/>
  <c r="I48"/>
  <c r="J48"/>
  <c r="K48"/>
  <c r="L48"/>
  <c r="M48"/>
  <c r="N48"/>
  <c r="O48"/>
  <c r="P48"/>
  <c r="E49"/>
  <c r="F49"/>
  <c r="G49"/>
  <c r="H49"/>
  <c r="I49"/>
  <c r="J49"/>
  <c r="K49"/>
  <c r="L49"/>
  <c r="M49"/>
  <c r="N49"/>
  <c r="O49"/>
  <c r="P49"/>
  <c r="E50"/>
  <c r="F50"/>
  <c r="G50"/>
  <c r="H50"/>
  <c r="I50"/>
  <c r="J50"/>
  <c r="K50"/>
  <c r="L50"/>
  <c r="M50"/>
  <c r="N50"/>
  <c r="O50"/>
  <c r="P50"/>
  <c r="E51"/>
  <c r="F51"/>
  <c r="G51"/>
  <c r="H51"/>
  <c r="I51"/>
  <c r="J51"/>
  <c r="K51"/>
  <c r="L51"/>
  <c r="M51"/>
  <c r="N51"/>
  <c r="O51"/>
  <c r="P51"/>
  <c r="E52"/>
  <c r="F52"/>
  <c r="G52"/>
  <c r="H52"/>
  <c r="I52"/>
  <c r="J52"/>
  <c r="K52"/>
  <c r="L52"/>
  <c r="M52"/>
  <c r="N52"/>
  <c r="O52"/>
  <c r="P52"/>
  <c r="E53"/>
  <c r="F53"/>
  <c r="G53"/>
  <c r="H53"/>
  <c r="I53"/>
  <c r="J53"/>
  <c r="K53"/>
  <c r="L53"/>
  <c r="M53"/>
  <c r="N53"/>
  <c r="O53"/>
  <c r="P53"/>
  <c r="E54"/>
  <c r="F54"/>
  <c r="G54"/>
  <c r="H54"/>
  <c r="I54"/>
  <c r="J54"/>
  <c r="K54"/>
  <c r="L54"/>
  <c r="M54"/>
  <c r="N54"/>
  <c r="O54"/>
  <c r="P54"/>
  <c r="E55"/>
  <c r="F55"/>
  <c r="G55"/>
  <c r="H55"/>
  <c r="I55"/>
  <c r="J55"/>
  <c r="K55"/>
  <c r="L55"/>
  <c r="M55"/>
  <c r="N55"/>
  <c r="O55"/>
  <c r="P55"/>
  <c r="E56"/>
  <c r="F56"/>
  <c r="G56"/>
  <c r="H56"/>
  <c r="I56"/>
  <c r="J56"/>
  <c r="K56"/>
  <c r="L56"/>
  <c r="M56"/>
  <c r="N56"/>
  <c r="O56"/>
  <c r="P56"/>
  <c r="E57"/>
  <c r="F57"/>
  <c r="G57"/>
  <c r="H57"/>
  <c r="I57"/>
  <c r="J57"/>
  <c r="K57"/>
  <c r="L57"/>
  <c r="M57"/>
  <c r="N57"/>
  <c r="O57"/>
  <c r="P57"/>
  <c r="I59"/>
  <c r="J59"/>
  <c r="O59"/>
  <c r="P59"/>
</calcChain>
</file>

<file path=xl/sharedStrings.xml><?xml version="1.0" encoding="utf-8"?>
<sst xmlns="http://schemas.openxmlformats.org/spreadsheetml/2006/main" count="83" uniqueCount="43">
  <si>
    <t>VALUE OF A BOND</t>
  </si>
  <si>
    <t>This Model Calculates The Value / Price of a Bond</t>
  </si>
  <si>
    <t>Assumes Semiannual Interest Payments</t>
  </si>
  <si>
    <t>25 Year Maximum (Maturity); Years Entered As .5, 1.0, 1.5, 2.0, etc.</t>
  </si>
  <si>
    <t>PERIOD</t>
  </si>
  <si>
    <t>INTEREST CASH FLOWS</t>
  </si>
  <si>
    <t>DISCOUNTED INTEREST CASH FLOWS</t>
  </si>
  <si>
    <t>PRINCIPAL CASH FLOWS</t>
  </si>
  <si>
    <t>DISCOUNTED PRINCIPAL CASH FLOWS</t>
  </si>
  <si>
    <t>SUM OF DISCOUNTED CASH FLOWS</t>
  </si>
  <si>
    <t>CASH FLOWS FOR CALCULATION OF IRR</t>
  </si>
  <si>
    <t>INPUTS</t>
  </si>
  <si>
    <t>FACE/PAR AMOUNT OF BOND (e.g., $1000)</t>
  </si>
  <si>
    <t>COUPON INTEREST RATE PER YEAR (e.g., .08, .09, .10)</t>
  </si>
  <si>
    <t>YEARS TO MATURITY (e.g., 2.0, 1.5, 6.0, 25.0)</t>
  </si>
  <si>
    <t>Rate / Period</t>
  </si>
  <si>
    <t>REQUIRED RATE OF RETURN / DISCOUNT RATE (e.g., .10, .08)</t>
  </si>
  <si>
    <t>OUTPUT</t>
  </si>
  <si>
    <t>PRICE / VALUE OF BOND</t>
  </si>
  <si>
    <t>DATA TABLE ROR CHANGES</t>
  </si>
  <si>
    <t>NPV =</t>
  </si>
  <si>
    <t>IRR =</t>
  </si>
  <si>
    <t>YIELD TO MATURITY</t>
  </si>
  <si>
    <t>This Model Calculates The Yield To Maturity For A Bond</t>
  </si>
  <si>
    <t>Semiannual Interest Payments</t>
  </si>
  <si>
    <t>25 Year Maximum (Maturity)</t>
  </si>
  <si>
    <t>PAR / FACE VALUE OF BOND (e.g., $1,000)</t>
  </si>
  <si>
    <t>COUPON INTEREST RATE PER YEAR (e.g., .08, .10, .125)</t>
  </si>
  <si>
    <t>YEARS TO MATURITY (e.g., 2.0, 1.5, 10.0, 21.5)</t>
  </si>
  <si>
    <t>CURRENT PRICE OF BOND (e.g., $1052.50)</t>
  </si>
  <si>
    <t>CURRENT YIELD</t>
  </si>
  <si>
    <t>CAPITAL GAINS YIELD</t>
  </si>
  <si>
    <t>EFFECTIVE ANNUAL RATE</t>
  </si>
  <si>
    <t>YIELD TO CALL</t>
  </si>
  <si>
    <t>This Model Calculates Yield To First Call Date For A Callable Bond</t>
  </si>
  <si>
    <t>PAR / FACE VALUE OF BOND (e.g., $1000)</t>
  </si>
  <si>
    <t>COUPON INTEREST RATE PER YEAR (e.g., .06, .105)</t>
  </si>
  <si>
    <t>YEARS TO MATURITY (e.g., 2.0, 1.5)</t>
  </si>
  <si>
    <t>CURRENT PRICE OF BOND (e.g., $1050.25)</t>
  </si>
  <si>
    <t>CALL PRICE OF BOND (e.g., $1050)</t>
  </si>
  <si>
    <t>YEARS TO FIRST CALL (e.g., 2.0, 2.5)</t>
  </si>
  <si>
    <t>**CURRENT YIELD</t>
  </si>
  <si>
    <t>**CAPITAL GAINS YIELD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</si>
</sst>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7" formatCode="&quot;$&quot;#,##0.0000_);[Red]\(&quot;$&quot;#,##0.0000\)"/>
    <numFmt numFmtId="169" formatCode="_(&quot;$&quot;* #,##0_);_(&quot;$&quot;* \(#,##0\);_(&quot;$&quot;* &quot;-&quot;??_);_(@_)"/>
  </numFmts>
  <fonts count="11">
    <font>
      <sz val="1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8"/>
      <name val="Arial"/>
    </font>
    <font>
      <sz val="8"/>
      <name val="Arial"/>
    </font>
    <font>
      <b/>
      <sz val="14"/>
      <color indexed="8"/>
      <name val="Arial"/>
    </font>
    <font>
      <b/>
      <sz val="10"/>
      <color indexed="10"/>
      <name val="Arial"/>
    </font>
    <font>
      <b/>
      <sz val="10"/>
      <color indexed="12"/>
      <name val="Arial"/>
    </font>
    <font>
      <b/>
      <sz val="10"/>
      <color indexed="17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7"/>
      </left>
      <right style="thick">
        <color indexed="17"/>
      </right>
      <top style="thick">
        <color indexed="17"/>
      </top>
      <bottom/>
      <diagonal/>
    </border>
    <border>
      <left style="thick">
        <color indexed="17"/>
      </left>
      <right style="thick">
        <color indexed="17"/>
      </right>
      <top/>
      <bottom style="thick">
        <color indexed="17"/>
      </bottom>
      <diagonal/>
    </border>
    <border>
      <left style="thick">
        <color indexed="17"/>
      </left>
      <right style="thick">
        <color indexed="17"/>
      </right>
      <top/>
      <bottom/>
      <diagonal/>
    </border>
    <border>
      <left style="thick">
        <color indexed="17"/>
      </left>
      <right style="thick">
        <color indexed="17"/>
      </right>
      <top style="thick">
        <color indexed="17"/>
      </top>
      <bottom style="thick">
        <color indexed="17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 style="thick">
        <color indexed="10"/>
      </right>
      <top/>
      <bottom/>
      <diagonal/>
    </border>
    <border>
      <left style="thick">
        <color indexed="10"/>
      </left>
      <right style="thick">
        <color indexed="10"/>
      </right>
      <top/>
      <bottom style="thick">
        <color indexed="10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/>
    <xf numFmtId="167" fontId="4" fillId="0" borderId="0" xfId="0" applyNumberFormat="1" applyFont="1"/>
    <xf numFmtId="8" fontId="5" fillId="0" borderId="0" xfId="0" applyNumberFormat="1" applyFont="1"/>
    <xf numFmtId="0" fontId="4" fillId="0" borderId="0" xfId="0" applyFont="1" applyAlignment="1">
      <alignment horizontal="center" wrapText="1"/>
    </xf>
    <xf numFmtId="0" fontId="4" fillId="0" borderId="0" xfId="0" quotePrefix="1" applyFont="1" applyAlignment="1">
      <alignment horizontal="center" wrapText="1"/>
    </xf>
    <xf numFmtId="0" fontId="6" fillId="0" borderId="1" xfId="0" applyFont="1" applyBorder="1" applyAlignment="1">
      <alignment horizontal="center"/>
    </xf>
    <xf numFmtId="169" fontId="4" fillId="2" borderId="0" xfId="1" applyNumberFormat="1" applyFont="1" applyFill="1"/>
    <xf numFmtId="44" fontId="5" fillId="2" borderId="0" xfId="1" applyFont="1" applyFill="1"/>
    <xf numFmtId="8" fontId="4" fillId="0" borderId="0" xfId="0" applyNumberFormat="1" applyFont="1"/>
    <xf numFmtId="8" fontId="4" fillId="0" borderId="0" xfId="0" applyNumberFormat="1" applyFont="1" applyAlignment="1">
      <alignment wrapText="1"/>
    </xf>
    <xf numFmtId="0" fontId="7" fillId="0" borderId="2" xfId="0" quotePrefix="1" applyFont="1" applyBorder="1" applyAlignment="1">
      <alignment horizontal="left" wrapText="1"/>
    </xf>
    <xf numFmtId="8" fontId="8" fillId="0" borderId="2" xfId="0" applyNumberFormat="1" applyFont="1" applyBorder="1"/>
    <xf numFmtId="10" fontId="8" fillId="0" borderId="2" xfId="2" quotePrefix="1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0" fontId="7" fillId="2" borderId="0" xfId="0" applyFont="1" applyFill="1" applyAlignment="1">
      <alignment wrapText="1"/>
    </xf>
    <xf numFmtId="8" fontId="8" fillId="2" borderId="0" xfId="0" applyNumberFormat="1" applyFont="1" applyFill="1"/>
    <xf numFmtId="0" fontId="9" fillId="0" borderId="3" xfId="0" applyFont="1" applyBorder="1" applyAlignment="1">
      <alignment horizontal="center" wrapText="1"/>
    </xf>
    <xf numFmtId="10" fontId="8" fillId="0" borderId="2" xfId="0" applyNumberFormat="1" applyFont="1" applyBorder="1" applyAlignment="1">
      <alignment horizontal="center"/>
    </xf>
    <xf numFmtId="10" fontId="1" fillId="0" borderId="4" xfId="2" applyNumberFormat="1" applyFont="1" applyBorder="1" applyAlignment="1">
      <alignment horizontal="center"/>
    </xf>
    <xf numFmtId="0" fontId="7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8" fontId="0" fillId="0" borderId="3" xfId="0" applyNumberFormat="1" applyBorder="1"/>
    <xf numFmtId="0" fontId="7" fillId="0" borderId="2" xfId="0" applyFont="1" applyBorder="1" applyAlignment="1">
      <alignment wrapText="1"/>
    </xf>
    <xf numFmtId="8" fontId="9" fillId="0" borderId="5" xfId="1" applyNumberFormat="1" applyFont="1" applyBorder="1" applyAlignment="1">
      <alignment horizontal="center"/>
    </xf>
    <xf numFmtId="0" fontId="0" fillId="0" borderId="4" xfId="0" applyBorder="1"/>
    <xf numFmtId="0" fontId="1" fillId="0" borderId="0" xfId="0" applyFont="1" applyAlignment="1">
      <alignment horizontal="center"/>
    </xf>
    <xf numFmtId="8" fontId="10" fillId="0" borderId="0" xfId="1" applyNumberFormat="1" applyFont="1" applyBorder="1" applyAlignment="1">
      <alignment horizontal="center"/>
    </xf>
    <xf numFmtId="9" fontId="1" fillId="0" borderId="0" xfId="2" applyFont="1"/>
    <xf numFmtId="44" fontId="1" fillId="0" borderId="0" xfId="1" applyNumberFormat="1" applyFont="1"/>
    <xf numFmtId="8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44" fontId="8" fillId="0" borderId="2" xfId="1" applyNumberFormat="1" applyFont="1" applyBorder="1" applyAlignment="1">
      <alignment horizontal="center"/>
    </xf>
    <xf numFmtId="8" fontId="0" fillId="0" borderId="0" xfId="0" applyNumberFormat="1"/>
    <xf numFmtId="10" fontId="9" fillId="0" borderId="6" xfId="2" applyNumberFormat="1" applyFont="1" applyBorder="1" applyAlignment="1">
      <alignment horizontal="center"/>
    </xf>
    <xf numFmtId="0" fontId="7" fillId="0" borderId="2" xfId="0" applyFont="1" applyBorder="1"/>
    <xf numFmtId="10" fontId="9" fillId="0" borderId="6" xfId="0" applyNumberFormat="1" applyFont="1" applyBorder="1" applyAlignment="1">
      <alignment horizontal="center"/>
    </xf>
    <xf numFmtId="10" fontId="9" fillId="0" borderId="6" xfId="2" applyNumberFormat="1" applyFont="1" applyBorder="1" applyAlignment="1">
      <alignment horizontal="center" wrapText="1"/>
    </xf>
    <xf numFmtId="0" fontId="4" fillId="0" borderId="0" xfId="0" applyFont="1"/>
    <xf numFmtId="0" fontId="1" fillId="0" borderId="0" xfId="0" applyFont="1" applyAlignment="1">
      <alignment horizontal="center" wrapText="1"/>
    </xf>
    <xf numFmtId="0" fontId="7" fillId="0" borderId="2" xfId="0" applyFont="1" applyBorder="1" applyAlignment="1">
      <alignment horizontal="left" wrapText="1"/>
    </xf>
    <xf numFmtId="164" fontId="8" fillId="0" borderId="2" xfId="1" applyNumberFormat="1" applyFont="1" applyBorder="1" applyAlignment="1">
      <alignment horizontal="center"/>
    </xf>
    <xf numFmtId="0" fontId="7" fillId="0" borderId="7" xfId="0" quotePrefix="1" applyFont="1" applyBorder="1" applyAlignment="1">
      <alignment horizontal="left" wrapText="1"/>
    </xf>
    <xf numFmtId="0" fontId="7" fillId="0" borderId="8" xfId="0" quotePrefix="1" applyFont="1" applyBorder="1" applyAlignment="1">
      <alignment horizontal="left" wrapText="1"/>
    </xf>
    <xf numFmtId="0" fontId="7" fillId="0" borderId="9" xfId="0" quotePrefix="1" applyFont="1" applyBorder="1" applyAlignment="1">
      <alignment horizontal="left"/>
    </xf>
    <xf numFmtId="0" fontId="7" fillId="0" borderId="7" xfId="0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BOND PRICE AS DISCOUNT RATE CHANGES</a:t>
            </a:r>
          </a:p>
        </c:rich>
      </c:tx>
      <c:layout>
        <c:manualLayout>
          <c:xMode val="edge"/>
          <c:yMode val="edge"/>
          <c:x val="0.36213991769547327"/>
          <c:y val="3.18906605922551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699588477366255"/>
          <c:y val="0.14350797266514806"/>
          <c:w val="0.8652263374485597"/>
          <c:h val="0.71298405466970383"/>
        </c:manualLayout>
      </c:layout>
      <c:scatterChart>
        <c:scatterStyle val="lineMarker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'PRICE OF BOND'!$A$24:$A$39</c:f>
              <c:numCache>
                <c:formatCode>0%</c:formatCode>
                <c:ptCount val="16"/>
                <c:pt idx="0">
                  <c:v>0.16</c:v>
                </c:pt>
                <c:pt idx="1">
                  <c:v>0.15</c:v>
                </c:pt>
                <c:pt idx="2">
                  <c:v>0.14000000000000001</c:v>
                </c:pt>
                <c:pt idx="3">
                  <c:v>0.13</c:v>
                </c:pt>
                <c:pt idx="4">
                  <c:v>0.12</c:v>
                </c:pt>
                <c:pt idx="5">
                  <c:v>0.11</c:v>
                </c:pt>
                <c:pt idx="6">
                  <c:v>0.1</c:v>
                </c:pt>
                <c:pt idx="7">
                  <c:v>0.09</c:v>
                </c:pt>
                <c:pt idx="8">
                  <c:v>0.08</c:v>
                </c:pt>
                <c:pt idx="9">
                  <c:v>7.0000000000000007E-2</c:v>
                </c:pt>
                <c:pt idx="10">
                  <c:v>0.06</c:v>
                </c:pt>
                <c:pt idx="11">
                  <c:v>0.05</c:v>
                </c:pt>
                <c:pt idx="12">
                  <c:v>0.04</c:v>
                </c:pt>
                <c:pt idx="13">
                  <c:v>0.03</c:v>
                </c:pt>
                <c:pt idx="14">
                  <c:v>0.02</c:v>
                </c:pt>
                <c:pt idx="15">
                  <c:v>0.01</c:v>
                </c:pt>
              </c:numCache>
            </c:numRef>
          </c:xVal>
          <c:yVal>
            <c:numRef>
              <c:f>'PRICE OF BOND'!$B$24:$B$39</c:f>
              <c:numCache>
                <c:formatCode>_("$"* #,##0.00_);_("$"* \(#,##0.00\);_("$"* "-"??_);_(@_)</c:formatCode>
                <c:ptCount val="16"/>
                <c:pt idx="0">
                  <c:v>705.45557777652084</c:v>
                </c:pt>
                <c:pt idx="1">
                  <c:v>745.13771602020233</c:v>
                </c:pt>
                <c:pt idx="2">
                  <c:v>788.11971508967622</c:v>
                </c:pt>
                <c:pt idx="3">
                  <c:v>834.7223912895588</c:v>
                </c:pt>
                <c:pt idx="4">
                  <c:v>885.3007878143469</c:v>
                </c:pt>
                <c:pt idx="5">
                  <c:v>940.2480875753588</c:v>
                </c:pt>
                <c:pt idx="6">
                  <c:v>999.99999999999932</c:v>
                </c:pt>
                <c:pt idx="7">
                  <c:v>1065.0396822572693</c:v>
                </c:pt>
                <c:pt idx="8">
                  <c:v>1135.9032634496762</c:v>
                </c:pt>
                <c:pt idx="9">
                  <c:v>1213.1860495292856</c:v>
                </c:pt>
                <c:pt idx="10">
                  <c:v>1297.5494972091096</c:v>
                </c:pt>
                <c:pt idx="11">
                  <c:v>1389.729057141172</c:v>
                </c:pt>
                <c:pt idx="12">
                  <c:v>1490.5430003379131</c:v>
                </c:pt>
                <c:pt idx="13">
                  <c:v>1600.9023574778705</c:v>
                </c:pt>
                <c:pt idx="14">
                  <c:v>1721.8221186508179</c:v>
                </c:pt>
                <c:pt idx="15">
                  <c:v>1854.433861600146</c:v>
                </c:pt>
              </c:numCache>
            </c:numRef>
          </c:yVal>
        </c:ser>
        <c:axId val="160143232"/>
        <c:axId val="160162560"/>
      </c:scatterChart>
      <c:valAx>
        <c:axId val="160143232"/>
        <c:scaling>
          <c:orientation val="minMax"/>
        </c:scaling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DISCOUNT RATE</a:t>
                </a:r>
              </a:p>
            </c:rich>
          </c:tx>
          <c:layout>
            <c:manualLayout>
              <c:xMode val="edge"/>
              <c:yMode val="edge"/>
              <c:x val="0.49691358024691357"/>
              <c:y val="0.94305239179954437"/>
            </c:manualLayout>
          </c:layout>
          <c:spPr>
            <a:noFill/>
            <a:ln w="25400">
              <a:noFill/>
            </a:ln>
          </c:spPr>
        </c:title>
        <c:numFmt formatCode="0%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0162560"/>
        <c:crosses val="autoZero"/>
        <c:crossBetween val="midCat"/>
      </c:valAx>
      <c:valAx>
        <c:axId val="16016256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BOND PRICE</a:t>
                </a:r>
              </a:p>
            </c:rich>
          </c:tx>
          <c:layout>
            <c:manualLayout>
              <c:xMode val="edge"/>
              <c:yMode val="edge"/>
              <c:x val="5.1440329218106996E-3"/>
              <c:y val="0.43280182232346243"/>
            </c:manualLayout>
          </c:layout>
          <c:spPr>
            <a:noFill/>
            <a:ln w="25400">
              <a:noFill/>
            </a:ln>
          </c:spPr>
        </c:title>
        <c:numFmt formatCode="_(&quot;$&quot;* #,##0.00_);_(&quot;$&quot;* \(#,##0.00\);_(&quot;$&quot;* &quot;-&quot;??_);_(@_)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0143232"/>
        <c:crosses val="autoZero"/>
        <c:crossBetween val="midCat"/>
        <c:majorUnit val="250"/>
      </c:valAx>
      <c:spPr>
        <a:noFill/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62</xdr:row>
      <xdr:rowOff>133350</xdr:rowOff>
    </xdr:from>
    <xdr:to>
      <xdr:col>11</xdr:col>
      <xdr:colOff>266700</xdr:colOff>
      <xdr:row>88</xdr:row>
      <xdr:rowOff>104775</xdr:rowOff>
    </xdr:to>
    <xdr:graphicFrame macro="">
      <xdr:nvGraphicFramePr>
        <xdr:cNvPr id="102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J70"/>
  <sheetViews>
    <sheetView topLeftCell="A52" workbookViewId="0">
      <selection activeCell="G80" sqref="G80"/>
    </sheetView>
  </sheetViews>
  <sheetFormatPr defaultColWidth="8.85546875" defaultRowHeight="12.75"/>
  <cols>
    <col min="1" max="1" width="30.7109375" customWidth="1"/>
    <col min="2" max="2" width="10.28515625" customWidth="1"/>
    <col min="4" max="4" width="10.7109375" style="2" customWidth="1"/>
    <col min="5" max="9" width="10.7109375" style="3" customWidth="1"/>
    <col min="10" max="10" width="14.85546875" style="3" customWidth="1"/>
    <col min="11" max="11" width="12.7109375" customWidth="1"/>
  </cols>
  <sheetData>
    <row r="2" spans="1:10" ht="18">
      <c r="A2" s="1" t="s">
        <v>0</v>
      </c>
    </row>
    <row r="3" spans="1:10">
      <c r="A3" s="4" t="s">
        <v>1</v>
      </c>
    </row>
    <row r="4" spans="1:10">
      <c r="A4" s="5" t="s">
        <v>2</v>
      </c>
      <c r="F4" s="6"/>
      <c r="I4" s="7"/>
    </row>
    <row r="5" spans="1:10">
      <c r="A5" s="4" t="s">
        <v>3</v>
      </c>
      <c r="F5" s="6"/>
      <c r="I5" s="7"/>
    </row>
    <row r="6" spans="1:10" ht="45.75" customHeight="1" thickBot="1"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9" t="s">
        <v>10</v>
      </c>
    </row>
    <row r="7" spans="1:10" ht="19.5" thickTop="1" thickBot="1">
      <c r="A7" s="10" t="s">
        <v>11</v>
      </c>
      <c r="D7" s="2">
        <v>0</v>
      </c>
      <c r="E7" s="11"/>
      <c r="F7" s="12"/>
      <c r="G7" s="13">
        <f>IF($B$11&gt;0,$B$11*-1,1000*-1)</f>
        <v>-1000</v>
      </c>
      <c r="H7" s="13">
        <f>G7</f>
        <v>-1000</v>
      </c>
      <c r="I7" s="14">
        <f>$H7</f>
        <v>-1000</v>
      </c>
      <c r="J7" s="13">
        <f>IF($B$11&gt;0,$B$11,$B$18)*-1</f>
        <v>-999.99999999999932</v>
      </c>
    </row>
    <row r="8" spans="1:10" ht="27" customHeight="1" thickTop="1" thickBot="1">
      <c r="A8" s="15" t="s">
        <v>12</v>
      </c>
      <c r="B8" s="16">
        <v>1000</v>
      </c>
      <c r="D8" s="2">
        <v>1</v>
      </c>
      <c r="E8" s="13">
        <f>IF($B$10&gt;0.49,$B$9*$B$8/2,0)</f>
        <v>50</v>
      </c>
      <c r="F8" s="13">
        <f>($E8)*(1/((1+$C$12)^1))</f>
        <v>47.619047619047613</v>
      </c>
      <c r="G8" s="13">
        <f>IF(AND($B$10&gt;0,$B$10&lt;0.51),$B$8,0)</f>
        <v>0</v>
      </c>
      <c r="H8" s="13">
        <f>($G8)*(1/((1+$C$12)^1))</f>
        <v>0</v>
      </c>
      <c r="I8" s="14">
        <f t="shared" ref="I8:I39" si="0">$F8+$H8</f>
        <v>47.619047619047613</v>
      </c>
      <c r="J8" s="13">
        <f t="shared" ref="J8:J39" si="1">$E8+$G8</f>
        <v>50</v>
      </c>
    </row>
    <row r="9" spans="1:10" ht="27" customHeight="1" thickTop="1" thickBot="1">
      <c r="A9" s="15" t="s">
        <v>13</v>
      </c>
      <c r="B9" s="17">
        <v>0.1</v>
      </c>
      <c r="D9" s="2">
        <v>2</v>
      </c>
      <c r="E9" s="13">
        <f>IF($B$10&gt;0.99,$B$9*$B$8/2,0)</f>
        <v>50</v>
      </c>
      <c r="F9" s="13">
        <f>($E9)*(1/((1+$C$12)^2))</f>
        <v>45.351473922902493</v>
      </c>
      <c r="G9" s="13">
        <f>IF($B$10&gt;0.5,IF($B$10&lt;1.1,$B$8,0))</f>
        <v>0</v>
      </c>
      <c r="H9" s="13">
        <f>($G9)*(1/((1+$C$12)^2))</f>
        <v>0</v>
      </c>
      <c r="I9" s="14">
        <f t="shared" si="0"/>
        <v>45.351473922902493</v>
      </c>
      <c r="J9" s="13">
        <f t="shared" si="1"/>
        <v>50</v>
      </c>
    </row>
    <row r="10" spans="1:10" ht="27" customHeight="1" thickTop="1" thickBot="1">
      <c r="A10" s="15" t="s">
        <v>14</v>
      </c>
      <c r="B10" s="18">
        <v>10</v>
      </c>
      <c r="D10" s="2">
        <v>3</v>
      </c>
      <c r="E10" s="13">
        <f>IF($B$10&gt;1.49,$B$9*$B$8/2,0)</f>
        <v>50</v>
      </c>
      <c r="F10" s="13">
        <f>($E10)*(1/((1+$C$12)^3))</f>
        <v>43.191879926573797</v>
      </c>
      <c r="G10" s="13">
        <f>IF(AND($B$10&gt;1,$B$10&lt;1.51),$B$8,0)</f>
        <v>0</v>
      </c>
      <c r="H10" s="13">
        <f>($G10)*(1/((1+$C$12)^3))</f>
        <v>0</v>
      </c>
      <c r="I10" s="14">
        <f t="shared" si="0"/>
        <v>43.191879926573797</v>
      </c>
      <c r="J10" s="13">
        <f t="shared" si="1"/>
        <v>50</v>
      </c>
    </row>
    <row r="11" spans="1:10" ht="27" customHeight="1" thickTop="1" thickBot="1">
      <c r="A11" s="19"/>
      <c r="B11" s="20"/>
      <c r="C11" s="21" t="s">
        <v>15</v>
      </c>
      <c r="D11" s="2">
        <v>4</v>
      </c>
      <c r="E11" s="13">
        <f>IF($B$10&gt;1.99,$B$9*$B$8/2,0)</f>
        <v>50</v>
      </c>
      <c r="F11" s="13">
        <f>($E11)*(1/((1+$C$12)^4))</f>
        <v>41.1351237395941</v>
      </c>
      <c r="G11" s="13">
        <f>IF(AND($B$10&gt;1.5,$B$10&lt;2.01),$B$8,0)</f>
        <v>0</v>
      </c>
      <c r="H11" s="13">
        <f>($G11)*(1/((1+$C$12)^4))</f>
        <v>0</v>
      </c>
      <c r="I11" s="14">
        <f t="shared" si="0"/>
        <v>41.1351237395941</v>
      </c>
      <c r="J11" s="13">
        <f t="shared" si="1"/>
        <v>50</v>
      </c>
    </row>
    <row r="12" spans="1:10" ht="27" customHeight="1" thickTop="1" thickBot="1">
      <c r="A12" s="15" t="s">
        <v>16</v>
      </c>
      <c r="B12" s="22">
        <v>0.1</v>
      </c>
      <c r="C12" s="23">
        <f>$B$12/2</f>
        <v>0.05</v>
      </c>
      <c r="D12" s="2">
        <v>5</v>
      </c>
      <c r="E12" s="13">
        <f>IF($B$10&gt;2.49,$B$9*$B$8/2,0)</f>
        <v>50</v>
      </c>
      <c r="F12" s="13">
        <f>($E12)*(1/((1+$C$12)^5))</f>
        <v>39.176308323422951</v>
      </c>
      <c r="G12" s="13">
        <f>IF(AND($B$10&gt;2,$B$10&lt;2.51),$B$8,0)</f>
        <v>0</v>
      </c>
      <c r="H12" s="13">
        <f>($G12)*(1/((1+$C$12)^5))</f>
        <v>0</v>
      </c>
      <c r="I12" s="14">
        <f t="shared" si="0"/>
        <v>39.176308323422951</v>
      </c>
      <c r="J12" s="13">
        <f t="shared" si="1"/>
        <v>50</v>
      </c>
    </row>
    <row r="13" spans="1:10" ht="13.5" thickTop="1">
      <c r="D13" s="2">
        <v>6</v>
      </c>
      <c r="E13" s="13">
        <f>IF($B$10&gt;2.99,$B$9*$B$8/2,0)</f>
        <v>50</v>
      </c>
      <c r="F13" s="13">
        <f>($E13)*(1/((1+$C$12)^6))</f>
        <v>37.310769831831379</v>
      </c>
      <c r="G13" s="13">
        <f>IF(AND($B$10&gt;2.5,$B$10&lt;3.1),$B$8,0)</f>
        <v>0</v>
      </c>
      <c r="H13" s="13">
        <f>($G13)*(1/((1+$C$12)^6))</f>
        <v>0</v>
      </c>
      <c r="I13" s="14">
        <f t="shared" si="0"/>
        <v>37.310769831831379</v>
      </c>
      <c r="J13" s="13">
        <f t="shared" si="1"/>
        <v>50</v>
      </c>
    </row>
    <row r="14" spans="1:10">
      <c r="D14" s="2">
        <v>7</v>
      </c>
      <c r="E14" s="13">
        <f>IF($B$10&gt;3.49,$B$9*$B$8/2,0)</f>
        <v>50</v>
      </c>
      <c r="F14" s="13">
        <f>($E14)*(1/((1+$C$12)^7))</f>
        <v>35.534066506506072</v>
      </c>
      <c r="G14" s="13">
        <f>IF(AND($B$10&gt;3,$B$10&lt;3.51),$B$8,0)</f>
        <v>0</v>
      </c>
      <c r="H14" s="13">
        <f>($G14)*(1/((1+$C$12)^7))</f>
        <v>0</v>
      </c>
      <c r="I14" s="14">
        <f t="shared" si="0"/>
        <v>35.534066506506072</v>
      </c>
      <c r="J14" s="13">
        <f t="shared" si="1"/>
        <v>50</v>
      </c>
    </row>
    <row r="15" spans="1:10">
      <c r="A15" s="24"/>
      <c r="D15" s="2">
        <v>8</v>
      </c>
      <c r="E15" s="13">
        <f>IF($B$10&gt;3.99,$B$9*$B$8/2,0)</f>
        <v>50</v>
      </c>
      <c r="F15" s="13">
        <f>($E15)*(1/((1+$C$12)^8))</f>
        <v>33.841968101434361</v>
      </c>
      <c r="G15" s="13">
        <f>IF(AND($B$10&gt;3.5,$B$10&lt;4.1),$B$8,0)</f>
        <v>0</v>
      </c>
      <c r="H15" s="13">
        <f>($G15)*(1/((1+$C$12)^8))</f>
        <v>0</v>
      </c>
      <c r="I15" s="14">
        <f t="shared" si="0"/>
        <v>33.841968101434361</v>
      </c>
      <c r="J15" s="13">
        <f t="shared" si="1"/>
        <v>50</v>
      </c>
    </row>
    <row r="16" spans="1:10" ht="13.5" thickBot="1">
      <c r="A16" s="24"/>
      <c r="D16" s="2">
        <v>9</v>
      </c>
      <c r="E16" s="13">
        <f>IF($B$10&gt;4.49,$B$9*$B$8/2,0)</f>
        <v>50</v>
      </c>
      <c r="F16" s="13">
        <f>($E16)*(1/((1+$C$12)^9))</f>
        <v>32.230445810889861</v>
      </c>
      <c r="G16" s="13">
        <f>IF(AND($B$10&gt;4, $B$10&lt;4.51),$B$8,0)</f>
        <v>0</v>
      </c>
      <c r="H16" s="13">
        <f>($G16)*(1/((1+$C$12)^9))</f>
        <v>0</v>
      </c>
      <c r="I16" s="14">
        <f t="shared" si="0"/>
        <v>32.230445810889861</v>
      </c>
      <c r="J16" s="13">
        <f t="shared" si="1"/>
        <v>50</v>
      </c>
    </row>
    <row r="17" spans="1:10" ht="19.5" thickTop="1" thickBot="1">
      <c r="A17" s="25" t="s">
        <v>17</v>
      </c>
      <c r="B17" s="26"/>
      <c r="D17" s="2">
        <v>10</v>
      </c>
      <c r="E17" s="13">
        <f>IF($B$10&gt;4.99,$B$9*$B$8/2,0)</f>
        <v>50</v>
      </c>
      <c r="F17" s="13">
        <f>($E17)*(1/((1+$C$12)^10))</f>
        <v>30.695662677037966</v>
      </c>
      <c r="G17" s="13">
        <f>IF(AND($B$10&gt;4.5,$B$10&lt;5.1),$B$8,0)</f>
        <v>0</v>
      </c>
      <c r="H17" s="13">
        <f>($G17)*(1/((1+$C$12)^10))</f>
        <v>0</v>
      </c>
      <c r="I17" s="14">
        <f t="shared" si="0"/>
        <v>30.695662677037966</v>
      </c>
      <c r="J17" s="13">
        <f t="shared" si="1"/>
        <v>50</v>
      </c>
    </row>
    <row r="18" spans="1:10" ht="14.25" thickTop="1" thickBot="1">
      <c r="A18" s="27" t="s">
        <v>18</v>
      </c>
      <c r="B18" s="28">
        <f>NPV($C$12,$J$8:$J$57)</f>
        <v>999.99999999999932</v>
      </c>
      <c r="D18" s="2">
        <v>11</v>
      </c>
      <c r="E18" s="13">
        <f>IF($B$10&gt;5.49,$B$9*$B$8/2,0)</f>
        <v>50</v>
      </c>
      <c r="F18" s="13">
        <f>($E18)*(1/((1+$C$12)^11))</f>
        <v>29.233964454321871</v>
      </c>
      <c r="G18" s="13">
        <f>IF(AND($B$10&gt;5, $B$10&lt;5.51),$B$8,0)</f>
        <v>0</v>
      </c>
      <c r="H18" s="13">
        <f>($G18)*(1/((1+$C$12)^11))</f>
        <v>0</v>
      </c>
      <c r="I18" s="14">
        <f t="shared" si="0"/>
        <v>29.233964454321871</v>
      </c>
      <c r="J18" s="13">
        <f t="shared" si="1"/>
        <v>50</v>
      </c>
    </row>
    <row r="19" spans="1:10" ht="14.25" thickTop="1" thickBot="1">
      <c r="B19" s="29"/>
      <c r="D19" s="2">
        <v>12</v>
      </c>
      <c r="E19" s="13">
        <f>IF($B$10&gt;5.99,$B$9*$B$8/2,0)</f>
        <v>50</v>
      </c>
      <c r="F19" s="13">
        <f>($E19)*(1/((1+$C$12)^12))</f>
        <v>27.841870908877976</v>
      </c>
      <c r="G19" s="13">
        <f>IF(AND($B$10&gt;5.5, $B$10&lt;6.1),$B$8,0)</f>
        <v>0</v>
      </c>
      <c r="H19" s="13">
        <f>($G19)*(1/((1+$C$12)^12))</f>
        <v>0</v>
      </c>
      <c r="I19" s="14">
        <f t="shared" si="0"/>
        <v>27.841870908877976</v>
      </c>
      <c r="J19" s="13">
        <f t="shared" si="1"/>
        <v>50</v>
      </c>
    </row>
    <row r="20" spans="1:10" ht="13.5" thickTop="1">
      <c r="D20" s="2">
        <v>13</v>
      </c>
      <c r="E20" s="13">
        <f>IF($B$10&gt;6.49,$B$9*$B$8/2,0)</f>
        <v>50</v>
      </c>
      <c r="F20" s="13">
        <f>($E20)*(1/((1+$C$12)^13))</f>
        <v>26.516067532264731</v>
      </c>
      <c r="G20" s="13">
        <f>IF(AND($B$10&gt;6,$B$10&lt;6.51),$B$8,0)</f>
        <v>0</v>
      </c>
      <c r="H20" s="13">
        <f>($G20)*(1/((1+$C$12)^13))</f>
        <v>0</v>
      </c>
      <c r="I20" s="14">
        <f t="shared" si="0"/>
        <v>26.516067532264731</v>
      </c>
      <c r="J20" s="13">
        <f t="shared" si="1"/>
        <v>50</v>
      </c>
    </row>
    <row r="21" spans="1:10">
      <c r="D21" s="2">
        <v>14</v>
      </c>
      <c r="E21" s="13">
        <f>IF($B$10&gt;6.99,$B$9*$B$8/2,0)</f>
        <v>50</v>
      </c>
      <c r="F21" s="13">
        <f>($E21)*(1/((1+$C$12)^14))</f>
        <v>25.253397649775945</v>
      </c>
      <c r="G21" s="13">
        <f>IF(AND($B$10&gt;6.5, $B$10&lt;7.1),$B$8,0)</f>
        <v>0</v>
      </c>
      <c r="H21" s="13">
        <f>($G21)*(1/((1+$C$12)^14))</f>
        <v>0</v>
      </c>
      <c r="I21" s="14">
        <f t="shared" si="0"/>
        <v>25.253397649775945</v>
      </c>
      <c r="J21" s="13">
        <f t="shared" si="1"/>
        <v>50</v>
      </c>
    </row>
    <row r="22" spans="1:10">
      <c r="D22" s="2">
        <v>15</v>
      </c>
      <c r="E22" s="13">
        <f>IF($B$10&gt;7.49,$B$9*$B$8/2,0)</f>
        <v>50</v>
      </c>
      <c r="F22" s="13">
        <f>($E22)*(1/((1+$C$12)^15))</f>
        <v>24.050854904548512</v>
      </c>
      <c r="G22" s="13">
        <f>IF(AND($B$10&gt;7, $B$10&lt;7.51),$B$8,0)</f>
        <v>0</v>
      </c>
      <c r="H22" s="13">
        <f>($G22)*(1/((1+$C$12)^15))</f>
        <v>0</v>
      </c>
      <c r="I22" s="14">
        <f t="shared" si="0"/>
        <v>24.050854904548512</v>
      </c>
      <c r="J22" s="13">
        <f t="shared" si="1"/>
        <v>50</v>
      </c>
    </row>
    <row r="23" spans="1:10">
      <c r="A23" s="30" t="s">
        <v>19</v>
      </c>
      <c r="B23" s="31">
        <f>NPV($C$12,$J$8:$J$57)</f>
        <v>999.99999999999932</v>
      </c>
      <c r="D23" s="2">
        <v>16</v>
      </c>
      <c r="E23" s="13">
        <f>IF($B$10&gt;7.99,$B$9*$B$8/2,0)</f>
        <v>50</v>
      </c>
      <c r="F23" s="13">
        <f>($E23)*(1/((1+$C$12)^16))</f>
        <v>22.905576099570009</v>
      </c>
      <c r="G23" s="13">
        <f>IF(AND($B$10&gt;7.5,$B$10&lt;8.1),$B$8,0)</f>
        <v>0</v>
      </c>
      <c r="H23" s="13">
        <f>($G23)*(1/((1+$C$12)^16))</f>
        <v>0</v>
      </c>
      <c r="I23" s="14">
        <f t="shared" si="0"/>
        <v>22.905576099570009</v>
      </c>
      <c r="J23" s="13">
        <f t="shared" si="1"/>
        <v>50</v>
      </c>
    </row>
    <row r="24" spans="1:10">
      <c r="A24" s="32">
        <v>0.16</v>
      </c>
      <c r="B24" s="33">
        <f t="dataTable" ref="B24:B39" dt2D="0" dtr="0" r1="B12"/>
        <v>705.45557777652084</v>
      </c>
      <c r="D24" s="2">
        <v>17</v>
      </c>
      <c r="E24" s="13">
        <f>IF($B$10&gt;8.49,$B$9*$B$8/2,0)</f>
        <v>50</v>
      </c>
      <c r="F24" s="13">
        <f>($E24)*(1/((1+$C$12)^17))</f>
        <v>21.814834380542862</v>
      </c>
      <c r="G24" s="13">
        <f>IF(AND($B$10&gt;8, $B$10&lt;8.51),$B$8,0)</f>
        <v>0</v>
      </c>
      <c r="H24" s="13">
        <f>($G24)*(1/((1+$C$12)^17))</f>
        <v>0</v>
      </c>
      <c r="I24" s="14">
        <f t="shared" si="0"/>
        <v>21.814834380542862</v>
      </c>
      <c r="J24" s="13">
        <f t="shared" si="1"/>
        <v>50</v>
      </c>
    </row>
    <row r="25" spans="1:10">
      <c r="A25" s="32">
        <v>0.15</v>
      </c>
      <c r="B25" s="33">
        <v>745.13771602020233</v>
      </c>
      <c r="D25" s="2">
        <v>18</v>
      </c>
      <c r="E25" s="13">
        <f>IF($B$10&gt;8.99,$B$9*$B$8/2,0)</f>
        <v>50</v>
      </c>
      <c r="F25" s="13">
        <f>($E25)*(1/((1+$C$12)^18))</f>
        <v>20.776032743374156</v>
      </c>
      <c r="G25" s="13">
        <f>IF(AND($B$10&gt;8.5,$B$10&lt;9.1),$B$8,0)</f>
        <v>0</v>
      </c>
      <c r="H25" s="13">
        <f>($G25)*(1/((1+$C$12)^18))</f>
        <v>0</v>
      </c>
      <c r="I25" s="14">
        <f t="shared" si="0"/>
        <v>20.776032743374156</v>
      </c>
      <c r="J25" s="13">
        <f t="shared" si="1"/>
        <v>50</v>
      </c>
    </row>
    <row r="26" spans="1:10">
      <c r="A26" s="32">
        <v>0.14000000000000001</v>
      </c>
      <c r="B26" s="33">
        <v>788.11971508967622</v>
      </c>
      <c r="D26" s="2">
        <v>19</v>
      </c>
      <c r="E26" s="13">
        <f>IF($B$10&gt;9.49,$B$9*$B$8/2,0)</f>
        <v>50</v>
      </c>
      <c r="F26" s="13">
        <f>($E26)*(1/((1+$C$12)^19))</f>
        <v>19.786697850832528</v>
      </c>
      <c r="G26" s="13">
        <f>IF(AND($B$10&gt;9,$B$10&lt;9.51),$B$8,0)</f>
        <v>0</v>
      </c>
      <c r="H26" s="13">
        <f>($G26)*(1/((1+$C$12)^19))</f>
        <v>0</v>
      </c>
      <c r="I26" s="14">
        <f t="shared" si="0"/>
        <v>19.786697850832528</v>
      </c>
      <c r="J26" s="13">
        <f t="shared" si="1"/>
        <v>50</v>
      </c>
    </row>
    <row r="27" spans="1:10">
      <c r="A27" s="32">
        <v>0.13</v>
      </c>
      <c r="B27" s="33">
        <v>834.7223912895588</v>
      </c>
      <c r="D27" s="2">
        <v>20</v>
      </c>
      <c r="E27" s="13">
        <f>IF($B$10&gt;9.99,$B$9*$B$8/2,0)</f>
        <v>50</v>
      </c>
      <c r="F27" s="13">
        <f>($E27)*(1/((1+$C$12)^20))</f>
        <v>18.844474143650032</v>
      </c>
      <c r="G27" s="13">
        <f>IF(AND($B$10&gt;9.5,$B$10&lt;10.1),$B$8,0)</f>
        <v>1000</v>
      </c>
      <c r="H27" s="13">
        <f>($G27)*(1/((1+$C$12)^20))</f>
        <v>376.88948287300059</v>
      </c>
      <c r="I27" s="14">
        <f t="shared" si="0"/>
        <v>395.73395701665061</v>
      </c>
      <c r="J27" s="13">
        <f t="shared" si="1"/>
        <v>1050</v>
      </c>
    </row>
    <row r="28" spans="1:10">
      <c r="A28" s="32">
        <v>0.12</v>
      </c>
      <c r="B28" s="33">
        <v>885.3007878143469</v>
      </c>
      <c r="D28" s="2">
        <v>21</v>
      </c>
      <c r="E28" s="13">
        <f>IF($B$10&gt;10.49,$B$9*$B$8/2,0)</f>
        <v>0</v>
      </c>
      <c r="F28" s="13">
        <f>($E28)*(1/((1+$C$12)^21))</f>
        <v>0</v>
      </c>
      <c r="G28" s="13">
        <f>IF(AND($B$10&gt;10,$B$10&lt;10.51),$B$8,0)</f>
        <v>0</v>
      </c>
      <c r="H28" s="13">
        <f>($G28)*(1/((1+$C$12)^21))</f>
        <v>0</v>
      </c>
      <c r="I28" s="14">
        <f t="shared" si="0"/>
        <v>0</v>
      </c>
      <c r="J28" s="13">
        <f t="shared" si="1"/>
        <v>0</v>
      </c>
    </row>
    <row r="29" spans="1:10">
      <c r="A29" s="32">
        <v>0.11</v>
      </c>
      <c r="B29" s="33">
        <v>940.2480875753588</v>
      </c>
      <c r="D29" s="2">
        <v>22</v>
      </c>
      <c r="E29" s="13">
        <f>IF($B$10&gt;10.99,$B$9*$B$8/2,0)</f>
        <v>0</v>
      </c>
      <c r="F29" s="13">
        <f>($E29)*(1/((1+$C$12)^22))</f>
        <v>0</v>
      </c>
      <c r="G29" s="13">
        <f>IF(AND($B$10&gt;10.5, $B$10&lt;11.1),$B$8,0)</f>
        <v>0</v>
      </c>
      <c r="H29" s="13">
        <f>($G29)*(1/((1+$C$12)^22))</f>
        <v>0</v>
      </c>
      <c r="I29" s="14">
        <f t="shared" si="0"/>
        <v>0</v>
      </c>
      <c r="J29" s="13">
        <f t="shared" si="1"/>
        <v>0</v>
      </c>
    </row>
    <row r="30" spans="1:10">
      <c r="A30" s="32">
        <v>0.1</v>
      </c>
      <c r="B30" s="33">
        <v>999.99999999999932</v>
      </c>
      <c r="D30" s="2">
        <v>23</v>
      </c>
      <c r="E30" s="13">
        <f>IF($B$10&gt;11.49,$B$9*$B$8/2,0)</f>
        <v>0</v>
      </c>
      <c r="F30" s="13">
        <f>($E30)*(1/((1+$C$12)^23))</f>
        <v>0</v>
      </c>
      <c r="G30" s="13">
        <f>IF(AND($B$10&gt;11,$B$10&lt;11.51),$B$8,0)</f>
        <v>0</v>
      </c>
      <c r="H30" s="13">
        <f>($G30)*(1/((1+$C$12)^23))</f>
        <v>0</v>
      </c>
      <c r="I30" s="14">
        <f t="shared" si="0"/>
        <v>0</v>
      </c>
      <c r="J30" s="13">
        <f t="shared" si="1"/>
        <v>0</v>
      </c>
    </row>
    <row r="31" spans="1:10">
      <c r="A31" s="32">
        <v>0.09</v>
      </c>
      <c r="B31" s="33">
        <v>1065.0396822572693</v>
      </c>
      <c r="D31" s="2">
        <v>24</v>
      </c>
      <c r="E31" s="13">
        <f>IF($B$10&gt;11.99,$B$9*$B$8/2,0)</f>
        <v>0</v>
      </c>
      <c r="F31" s="13">
        <f>($E31)*(1/((1+$C$12)^24))</f>
        <v>0</v>
      </c>
      <c r="G31" s="13">
        <f>IF(AND($B$10&gt;11.5, $B$10&lt;12.1),$B$8,0)</f>
        <v>0</v>
      </c>
      <c r="H31" s="13">
        <f>($G31)*(1/((1+$C$12)^24))</f>
        <v>0</v>
      </c>
      <c r="I31" s="14">
        <f t="shared" si="0"/>
        <v>0</v>
      </c>
      <c r="J31" s="13">
        <f t="shared" si="1"/>
        <v>0</v>
      </c>
    </row>
    <row r="32" spans="1:10">
      <c r="A32" s="32">
        <v>0.08</v>
      </c>
      <c r="B32" s="33">
        <v>1135.9032634496762</v>
      </c>
      <c r="D32" s="2">
        <v>25</v>
      </c>
      <c r="E32" s="13">
        <f>IF($B$10&gt;12.49,$B$9*$B$8/2,0)</f>
        <v>0</v>
      </c>
      <c r="F32" s="13">
        <f>($E32)*(1/((1+$C$12)^25))</f>
        <v>0</v>
      </c>
      <c r="G32" s="13">
        <f>IF(AND($B$10&gt;12,$B$10&lt;12.51),$B$8,0)</f>
        <v>0</v>
      </c>
      <c r="H32" s="13">
        <f>($G32)*(1/((1+$C$12)^25))</f>
        <v>0</v>
      </c>
      <c r="I32" s="14">
        <f t="shared" si="0"/>
        <v>0</v>
      </c>
      <c r="J32" s="13">
        <f t="shared" si="1"/>
        <v>0</v>
      </c>
    </row>
    <row r="33" spans="1:10">
      <c r="A33" s="32">
        <v>7.0000000000000007E-2</v>
      </c>
      <c r="B33" s="33">
        <v>1213.1860495292856</v>
      </c>
      <c r="D33" s="2">
        <v>26</v>
      </c>
      <c r="E33" s="13">
        <f>IF($B$10&gt;12.99,$B$9*$B$8/2,0)</f>
        <v>0</v>
      </c>
      <c r="F33" s="13">
        <f>($E33)*(1/((1+$C$12)^26))</f>
        <v>0</v>
      </c>
      <c r="G33" s="13">
        <f>IF(AND($B$10&gt;12.5,$B$10&lt;13.1),$B$8,0)</f>
        <v>0</v>
      </c>
      <c r="H33" s="13">
        <f>($G33)*(1/((1+$C$12)^26))</f>
        <v>0</v>
      </c>
      <c r="I33" s="14">
        <f t="shared" si="0"/>
        <v>0</v>
      </c>
      <c r="J33" s="13">
        <f t="shared" si="1"/>
        <v>0</v>
      </c>
    </row>
    <row r="34" spans="1:10">
      <c r="A34" s="32">
        <v>0.06</v>
      </c>
      <c r="B34" s="33">
        <v>1297.5494972091096</v>
      </c>
      <c r="D34" s="2">
        <v>27</v>
      </c>
      <c r="E34" s="13">
        <f>IF($B$10&gt;13.49,$B$9*$B$8/2,0)</f>
        <v>0</v>
      </c>
      <c r="F34" s="13">
        <f>($E34)*(1/((1+$C$12)^27))</f>
        <v>0</v>
      </c>
      <c r="G34" s="13">
        <f>IF(AND($B$10&gt;13,$B$10&lt;13.51),$B$8,0)</f>
        <v>0</v>
      </c>
      <c r="H34" s="13">
        <f>($G34)*(1/((1+$C$12)^27))</f>
        <v>0</v>
      </c>
      <c r="I34" s="14">
        <f t="shared" si="0"/>
        <v>0</v>
      </c>
      <c r="J34" s="13">
        <f t="shared" si="1"/>
        <v>0</v>
      </c>
    </row>
    <row r="35" spans="1:10">
      <c r="A35" s="32">
        <v>0.05</v>
      </c>
      <c r="B35" s="33">
        <v>1389.729057141172</v>
      </c>
      <c r="D35" s="2">
        <v>28</v>
      </c>
      <c r="E35" s="13">
        <f>IF($B$10&gt;13.99,$B$9*$B$8/2,0)</f>
        <v>0</v>
      </c>
      <c r="F35" s="13">
        <f>($E35)*(1/((1+$C$12)^28))</f>
        <v>0</v>
      </c>
      <c r="G35" s="13">
        <f>IF(AND($B$10&gt;13.5,$B$10&lt;14.1),$B$8,0)</f>
        <v>0</v>
      </c>
      <c r="H35" s="13">
        <f>($G35)*(1/((1+$C$12)^28))</f>
        <v>0</v>
      </c>
      <c r="I35" s="14">
        <f t="shared" si="0"/>
        <v>0</v>
      </c>
      <c r="J35" s="13">
        <f t="shared" si="1"/>
        <v>0</v>
      </c>
    </row>
    <row r="36" spans="1:10">
      <c r="A36" s="32">
        <v>0.04</v>
      </c>
      <c r="B36" s="33">
        <v>1490.5430003379131</v>
      </c>
      <c r="D36" s="2">
        <v>29</v>
      </c>
      <c r="E36" s="13">
        <f>IF($B$10&gt;14.49,$B$9*$B$8/2,0)</f>
        <v>0</v>
      </c>
      <c r="F36" s="13">
        <f>($E36)*(1/((1+$C$12)^29))</f>
        <v>0</v>
      </c>
      <c r="G36" s="13">
        <f>IF(AND($B$10&gt;14,$B$10&lt;14.51),$B$8,0)</f>
        <v>0</v>
      </c>
      <c r="H36" s="13">
        <f>($G36)*(1/((1+$C$12)^29))</f>
        <v>0</v>
      </c>
      <c r="I36" s="14">
        <f t="shared" si="0"/>
        <v>0</v>
      </c>
      <c r="J36" s="13">
        <f t="shared" si="1"/>
        <v>0</v>
      </c>
    </row>
    <row r="37" spans="1:10">
      <c r="A37" s="32">
        <v>0.03</v>
      </c>
      <c r="B37" s="33">
        <v>1600.9023574778705</v>
      </c>
      <c r="D37" s="2">
        <v>30</v>
      </c>
      <c r="E37" s="13">
        <f>IF($B$10&gt;14.99,$B$9*$B$8/2,0)</f>
        <v>0</v>
      </c>
      <c r="F37" s="13">
        <f>($E37)*(1/((1+$C$12)^30))</f>
        <v>0</v>
      </c>
      <c r="G37" s="13">
        <f>IF(AND($B$10&gt;14.5,$B$10&lt;15.1),$B$8,0)</f>
        <v>0</v>
      </c>
      <c r="H37" s="13">
        <f>($G37)*(1/((1+$C$12)^30))</f>
        <v>0</v>
      </c>
      <c r="I37" s="14">
        <f t="shared" si="0"/>
        <v>0</v>
      </c>
      <c r="J37" s="13">
        <f t="shared" si="1"/>
        <v>0</v>
      </c>
    </row>
    <row r="38" spans="1:10">
      <c r="A38" s="32">
        <v>0.02</v>
      </c>
      <c r="B38" s="33">
        <v>1721.8221186508179</v>
      </c>
      <c r="D38" s="2">
        <v>31</v>
      </c>
      <c r="E38" s="13">
        <f>IF($B$10&gt;15.49,$B$9*$B$8/2,0)</f>
        <v>0</v>
      </c>
      <c r="F38" s="13">
        <f>($E38)*(1/((1+$C$12)^31))</f>
        <v>0</v>
      </c>
      <c r="G38" s="13">
        <f>IF(AND($B$10&gt;15, $B$10&lt;15.51),$B$8,0)</f>
        <v>0</v>
      </c>
      <c r="H38" s="13">
        <f>($G38)*(1/((1+$C$12)^31))</f>
        <v>0</v>
      </c>
      <c r="I38" s="14">
        <f t="shared" si="0"/>
        <v>0</v>
      </c>
      <c r="J38" s="13">
        <f t="shared" si="1"/>
        <v>0</v>
      </c>
    </row>
    <row r="39" spans="1:10">
      <c r="A39" s="32">
        <v>0.01</v>
      </c>
      <c r="B39" s="33">
        <v>1854.433861600146</v>
      </c>
      <c r="D39" s="2">
        <v>32</v>
      </c>
      <c r="E39" s="13">
        <f>IF($B$10&gt;15.99,$B$9*$B$8/2,0)</f>
        <v>0</v>
      </c>
      <c r="F39" s="13">
        <f>($E39)*(1/((1+$C$12)^32))</f>
        <v>0</v>
      </c>
      <c r="G39" s="13">
        <f>IF(AND($B$10&gt;15.5,$B$10&lt;16.1),$B$8,0)</f>
        <v>0</v>
      </c>
      <c r="H39" s="13">
        <f>($G39)*(1/((1+$C$12)^32))</f>
        <v>0</v>
      </c>
      <c r="I39" s="14">
        <f t="shared" si="0"/>
        <v>0</v>
      </c>
      <c r="J39" s="13">
        <f t="shared" si="1"/>
        <v>0</v>
      </c>
    </row>
    <row r="40" spans="1:10">
      <c r="D40" s="2">
        <v>33</v>
      </c>
      <c r="E40" s="13">
        <f>IF($B$10&gt;16.49,$B$9*$B$8/2,0)</f>
        <v>0</v>
      </c>
      <c r="F40" s="13">
        <f>($E40)*(1/((1+$C$12)^33))</f>
        <v>0</v>
      </c>
      <c r="G40" s="13">
        <f>IF(AND($B$10&gt;16,$B$10&lt;16.51),$B$8,0)</f>
        <v>0</v>
      </c>
      <c r="H40" s="13">
        <f>($G40)*(1/((1+$C$12)^33))</f>
        <v>0</v>
      </c>
      <c r="I40" s="14">
        <f t="shared" ref="I40:I57" si="2">$F40+$H40</f>
        <v>0</v>
      </c>
      <c r="J40" s="13">
        <f t="shared" ref="J40:J57" si="3">$E40+$G40</f>
        <v>0</v>
      </c>
    </row>
    <row r="41" spans="1:10">
      <c r="D41" s="2">
        <v>34</v>
      </c>
      <c r="E41" s="13">
        <f>IF($B$10&gt;16.99,$B$9*$B$8/2,0)</f>
        <v>0</v>
      </c>
      <c r="F41" s="13">
        <f>($E41)*(1/((1+$C$12)^34))</f>
        <v>0</v>
      </c>
      <c r="G41" s="13">
        <f>IF(AND($B$10&gt;16.5, $B$10&lt;17.1),$B$8,0)</f>
        <v>0</v>
      </c>
      <c r="H41" s="13">
        <f>($G41)*(1/((1+$C$12)^34))</f>
        <v>0</v>
      </c>
      <c r="I41" s="14">
        <f t="shared" si="2"/>
        <v>0</v>
      </c>
      <c r="J41" s="13">
        <f t="shared" si="3"/>
        <v>0</v>
      </c>
    </row>
    <row r="42" spans="1:10">
      <c r="D42" s="2">
        <v>35</v>
      </c>
      <c r="E42" s="13">
        <f>IF($B$10&gt;17.49,$B$9*$B$8/2,0)</f>
        <v>0</v>
      </c>
      <c r="F42" s="13">
        <f>($E42)*(1/((1+$C$12)^35))</f>
        <v>0</v>
      </c>
      <c r="G42" s="13">
        <f>IF(AND($B$10&gt;17,$B$10&lt;17.51),$B$8,0)</f>
        <v>0</v>
      </c>
      <c r="H42" s="13">
        <f>($G42)*(1/((1+$C$12)^35))</f>
        <v>0</v>
      </c>
      <c r="I42" s="14">
        <f t="shared" si="2"/>
        <v>0</v>
      </c>
      <c r="J42" s="13">
        <f t="shared" si="3"/>
        <v>0</v>
      </c>
    </row>
    <row r="43" spans="1:10">
      <c r="D43" s="2">
        <v>36</v>
      </c>
      <c r="E43" s="13">
        <f>IF($B$10&gt;17.99,$B$9*$B$8/2,0)</f>
        <v>0</v>
      </c>
      <c r="F43" s="13">
        <f>($E43)*(1/((1+$C$12)^36))</f>
        <v>0</v>
      </c>
      <c r="G43" s="13">
        <f>IF(AND($B$10&gt;17.5,$B$10&lt;18.1),$B$8,0)</f>
        <v>0</v>
      </c>
      <c r="H43" s="13">
        <f>($G43)*(1/((1+$C$12)^36))</f>
        <v>0</v>
      </c>
      <c r="I43" s="14">
        <f t="shared" si="2"/>
        <v>0</v>
      </c>
      <c r="J43" s="13">
        <f t="shared" si="3"/>
        <v>0</v>
      </c>
    </row>
    <row r="44" spans="1:10">
      <c r="D44" s="2">
        <v>37</v>
      </c>
      <c r="E44" s="13">
        <f>IF($B$10&gt;18.49,$B$9*$B$8/2,0)</f>
        <v>0</v>
      </c>
      <c r="F44" s="13">
        <f>($E44)*(1/((1+$C$12)^37))</f>
        <v>0</v>
      </c>
      <c r="G44" s="13">
        <f>IF(AND($B$10&gt;18,$B$10&lt;18.51),$B$8,0)</f>
        <v>0</v>
      </c>
      <c r="H44" s="13">
        <f>($G44)*(1/((1+$C$12)^37))</f>
        <v>0</v>
      </c>
      <c r="I44" s="14">
        <f t="shared" si="2"/>
        <v>0</v>
      </c>
      <c r="J44" s="13">
        <f t="shared" si="3"/>
        <v>0</v>
      </c>
    </row>
    <row r="45" spans="1:10">
      <c r="D45" s="2">
        <v>38</v>
      </c>
      <c r="E45" s="13">
        <f>IF($B$10&gt;18.99,$B$9*$B$8/2,0)</f>
        <v>0</v>
      </c>
      <c r="F45" s="13">
        <f>($E45)*(1/((1+$C$12)^38))</f>
        <v>0</v>
      </c>
      <c r="G45" s="13">
        <f>IF(AND($B$10&gt;18.5,$B$10&lt;19.1),$B$8,0)</f>
        <v>0</v>
      </c>
      <c r="H45" s="13">
        <f>($G45)*(1/((1+$C$12)^38))</f>
        <v>0</v>
      </c>
      <c r="I45" s="14">
        <f t="shared" si="2"/>
        <v>0</v>
      </c>
      <c r="J45" s="13">
        <f t="shared" si="3"/>
        <v>0</v>
      </c>
    </row>
    <row r="46" spans="1:10">
      <c r="D46" s="2">
        <v>39</v>
      </c>
      <c r="E46" s="13">
        <f>IF($B$10&gt;19.49,$B$9*$B$8/2,0)</f>
        <v>0</v>
      </c>
      <c r="F46" s="13">
        <f>($E46)*(1/((1+$C$12)^39))</f>
        <v>0</v>
      </c>
      <c r="G46" s="13">
        <f>IF(AND($B$10&gt;19,$B$10&lt;19.51),$B$8,0)</f>
        <v>0</v>
      </c>
      <c r="H46" s="13">
        <f>($G46)*(1/((1+$C$12)^39))</f>
        <v>0</v>
      </c>
      <c r="I46" s="14">
        <f t="shared" si="2"/>
        <v>0</v>
      </c>
      <c r="J46" s="13">
        <f t="shared" si="3"/>
        <v>0</v>
      </c>
    </row>
    <row r="47" spans="1:10">
      <c r="D47" s="2">
        <v>40</v>
      </c>
      <c r="E47" s="13">
        <f>IF($B$10&gt;19.99,$B$9*$B$8/2,0)</f>
        <v>0</v>
      </c>
      <c r="F47" s="13">
        <f>($E47)*(1/((1+$C$12)^40))</f>
        <v>0</v>
      </c>
      <c r="G47" s="13">
        <f>IF(AND($B$10&gt;19.5,$B$10&lt;20.1),$B$8,0)</f>
        <v>0</v>
      </c>
      <c r="H47" s="13">
        <f>($G47)*(1/((1+$C$12)^40))</f>
        <v>0</v>
      </c>
      <c r="I47" s="14">
        <f t="shared" si="2"/>
        <v>0</v>
      </c>
      <c r="J47" s="13">
        <f t="shared" si="3"/>
        <v>0</v>
      </c>
    </row>
    <row r="48" spans="1:10">
      <c r="D48" s="2">
        <v>41</v>
      </c>
      <c r="E48" s="13">
        <f>IF($B$10&gt;20.49,$B$9*$B$8/2,0)</f>
        <v>0</v>
      </c>
      <c r="F48" s="13">
        <f>($E48)*(1/((1+$C$12)^41))</f>
        <v>0</v>
      </c>
      <c r="G48" s="13">
        <f>IF(AND($B$10&gt;20,$B$10&lt;20.51),$B$8,0)</f>
        <v>0</v>
      </c>
      <c r="H48" s="13">
        <f>($G48)*(1/((1+$C$12)^41))</f>
        <v>0</v>
      </c>
      <c r="I48" s="14">
        <f t="shared" si="2"/>
        <v>0</v>
      </c>
      <c r="J48" s="13">
        <f t="shared" si="3"/>
        <v>0</v>
      </c>
    </row>
    <row r="49" spans="4:10">
      <c r="D49" s="2">
        <v>42</v>
      </c>
      <c r="E49" s="13">
        <f>IF($B$10&gt;20.99,$B$9*$B$8/2,0)</f>
        <v>0</v>
      </c>
      <c r="F49" s="13">
        <f>($E49)*(1/((1+$C$12)^42))</f>
        <v>0</v>
      </c>
      <c r="G49" s="13">
        <f>IF(AND($B$10&gt;20.5,$B$10&lt;21.1),$B$8,0)</f>
        <v>0</v>
      </c>
      <c r="H49" s="13">
        <f>($G49)*(1/((1+$C$12)^42))</f>
        <v>0</v>
      </c>
      <c r="I49" s="14">
        <f t="shared" si="2"/>
        <v>0</v>
      </c>
      <c r="J49" s="13">
        <f t="shared" si="3"/>
        <v>0</v>
      </c>
    </row>
    <row r="50" spans="4:10">
      <c r="D50" s="2">
        <v>43</v>
      </c>
      <c r="E50" s="13">
        <f>IF($B$10&gt;21.49,$B$9*$B$8/2,0)</f>
        <v>0</v>
      </c>
      <c r="F50" s="13">
        <f>($E50)*(1/((1+$C$12)^43))</f>
        <v>0</v>
      </c>
      <c r="G50" s="13">
        <f>IF(AND($B$10&gt;21,$B$10&lt;21.51),$B$8,0)</f>
        <v>0</v>
      </c>
      <c r="H50" s="13">
        <f>($G50)*(1/((1+$C$12)^43))</f>
        <v>0</v>
      </c>
      <c r="I50" s="14">
        <f t="shared" si="2"/>
        <v>0</v>
      </c>
      <c r="J50" s="13">
        <f t="shared" si="3"/>
        <v>0</v>
      </c>
    </row>
    <row r="51" spans="4:10">
      <c r="D51" s="2">
        <v>44</v>
      </c>
      <c r="E51" s="13">
        <f>IF($B$10&gt;21.99,$B$9*$B$8/2,0)</f>
        <v>0</v>
      </c>
      <c r="F51" s="13">
        <f>($E51)*(1/((1+$C$12)^44))</f>
        <v>0</v>
      </c>
      <c r="G51" s="13">
        <f>IF(AND($B$10&gt;21.5,$B$10&lt;22.1),$B$8,0)</f>
        <v>0</v>
      </c>
      <c r="H51" s="13">
        <f>($G51)*(1/((1+$C$12)^44))</f>
        <v>0</v>
      </c>
      <c r="I51" s="14">
        <f t="shared" si="2"/>
        <v>0</v>
      </c>
      <c r="J51" s="13">
        <f t="shared" si="3"/>
        <v>0</v>
      </c>
    </row>
    <row r="52" spans="4:10">
      <c r="D52" s="2">
        <v>45</v>
      </c>
      <c r="E52" s="13">
        <f>IF($B$10&gt;22.49,$B$9*$B$8/2,0)</f>
        <v>0</v>
      </c>
      <c r="F52" s="13">
        <f>($E52)*(1/((1+$C$12)^45))</f>
        <v>0</v>
      </c>
      <c r="G52" s="13">
        <f>IF(AND($B$10&gt;22,$B$10&lt;22.51),$B$8,0)</f>
        <v>0</v>
      </c>
      <c r="H52" s="13">
        <f>($G52)*(1/((1+$C$12)^45))</f>
        <v>0</v>
      </c>
      <c r="I52" s="14">
        <f t="shared" si="2"/>
        <v>0</v>
      </c>
      <c r="J52" s="13">
        <f t="shared" si="3"/>
        <v>0</v>
      </c>
    </row>
    <row r="53" spans="4:10">
      <c r="D53" s="2">
        <v>46</v>
      </c>
      <c r="E53" s="13">
        <f>IF($B$10&gt;22.99,$B$9*$B$8/2,0)</f>
        <v>0</v>
      </c>
      <c r="F53" s="13">
        <f>($E53)*(1/((1+$C$12)^46))</f>
        <v>0</v>
      </c>
      <c r="G53" s="13">
        <f>IF(AND($B$10&gt;22.5,$B$10&lt;23.1),$B$8,0)</f>
        <v>0</v>
      </c>
      <c r="H53" s="13">
        <f>($G53)*(1/((1+$C$12)^46))</f>
        <v>0</v>
      </c>
      <c r="I53" s="14">
        <f t="shared" si="2"/>
        <v>0</v>
      </c>
      <c r="J53" s="13">
        <f t="shared" si="3"/>
        <v>0</v>
      </c>
    </row>
    <row r="54" spans="4:10">
      <c r="D54" s="2">
        <v>47</v>
      </c>
      <c r="E54" s="13">
        <f>IF($B$10&gt;23.49,$B$9*$B$8/2,0)</f>
        <v>0</v>
      </c>
      <c r="F54" s="13">
        <f>($E54)*(1/((1+$C$12)^47))</f>
        <v>0</v>
      </c>
      <c r="G54" s="13">
        <f>IF(AND($B$10&gt;23,$B$10&lt;23.51),$B$8,0)</f>
        <v>0</v>
      </c>
      <c r="H54" s="13">
        <f>($G54)*(1/((1+$C$12)^47))</f>
        <v>0</v>
      </c>
      <c r="I54" s="14">
        <f t="shared" si="2"/>
        <v>0</v>
      </c>
      <c r="J54" s="13">
        <f t="shared" si="3"/>
        <v>0</v>
      </c>
    </row>
    <row r="55" spans="4:10">
      <c r="D55" s="2">
        <v>48</v>
      </c>
      <c r="E55" s="13">
        <f>IF($B$10&gt;23.99,$B$9*$B$8/2,0)</f>
        <v>0</v>
      </c>
      <c r="F55" s="13">
        <f>($E55)*(1/((1+$C$12)^48))</f>
        <v>0</v>
      </c>
      <c r="G55" s="13">
        <f>IF(AND($B$10&gt;23.5, $B$10&lt;24.1),$B$8,0)</f>
        <v>0</v>
      </c>
      <c r="H55" s="13">
        <f>($G55)*(1/((1+$C$12)^48))</f>
        <v>0</v>
      </c>
      <c r="I55" s="14">
        <f t="shared" si="2"/>
        <v>0</v>
      </c>
      <c r="J55" s="13">
        <f t="shared" si="3"/>
        <v>0</v>
      </c>
    </row>
    <row r="56" spans="4:10">
      <c r="D56" s="2">
        <v>49</v>
      </c>
      <c r="E56" s="13">
        <f>IF($B$10&gt;24.49,$B$9*$B$8/2,0)</f>
        <v>0</v>
      </c>
      <c r="F56" s="13">
        <f>($E56)*(1/((1+$C$12)^49))</f>
        <v>0</v>
      </c>
      <c r="G56" s="13">
        <f>IF(AND($B$10&gt;24,$B$10&lt;24.51),$B$8,0)</f>
        <v>0</v>
      </c>
      <c r="H56" s="13">
        <f>($G56)*(1/((1+$C$12)^49))</f>
        <v>0</v>
      </c>
      <c r="I56" s="14">
        <f t="shared" si="2"/>
        <v>0</v>
      </c>
      <c r="J56" s="13">
        <f t="shared" si="3"/>
        <v>0</v>
      </c>
    </row>
    <row r="57" spans="4:10">
      <c r="D57" s="2">
        <v>50</v>
      </c>
      <c r="E57" s="13">
        <f>IF($B$10&gt;24.99,$B$9*$B$8/2,0)</f>
        <v>0</v>
      </c>
      <c r="F57" s="13">
        <f>($E57)*(1/((1+$C$12)^50))</f>
        <v>0</v>
      </c>
      <c r="G57" s="13">
        <f>IF(AND($B$10&gt;24.5, $B$10&lt;25.1),$B$8,0)</f>
        <v>0</v>
      </c>
      <c r="H57" s="13">
        <f>($G57)*(1/((1+$C$12)^50))</f>
        <v>0</v>
      </c>
      <c r="I57" s="14">
        <f t="shared" si="2"/>
        <v>0</v>
      </c>
      <c r="J57" s="13">
        <f t="shared" si="3"/>
        <v>0</v>
      </c>
    </row>
    <row r="58" spans="4:10">
      <c r="I58" s="2" t="s">
        <v>20</v>
      </c>
      <c r="J58" s="2" t="s">
        <v>21</v>
      </c>
    </row>
    <row r="59" spans="4:10">
      <c r="I59" s="34">
        <f>SUM(I8:I57)</f>
        <v>999.99999999999977</v>
      </c>
      <c r="J59" s="35">
        <f>IRR(J7:J57,0.01)*2</f>
        <v>9.9999999996733799E-2</v>
      </c>
    </row>
    <row r="60" spans="4:10">
      <c r="H60"/>
      <c r="I60" s="34"/>
      <c r="J60" s="35"/>
    </row>
    <row r="61" spans="4:10">
      <c r="D61" s="5"/>
      <c r="E61"/>
      <c r="F61"/>
      <c r="G61"/>
      <c r="H61"/>
      <c r="I61"/>
      <c r="J61"/>
    </row>
    <row r="62" spans="4:10">
      <c r="D62" s="5"/>
      <c r="E62"/>
      <c r="F62"/>
      <c r="G62"/>
      <c r="H62"/>
      <c r="I62"/>
      <c r="J62"/>
    </row>
    <row r="63" spans="4:10">
      <c r="D63" s="5"/>
      <c r="E63"/>
      <c r="F63"/>
      <c r="G63"/>
      <c r="H63"/>
      <c r="I63"/>
      <c r="J63"/>
    </row>
    <row r="64" spans="4:10">
      <c r="D64" s="5"/>
      <c r="E64"/>
      <c r="F64"/>
      <c r="G64"/>
      <c r="H64"/>
      <c r="I64"/>
      <c r="J64"/>
    </row>
    <row r="65" spans="4:10">
      <c r="D65" s="5"/>
      <c r="E65"/>
      <c r="F65"/>
      <c r="G65"/>
      <c r="H65"/>
      <c r="I65"/>
      <c r="J65"/>
    </row>
    <row r="66" spans="4:10">
      <c r="D66" s="5"/>
      <c r="E66"/>
      <c r="F66"/>
      <c r="G66"/>
      <c r="H66"/>
      <c r="I66"/>
      <c r="J66"/>
    </row>
    <row r="67" spans="4:10">
      <c r="D67" s="5"/>
      <c r="E67"/>
      <c r="F67"/>
      <c r="G67"/>
      <c r="H67"/>
      <c r="I67"/>
      <c r="J67"/>
    </row>
    <row r="68" spans="4:10">
      <c r="D68" s="5"/>
      <c r="E68"/>
      <c r="F68"/>
      <c r="G68"/>
      <c r="I68"/>
      <c r="J68"/>
    </row>
    <row r="69" spans="4:10">
      <c r="D69" s="5"/>
      <c r="E69"/>
      <c r="F69"/>
      <c r="G69"/>
      <c r="I69"/>
      <c r="J69"/>
    </row>
    <row r="70" spans="4:10">
      <c r="D70" s="5"/>
      <c r="E70"/>
      <c r="F70"/>
      <c r="G70"/>
      <c r="I70"/>
      <c r="J70"/>
    </row>
  </sheetData>
  <pageMargins left="0.75" right="0.27" top="0.54" bottom="0.23" header="0.5" footer="0.5"/>
  <pageSetup scale="59" orientation="portrait" horizontalDpi="0" verticalDpi="0" copies="0"/>
  <headerFooter alignWithMargins="0">
    <oddHeader xml:space="preserve">&amp;C&amp;"Arial,Bold"&amp;14BOND PRICE&amp;"Arial,Regular"&amp;10
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9"/>
  <sheetViews>
    <sheetView workbookViewId="0"/>
  </sheetViews>
  <sheetFormatPr defaultColWidth="8.85546875" defaultRowHeight="12.75"/>
  <cols>
    <col min="1" max="1" width="30.7109375" customWidth="1"/>
    <col min="2" max="2" width="10.28515625" customWidth="1"/>
    <col min="4" max="4" width="6.42578125" style="42" customWidth="1"/>
    <col min="5" max="9" width="10.7109375" style="3" customWidth="1"/>
    <col min="10" max="10" width="12.7109375" style="3" customWidth="1"/>
  </cols>
  <sheetData>
    <row r="1" spans="1:10">
      <c r="D1" s="2"/>
    </row>
    <row r="2" spans="1:10" ht="18">
      <c r="A2" s="1" t="s">
        <v>22</v>
      </c>
      <c r="D2" s="2"/>
    </row>
    <row r="3" spans="1:10">
      <c r="A3" s="5" t="s">
        <v>23</v>
      </c>
      <c r="D3" s="2"/>
    </row>
    <row r="4" spans="1:10">
      <c r="A4" s="5" t="s">
        <v>24</v>
      </c>
      <c r="D4" s="2"/>
      <c r="F4" s="6"/>
      <c r="I4" s="7"/>
    </row>
    <row r="5" spans="1:10">
      <c r="A5" s="4" t="s">
        <v>25</v>
      </c>
      <c r="D5" s="2"/>
      <c r="F5" s="6"/>
      <c r="I5" s="7"/>
    </row>
    <row r="6" spans="1:10" ht="45.75" customHeight="1" thickBot="1"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9" t="s">
        <v>10</v>
      </c>
    </row>
    <row r="7" spans="1:10" ht="19.5" thickTop="1" thickBot="1">
      <c r="A7" s="10" t="s">
        <v>11</v>
      </c>
      <c r="D7" s="2">
        <v>0</v>
      </c>
      <c r="E7" s="11"/>
      <c r="F7" s="12"/>
      <c r="G7" s="13">
        <f>$B$12*-1</f>
        <v>-1220</v>
      </c>
      <c r="H7" s="13">
        <f>$B$12*-1</f>
        <v>-1220</v>
      </c>
      <c r="I7" s="13">
        <f>$B$12*-1</f>
        <v>-1220</v>
      </c>
      <c r="J7" s="13">
        <f>$B$12*-1</f>
        <v>-1220</v>
      </c>
    </row>
    <row r="8" spans="1:10" ht="27" customHeight="1" thickTop="1" thickBot="1">
      <c r="A8" s="15" t="s">
        <v>26</v>
      </c>
      <c r="B8" s="16">
        <v>1000</v>
      </c>
      <c r="D8" s="2">
        <v>1</v>
      </c>
      <c r="E8" s="13">
        <f>IF($B$10&gt;0.49,$B$9*$B$8/2,0)</f>
        <v>63.125</v>
      </c>
      <c r="F8" s="13">
        <f>($E8)*(1/((1+$C$12)^1))</f>
        <v>59.376837154614925</v>
      </c>
      <c r="G8" s="13">
        <f>IF(AND($B$10&gt;0,$B$10&lt;0.51),$B$8,0)</f>
        <v>0</v>
      </c>
      <c r="H8" s="13">
        <f>($G8)*(1/((1+$C$12)^1))</f>
        <v>0</v>
      </c>
      <c r="I8" s="14">
        <f t="shared" ref="I8:I39" si="0">$F8+$H8</f>
        <v>59.376837154614925</v>
      </c>
      <c r="J8" s="13">
        <f t="shared" ref="J8:J39" si="1">$E8+$G8</f>
        <v>63.125</v>
      </c>
    </row>
    <row r="9" spans="1:10" ht="27" customHeight="1" thickTop="1" thickBot="1">
      <c r="A9" s="15" t="s">
        <v>27</v>
      </c>
      <c r="B9" s="22">
        <v>0.12625</v>
      </c>
      <c r="D9" s="2">
        <v>2</v>
      </c>
      <c r="E9" s="13">
        <f>IF($B$10&gt;0.99,$B$9*$B$8/2,0)</f>
        <v>63.125</v>
      </c>
      <c r="F9" s="13">
        <f>($E9)*(1/((1+$C$12)^2))</f>
        <v>55.851228364129256</v>
      </c>
      <c r="G9" s="13">
        <f>IF($B$10&gt;0.5,IF($B$10&lt;1.1,$B$8,0))</f>
        <v>0</v>
      </c>
      <c r="H9" s="13">
        <f>($G9)*(1/((1+$C$12)^2))</f>
        <v>0</v>
      </c>
      <c r="I9" s="14">
        <f t="shared" si="0"/>
        <v>55.851228364129256</v>
      </c>
      <c r="J9" s="13">
        <f t="shared" si="1"/>
        <v>63.125</v>
      </c>
    </row>
    <row r="10" spans="1:10" ht="27" customHeight="1" thickTop="1" thickBot="1">
      <c r="A10" s="15" t="s">
        <v>28</v>
      </c>
      <c r="B10" s="18">
        <v>25</v>
      </c>
      <c r="D10" s="2">
        <v>3</v>
      </c>
      <c r="E10" s="13">
        <f>IF($B$10&gt;1.49,$B$9*$B$8/2,0)</f>
        <v>63.125</v>
      </c>
      <c r="F10" s="13">
        <f>($E10)*(1/((1+$C$12)^3))</f>
        <v>52.534959072667135</v>
      </c>
      <c r="G10" s="13">
        <f>IF(AND($B$10&gt;1,$B$10&lt;1.51),$B$8,0)</f>
        <v>0</v>
      </c>
      <c r="H10" s="13">
        <f>($G10)*(1/((1+$C$12)^3))</f>
        <v>0</v>
      </c>
      <c r="I10" s="14">
        <f t="shared" si="0"/>
        <v>52.534959072667135</v>
      </c>
      <c r="J10" s="13">
        <f t="shared" si="1"/>
        <v>63.125</v>
      </c>
    </row>
    <row r="11" spans="1:10" ht="27" customHeight="1" thickTop="1" thickBot="1">
      <c r="A11" s="19"/>
      <c r="B11" s="20"/>
      <c r="C11" s="21" t="s">
        <v>15</v>
      </c>
      <c r="D11" s="2">
        <v>4</v>
      </c>
      <c r="E11" s="13">
        <f>IF($B$10&gt;1.99,$B$9*$B$8/2,0)</f>
        <v>63.125</v>
      </c>
      <c r="F11" s="13">
        <f>($E11)*(1/((1+$C$12)^4))</f>
        <v>49.415599362885018</v>
      </c>
      <c r="G11" s="13">
        <f>IF(AND($B$10&gt;1.5,$B$10&lt;2.01),$B$8,0)</f>
        <v>0</v>
      </c>
      <c r="H11" s="13">
        <f>($G11)*(1/((1+$C$12)^4))</f>
        <v>0</v>
      </c>
      <c r="I11" s="14">
        <f t="shared" si="0"/>
        <v>49.415599362885018</v>
      </c>
      <c r="J11" s="13">
        <f t="shared" si="1"/>
        <v>63.125</v>
      </c>
    </row>
    <row r="12" spans="1:10" ht="27" customHeight="1" thickTop="1" thickBot="1">
      <c r="A12" s="15" t="s">
        <v>29</v>
      </c>
      <c r="B12" s="36">
        <v>1220</v>
      </c>
      <c r="C12" s="23">
        <f>$B$9/2</f>
        <v>6.3125000000000001E-2</v>
      </c>
      <c r="D12" s="2">
        <v>5</v>
      </c>
      <c r="E12" s="13">
        <f>IF($B$10&gt;2.49,$B$9*$B$8/2,0)</f>
        <v>63.125</v>
      </c>
      <c r="F12" s="13">
        <f>($E12)*(1/((1+$C$12)^5))</f>
        <v>46.481457366617299</v>
      </c>
      <c r="G12" s="13">
        <f>IF(AND($B$10&gt;2,$B$10&lt;2.51),$B$8,0)</f>
        <v>0</v>
      </c>
      <c r="H12" s="13">
        <f>($G12)*(1/((1+$C$12)^5))</f>
        <v>0</v>
      </c>
      <c r="I12" s="14">
        <f t="shared" si="0"/>
        <v>46.481457366617299</v>
      </c>
      <c r="J12" s="13">
        <f t="shared" si="1"/>
        <v>63.125</v>
      </c>
    </row>
    <row r="13" spans="1:10" ht="13.5" thickTop="1">
      <c r="D13" s="2">
        <v>6</v>
      </c>
      <c r="E13" s="13">
        <f>IF($B$10&gt;2.99,$B$9*$B$8/2,0)</f>
        <v>63.125</v>
      </c>
      <c r="F13" s="13">
        <f>($E13)*(1/((1+$C$12)^6))</f>
        <v>43.721535441850484</v>
      </c>
      <c r="G13" s="13">
        <f>IF(AND($B$10&gt;2.5,$B$10&lt;3.1),$B$8,0)</f>
        <v>0</v>
      </c>
      <c r="H13" s="13">
        <f>($G13)*(1/((1+$C$12)^6))</f>
        <v>0</v>
      </c>
      <c r="I13" s="14">
        <f t="shared" si="0"/>
        <v>43.721535441850484</v>
      </c>
      <c r="J13" s="13">
        <f t="shared" si="1"/>
        <v>63.125</v>
      </c>
    </row>
    <row r="14" spans="1:10">
      <c r="D14" s="2">
        <v>7</v>
      </c>
      <c r="E14" s="13">
        <f>IF($B$10&gt;3.49,$B$9*$B$8/2,0)</f>
        <v>63.125</v>
      </c>
      <c r="F14" s="13">
        <f>($E14)*(1/((1+$C$12)^7))</f>
        <v>41.125488951769988</v>
      </c>
      <c r="G14" s="13">
        <f>IF(AND($B$10&gt;3,$B$10&lt;3.51),$B$8,0)</f>
        <v>0</v>
      </c>
      <c r="H14" s="13">
        <f>($G14)*(1/((1+$C$12)^7))</f>
        <v>0</v>
      </c>
      <c r="I14" s="14">
        <f t="shared" si="0"/>
        <v>41.125488951769988</v>
      </c>
      <c r="J14" s="13">
        <f t="shared" si="1"/>
        <v>63.125</v>
      </c>
    </row>
    <row r="15" spans="1:10">
      <c r="D15" s="2">
        <v>8</v>
      </c>
      <c r="E15" s="13">
        <f>IF($B$10&gt;3.99,$B$9*$B$8/2,0)</f>
        <v>63.125</v>
      </c>
      <c r="F15" s="13">
        <f>($E15)*(1/((1+$C$12)^8))</f>
        <v>38.683587491376827</v>
      </c>
      <c r="G15" s="13">
        <f>IF(AND($B$10&gt;3.5,$B$10&lt;4.1),$B$8,0)</f>
        <v>0</v>
      </c>
      <c r="H15" s="13">
        <f>($G15)*(1/((1+$C$12)^8))</f>
        <v>0</v>
      </c>
      <c r="I15" s="14">
        <f t="shared" si="0"/>
        <v>38.683587491376827</v>
      </c>
      <c r="J15" s="13">
        <f t="shared" si="1"/>
        <v>63.125</v>
      </c>
    </row>
    <row r="16" spans="1:10" ht="13.5" thickBot="1">
      <c r="A16" s="24"/>
      <c r="D16" s="2">
        <v>9</v>
      </c>
      <c r="E16" s="13">
        <f>IF($B$10&gt;4.49,$B$9*$B$8/2,0)</f>
        <v>63.125</v>
      </c>
      <c r="F16" s="13">
        <f>($E16)*(1/((1+$C$12)^9))</f>
        <v>36.386678416345042</v>
      </c>
      <c r="G16" s="13">
        <f>IF(AND($B$10&gt;4, $B$10&lt;4.51),$B$8,0)</f>
        <v>0</v>
      </c>
      <c r="H16" s="13">
        <f>($G16)*(1/((1+$C$12)^9))</f>
        <v>0</v>
      </c>
      <c r="I16" s="14">
        <f t="shared" si="0"/>
        <v>36.386678416345042</v>
      </c>
      <c r="J16" s="13">
        <f t="shared" si="1"/>
        <v>63.125</v>
      </c>
    </row>
    <row r="17" spans="1:10" ht="19.5" thickTop="1" thickBot="1">
      <c r="A17" s="25" t="s">
        <v>17</v>
      </c>
      <c r="B17" s="37"/>
      <c r="D17" s="2">
        <v>10</v>
      </c>
      <c r="E17" s="13">
        <f>IF($B$10&gt;4.99,$B$9*$B$8/2,0)</f>
        <v>63.125</v>
      </c>
      <c r="F17" s="13">
        <f>($E17)*(1/((1+$C$12)^10))</f>
        <v>34.226152537420369</v>
      </c>
      <c r="G17" s="13">
        <f>IF(AND($B$10&gt;4.5,$B$10&lt;5.1),$B$8,0)</f>
        <v>0</v>
      </c>
      <c r="H17" s="13">
        <f>($G17)*(1/((1+$C$12)^10))</f>
        <v>0</v>
      </c>
      <c r="I17" s="14">
        <f t="shared" si="0"/>
        <v>34.226152537420369</v>
      </c>
      <c r="J17" s="13">
        <f t="shared" si="1"/>
        <v>63.125</v>
      </c>
    </row>
    <row r="18" spans="1:10" ht="14.25" thickTop="1" thickBot="1">
      <c r="A18" s="27" t="s">
        <v>22</v>
      </c>
      <c r="B18" s="38">
        <f>$J$59</f>
        <v>0.10181036692266206</v>
      </c>
      <c r="D18" s="2">
        <v>11</v>
      </c>
      <c r="E18" s="13">
        <f>IF($B$10&gt;5.49,$B$9*$B$8/2,0)</f>
        <v>63.125</v>
      </c>
      <c r="F18" s="13">
        <f>($E18)*(1/((1+$C$12)^11))</f>
        <v>32.193911851776946</v>
      </c>
      <c r="G18" s="13">
        <f>IF(AND($B$10&gt;5, $B$10&lt;5.51),$B$8,0)</f>
        <v>0</v>
      </c>
      <c r="H18" s="13">
        <f>($G18)*(1/((1+$C$12)^11))</f>
        <v>0</v>
      </c>
      <c r="I18" s="14">
        <f t="shared" si="0"/>
        <v>32.193911851776946</v>
      </c>
      <c r="J18" s="13">
        <f t="shared" si="1"/>
        <v>63.125</v>
      </c>
    </row>
    <row r="19" spans="1:10" ht="14.25" thickTop="1" thickBot="1">
      <c r="A19" s="27" t="s">
        <v>30</v>
      </c>
      <c r="B19" s="38">
        <f>$B$9*$B$8/$B$12</f>
        <v>0.10348360655737705</v>
      </c>
      <c r="D19" s="2">
        <v>12</v>
      </c>
      <c r="E19" s="13">
        <f>IF($B$10&gt;5.99,$B$9*$B$8/2,0)</f>
        <v>63.125</v>
      </c>
      <c r="F19" s="13">
        <f>($E19)*(1/((1+$C$12)^12))</f>
        <v>30.282339190383954</v>
      </c>
      <c r="G19" s="13">
        <f>IF(AND($B$10&gt;5.5, $B$10&lt;6.1),$B$8,0)</f>
        <v>0</v>
      </c>
      <c r="H19" s="13">
        <f>($G19)*(1/((1+$C$12)^12))</f>
        <v>0</v>
      </c>
      <c r="I19" s="14">
        <f t="shared" si="0"/>
        <v>30.282339190383954</v>
      </c>
      <c r="J19" s="13">
        <f t="shared" si="1"/>
        <v>63.125</v>
      </c>
    </row>
    <row r="20" spans="1:10" ht="14.25" thickTop="1" thickBot="1">
      <c r="A20" s="39" t="s">
        <v>31</v>
      </c>
      <c r="B20" s="40">
        <f>$B$18-$B$19</f>
        <v>-1.6732396347149958E-3</v>
      </c>
      <c r="D20" s="2">
        <v>13</v>
      </c>
      <c r="E20" s="13">
        <f>IF($B$10&gt;6.49,$B$9*$B$8/2,0)</f>
        <v>63.125</v>
      </c>
      <c r="F20" s="13">
        <f>($E20)*(1/((1+$C$12)^13))</f>
        <v>28.484269667615713</v>
      </c>
      <c r="G20" s="13">
        <f>IF(AND($B$10&gt;6,$B$10&lt;6.51),$B$8,0)</f>
        <v>0</v>
      </c>
      <c r="H20" s="13">
        <f>($G20)*(1/((1+$C$12)^13))</f>
        <v>0</v>
      </c>
      <c r="I20" s="14">
        <f t="shared" si="0"/>
        <v>28.484269667615713</v>
      </c>
      <c r="J20" s="13">
        <f t="shared" si="1"/>
        <v>63.125</v>
      </c>
    </row>
    <row r="21" spans="1:10" ht="14.25" thickTop="1" thickBot="1">
      <c r="D21" s="2">
        <v>14</v>
      </c>
      <c r="E21" s="13">
        <f>IF($B$10&gt;6.99,$B$9*$B$8/2,0)</f>
        <v>63.125</v>
      </c>
      <c r="F21" s="13">
        <f>($E21)*(1/((1+$C$12)^14))</f>
        <v>26.792963826093551</v>
      </c>
      <c r="G21" s="13">
        <f>IF(AND($B$10&gt;6.5, $B$10&lt;7.1),$B$8,0)</f>
        <v>0</v>
      </c>
      <c r="H21" s="13">
        <f>($G21)*(1/((1+$C$12)^14))</f>
        <v>0</v>
      </c>
      <c r="I21" s="14">
        <f t="shared" si="0"/>
        <v>26.792963826093551</v>
      </c>
      <c r="J21" s="13">
        <f t="shared" si="1"/>
        <v>63.125</v>
      </c>
    </row>
    <row r="22" spans="1:10" ht="14.25" thickTop="1" thickBot="1">
      <c r="A22" s="39" t="s">
        <v>32</v>
      </c>
      <c r="B22" s="41">
        <f>EFFECT($B$18/2,$B$10)*2</f>
        <v>0.10433732482798153</v>
      </c>
      <c r="D22" s="2">
        <v>15</v>
      </c>
      <c r="E22" s="13">
        <f>IF($B$10&gt;7.49,$B$9*$B$8/2,0)</f>
        <v>63.125</v>
      </c>
      <c r="F22" s="13">
        <f>($E22)*(1/((1+$C$12)^15))</f>
        <v>25.202082376102108</v>
      </c>
      <c r="G22" s="13">
        <f>IF(AND($B$10&gt;7, $B$10&lt;7.51),$B$8,0)</f>
        <v>0</v>
      </c>
      <c r="H22" s="13">
        <f>($G22)*(1/((1+$C$12)^15))</f>
        <v>0</v>
      </c>
      <c r="I22" s="14">
        <f t="shared" si="0"/>
        <v>25.202082376102108</v>
      </c>
      <c r="J22" s="13">
        <f t="shared" si="1"/>
        <v>63.125</v>
      </c>
    </row>
    <row r="23" spans="1:10" ht="13.5" thickTop="1">
      <c r="D23" s="2">
        <v>16</v>
      </c>
      <c r="E23" s="13">
        <f>IF($B$10&gt;7.99,$B$9*$B$8/2,0)</f>
        <v>63.125</v>
      </c>
      <c r="F23" s="13">
        <f>($E23)*(1/((1+$C$12)^16))</f>
        <v>23.705662434899097</v>
      </c>
      <c r="G23" s="13">
        <f>IF(AND($B$10&gt;7.5,$B$10&lt;8.1),$B$8,0)</f>
        <v>0</v>
      </c>
      <c r="H23" s="13">
        <f>($G23)*(1/((1+$C$12)^16))</f>
        <v>0</v>
      </c>
      <c r="I23" s="14">
        <f t="shared" si="0"/>
        <v>23.705662434899097</v>
      </c>
      <c r="J23" s="13">
        <f t="shared" si="1"/>
        <v>63.125</v>
      </c>
    </row>
    <row r="24" spans="1:10">
      <c r="D24" s="2">
        <v>17</v>
      </c>
      <c r="E24" s="13">
        <f>IF($B$10&gt;8.49,$B$9*$B$8/2,0)</f>
        <v>63.125</v>
      </c>
      <c r="F24" s="13">
        <f>($E24)*(1/((1+$C$12)^17))</f>
        <v>22.298095176859817</v>
      </c>
      <c r="G24" s="13">
        <f>IF(AND($B$10&gt;8, $B$10&lt;8.51),$B$8,0)</f>
        <v>0</v>
      </c>
      <c r="H24" s="13">
        <f>($G24)*(1/((1+$C$12)^17))</f>
        <v>0</v>
      </c>
      <c r="I24" s="14">
        <f t="shared" si="0"/>
        <v>22.298095176859817</v>
      </c>
      <c r="J24" s="13">
        <f t="shared" si="1"/>
        <v>63.125</v>
      </c>
    </row>
    <row r="25" spans="1:10">
      <c r="D25" s="2">
        <v>18</v>
      </c>
      <c r="E25" s="13">
        <f>IF($B$10&gt;8.99,$B$9*$B$8/2,0)</f>
        <v>63.125</v>
      </c>
      <c r="F25" s="13">
        <f>($E25)*(1/((1+$C$12)^18))</f>
        <v>20.974104810685304</v>
      </c>
      <c r="G25" s="13">
        <f>IF(AND($B$10&gt;8.5,$B$10&lt;9.1),$B$8,0)</f>
        <v>0</v>
      </c>
      <c r="H25" s="13">
        <f>($G25)*(1/((1+$C$12)^18))</f>
        <v>0</v>
      </c>
      <c r="I25" s="14">
        <f t="shared" si="0"/>
        <v>20.974104810685304</v>
      </c>
      <c r="J25" s="13">
        <f t="shared" si="1"/>
        <v>63.125</v>
      </c>
    </row>
    <row r="26" spans="1:10">
      <c r="D26" s="2">
        <v>19</v>
      </c>
      <c r="E26" s="13">
        <f>IF($B$10&gt;9.49,$B$9*$B$8/2,0)</f>
        <v>63.125</v>
      </c>
      <c r="F26" s="13">
        <f>($E26)*(1/((1+$C$12)^19))</f>
        <v>19.728728804877413</v>
      </c>
      <c r="G26" s="13">
        <f>IF(AND($B$10&gt;9,$B$10&lt;9.51),$B$8,0)</f>
        <v>0</v>
      </c>
      <c r="H26" s="13">
        <f>($G26)*(1/((1+$C$12)^19))</f>
        <v>0</v>
      </c>
      <c r="I26" s="14">
        <f t="shared" si="0"/>
        <v>19.728728804877413</v>
      </c>
      <c r="J26" s="13">
        <f t="shared" si="1"/>
        <v>63.125</v>
      </c>
    </row>
    <row r="27" spans="1:10">
      <c r="D27" s="2">
        <v>20</v>
      </c>
      <c r="E27" s="13">
        <f>IF($B$10&gt;9.99,$B$9*$B$8/2,0)</f>
        <v>63.125</v>
      </c>
      <c r="F27" s="13">
        <f>($E27)*(1/((1+$C$12)^20))</f>
        <v>18.557299287362646</v>
      </c>
      <c r="G27" s="13">
        <f>IF(AND($B$10&gt;9.5,$B$10&lt;10.1),$B$8,0)</f>
        <v>0</v>
      </c>
      <c r="H27" s="13">
        <f>($G27)*(1/((1+$C$12)^20))</f>
        <v>0</v>
      </c>
      <c r="I27" s="14">
        <f t="shared" si="0"/>
        <v>18.557299287362646</v>
      </c>
      <c r="J27" s="13">
        <f t="shared" si="1"/>
        <v>63.125</v>
      </c>
    </row>
    <row r="28" spans="1:10">
      <c r="D28" s="2">
        <v>21</v>
      </c>
      <c r="E28" s="13">
        <f>IF($B$10&gt;10.49,$B$9*$B$8/2,0)</f>
        <v>63.125</v>
      </c>
      <c r="F28" s="13">
        <f>($E28)*(1/((1+$C$12)^21))</f>
        <v>17.45542554954746</v>
      </c>
      <c r="G28" s="13">
        <f>IF(AND($B$10&gt;10,$B$10&lt;10.51),$B$8,0)</f>
        <v>0</v>
      </c>
      <c r="H28" s="13">
        <f>($G28)*(1/((1+$C$12)^21))</f>
        <v>0</v>
      </c>
      <c r="I28" s="14">
        <f t="shared" si="0"/>
        <v>17.45542554954746</v>
      </c>
      <c r="J28" s="13">
        <f t="shared" si="1"/>
        <v>63.125</v>
      </c>
    </row>
    <row r="29" spans="1:10">
      <c r="D29" s="2">
        <v>22</v>
      </c>
      <c r="E29" s="13">
        <f>IF($B$10&gt;10.99,$B$9*$B$8/2,0)</f>
        <v>63.125</v>
      </c>
      <c r="F29" s="13">
        <f>($E29)*(1/((1+$C$12)^22))</f>
        <v>16.418977589227474</v>
      </c>
      <c r="G29" s="13">
        <f>IF(AND($B$10&gt;10.5, $B$10&lt;11.1),$B$8,0)</f>
        <v>0</v>
      </c>
      <c r="H29" s="13">
        <f>($G29)*(1/((1+$C$12)^22))</f>
        <v>0</v>
      </c>
      <c r="I29" s="14">
        <f t="shared" si="0"/>
        <v>16.418977589227474</v>
      </c>
      <c r="J29" s="13">
        <f t="shared" si="1"/>
        <v>63.125</v>
      </c>
    </row>
    <row r="30" spans="1:10">
      <c r="D30" s="2">
        <v>23</v>
      </c>
      <c r="E30" s="13">
        <f>IF($B$10&gt;11.49,$B$9*$B$8/2,0)</f>
        <v>63.125</v>
      </c>
      <c r="F30" s="13">
        <f>($E30)*(1/((1+$C$12)^23))</f>
        <v>15.444070630666641</v>
      </c>
      <c r="G30" s="13">
        <f>IF(AND($B$10&gt;11,$B$10&lt;11.51),$B$8,0)</f>
        <v>0</v>
      </c>
      <c r="H30" s="13">
        <f>($G30)*(1/((1+$C$12)^23))</f>
        <v>0</v>
      </c>
      <c r="I30" s="14">
        <f t="shared" si="0"/>
        <v>15.444070630666641</v>
      </c>
      <c r="J30" s="13">
        <f t="shared" si="1"/>
        <v>63.125</v>
      </c>
    </row>
    <row r="31" spans="1:10">
      <c r="D31" s="2">
        <v>24</v>
      </c>
      <c r="E31" s="13">
        <f>IF($B$10&gt;11.99,$B$9*$B$8/2,0)</f>
        <v>63.125</v>
      </c>
      <c r="F31" s="13">
        <f>($E31)*(1/((1+$C$12)^24))</f>
        <v>14.527050563825174</v>
      </c>
      <c r="G31" s="13">
        <f>IF(AND($B$10&gt;11.5, $B$10&lt;12.1),$B$8,0)</f>
        <v>0</v>
      </c>
      <c r="H31" s="13">
        <f>($G31)*(1/((1+$C$12)^24))</f>
        <v>0</v>
      </c>
      <c r="I31" s="14">
        <f t="shared" si="0"/>
        <v>14.527050563825174</v>
      </c>
      <c r="J31" s="13">
        <f t="shared" si="1"/>
        <v>63.125</v>
      </c>
    </row>
    <row r="32" spans="1:10">
      <c r="D32" s="2">
        <v>25</v>
      </c>
      <c r="E32" s="13">
        <f>IF($B$10&gt;12.49,$B$9*$B$8/2,0)</f>
        <v>63.125</v>
      </c>
      <c r="F32" s="13">
        <f>($E32)*(1/((1+$C$12)^25))</f>
        <v>13.66448024816007</v>
      </c>
      <c r="G32" s="13">
        <f>IF(AND($B$10&gt;12,$B$10&lt;12.51),$B$8,0)</f>
        <v>0</v>
      </c>
      <c r="H32" s="13">
        <f>($G32)*(1/((1+$C$12)^25))</f>
        <v>0</v>
      </c>
      <c r="I32" s="14">
        <f t="shared" si="0"/>
        <v>13.66448024816007</v>
      </c>
      <c r="J32" s="13">
        <f t="shared" si="1"/>
        <v>63.125</v>
      </c>
    </row>
    <row r="33" spans="4:10">
      <c r="D33" s="2">
        <v>26</v>
      </c>
      <c r="E33" s="13">
        <f>IF($B$10&gt;12.99,$B$9*$B$8/2,0)</f>
        <v>63.125</v>
      </c>
      <c r="F33" s="13">
        <f>($E33)*(1/((1+$C$12)^26))</f>
        <v>12.853126629662613</v>
      </c>
      <c r="G33" s="13">
        <f>IF(AND($B$10&gt;12.5,$B$10&lt;13.1),$B$8,0)</f>
        <v>0</v>
      </c>
      <c r="H33" s="13">
        <f>($G33)*(1/((1+$C$12)^26))</f>
        <v>0</v>
      </c>
      <c r="I33" s="14">
        <f t="shared" si="0"/>
        <v>12.853126629662613</v>
      </c>
      <c r="J33" s="13">
        <f t="shared" si="1"/>
        <v>63.125</v>
      </c>
    </row>
    <row r="34" spans="4:10">
      <c r="D34" s="2">
        <v>27</v>
      </c>
      <c r="E34" s="13">
        <f>IF($B$10&gt;13.49,$B$9*$B$8/2,0)</f>
        <v>63.125</v>
      </c>
      <c r="F34" s="13">
        <f>($E34)*(1/((1+$C$12)^27))</f>
        <v>12.08994862284549</v>
      </c>
      <c r="G34" s="13">
        <f>IF(AND($B$10&gt;13,$B$10&lt;13.51),$B$8,0)</f>
        <v>0</v>
      </c>
      <c r="H34" s="13">
        <f>($G34)*(1/((1+$C$12)^27))</f>
        <v>0</v>
      </c>
      <c r="I34" s="14">
        <f t="shared" si="0"/>
        <v>12.08994862284549</v>
      </c>
      <c r="J34" s="13">
        <f t="shared" si="1"/>
        <v>63.125</v>
      </c>
    </row>
    <row r="35" spans="4:10">
      <c r="D35" s="2">
        <v>28</v>
      </c>
      <c r="E35" s="13">
        <f>IF($B$10&gt;13.99,$B$9*$B$8/2,0)</f>
        <v>63.125</v>
      </c>
      <c r="F35" s="13">
        <f>($E35)*(1/((1+$C$12)^28))</f>
        <v>11.37208571225913</v>
      </c>
      <c r="G35" s="13">
        <f>IF(AND($B$10&gt;13.5,$B$10&lt;14.1),$B$8,0)</f>
        <v>0</v>
      </c>
      <c r="H35" s="13">
        <f>($G35)*(1/((1+$C$12)^28))</f>
        <v>0</v>
      </c>
      <c r="I35" s="14">
        <f t="shared" si="0"/>
        <v>11.37208571225913</v>
      </c>
      <c r="J35" s="13">
        <f t="shared" si="1"/>
        <v>63.125</v>
      </c>
    </row>
    <row r="36" spans="4:10">
      <c r="D36" s="2">
        <v>29</v>
      </c>
      <c r="E36" s="13">
        <f>IF($B$10&gt;14.49,$B$9*$B$8/2,0)</f>
        <v>63.125</v>
      </c>
      <c r="F36" s="13">
        <f>($E36)*(1/((1+$C$12)^29))</f>
        <v>10.696847230813997</v>
      </c>
      <c r="G36" s="13">
        <f>IF(AND($B$10&gt;14,$B$10&lt;14.51),$B$8,0)</f>
        <v>0</v>
      </c>
      <c r="H36" s="13">
        <f>($G36)*(1/((1+$C$12)^29))</f>
        <v>0</v>
      </c>
      <c r="I36" s="14">
        <f t="shared" si="0"/>
        <v>10.696847230813997</v>
      </c>
      <c r="J36" s="13">
        <f t="shared" si="1"/>
        <v>63.125</v>
      </c>
    </row>
    <row r="37" spans="4:10">
      <c r="D37" s="2">
        <v>30</v>
      </c>
      <c r="E37" s="13">
        <f>IF($B$10&gt;14.99,$B$9*$B$8/2,0)</f>
        <v>63.125</v>
      </c>
      <c r="F37" s="13">
        <f>($E37)*(1/((1+$C$12)^30))</f>
        <v>10.061702274722158</v>
      </c>
      <c r="G37" s="13">
        <f>IF(AND($B$10&gt;14.5,$B$10&lt;15.1),$B$8,0)</f>
        <v>0</v>
      </c>
      <c r="H37" s="13">
        <f>($G37)*(1/((1+$C$12)^30))</f>
        <v>0</v>
      </c>
      <c r="I37" s="14">
        <f t="shared" si="0"/>
        <v>10.061702274722158</v>
      </c>
      <c r="J37" s="13">
        <f t="shared" si="1"/>
        <v>63.125</v>
      </c>
    </row>
    <row r="38" spans="4:10">
      <c r="D38" s="2">
        <v>31</v>
      </c>
      <c r="E38" s="13">
        <f>IF($B$10&gt;15.49,$B$9*$B$8/2,0)</f>
        <v>63.125</v>
      </c>
      <c r="F38" s="13">
        <f>($E38)*(1/((1+$C$12)^31))</f>
        <v>9.4642702172577629</v>
      </c>
      <c r="G38" s="13">
        <f>IF(AND($B$10&gt;15, $B$10&lt;15.51),$B$8,0)</f>
        <v>0</v>
      </c>
      <c r="H38" s="13">
        <f>($G38)*(1/((1+$C$12)^31))</f>
        <v>0</v>
      </c>
      <c r="I38" s="14">
        <f t="shared" si="0"/>
        <v>9.4642702172577629</v>
      </c>
      <c r="J38" s="13">
        <f t="shared" si="1"/>
        <v>63.125</v>
      </c>
    </row>
    <row r="39" spans="4:10">
      <c r="D39" s="2">
        <v>32</v>
      </c>
      <c r="E39" s="13">
        <f>IF($B$10&gt;15.99,$B$9*$B$8/2,0)</f>
        <v>63.125</v>
      </c>
      <c r="F39" s="13">
        <f>($E39)*(1/((1+$C$12)^32))</f>
        <v>8.9023117857803751</v>
      </c>
      <c r="G39" s="13">
        <f>IF(AND($B$10&gt;15.5,$B$10&lt;16.1),$B$8,0)</f>
        <v>0</v>
      </c>
      <c r="H39" s="13">
        <f>($G39)*(1/((1+$C$12)^32))</f>
        <v>0</v>
      </c>
      <c r="I39" s="14">
        <f t="shared" si="0"/>
        <v>8.9023117857803751</v>
      </c>
      <c r="J39" s="13">
        <f t="shared" si="1"/>
        <v>63.125</v>
      </c>
    </row>
    <row r="40" spans="4:10">
      <c r="D40" s="2">
        <v>33</v>
      </c>
      <c r="E40" s="13">
        <f>IF($B$10&gt;16.49,$B$9*$B$8/2,0)</f>
        <v>63.125</v>
      </c>
      <c r="F40" s="13">
        <f>($E40)*(1/((1+$C$12)^33))</f>
        <v>8.3737206685764818</v>
      </c>
      <c r="G40" s="13">
        <f>IF(AND($B$10&gt;16,$B$10&lt;16.51),$B$8,0)</f>
        <v>0</v>
      </c>
      <c r="H40" s="13">
        <f>($G40)*(1/((1+$C$12)^33))</f>
        <v>0</v>
      </c>
      <c r="I40" s="14">
        <f t="shared" ref="I40:I57" si="2">$F40+$H40</f>
        <v>8.3737206685764818</v>
      </c>
      <c r="J40" s="13">
        <f t="shared" ref="J40:J57" si="3">$E40+$G40</f>
        <v>63.125</v>
      </c>
    </row>
    <row r="41" spans="4:10">
      <c r="D41" s="2">
        <v>34</v>
      </c>
      <c r="E41" s="13">
        <f>IF($B$10&gt;16.99,$B$9*$B$8/2,0)</f>
        <v>63.125</v>
      </c>
      <c r="F41" s="13">
        <f>($E41)*(1/((1+$C$12)^34))</f>
        <v>7.8765156200601822</v>
      </c>
      <c r="G41" s="13">
        <f>IF(AND($B$10&gt;16.5, $B$10&lt;17.1),$B$8,0)</f>
        <v>0</v>
      </c>
      <c r="H41" s="13">
        <f>($G41)*(1/((1+$C$12)^34))</f>
        <v>0</v>
      </c>
      <c r="I41" s="14">
        <f t="shared" si="2"/>
        <v>7.8765156200601822</v>
      </c>
      <c r="J41" s="13">
        <f t="shared" si="3"/>
        <v>63.125</v>
      </c>
    </row>
    <row r="42" spans="4:10">
      <c r="D42" s="2">
        <v>35</v>
      </c>
      <c r="E42" s="13">
        <f>IF($B$10&gt;17.49,$B$9*$B$8/2,0)</f>
        <v>63.125</v>
      </c>
      <c r="F42" s="13">
        <f>($E42)*(1/((1+$C$12)^35))</f>
        <v>7.4088330347420861</v>
      </c>
      <c r="G42" s="13">
        <f>IF(AND($B$10&gt;17,$B$10&lt;17.51),$B$8,0)</f>
        <v>0</v>
      </c>
      <c r="H42" s="13">
        <f>($G42)*(1/((1+$C$12)^35))</f>
        <v>0</v>
      </c>
      <c r="I42" s="14">
        <f t="shared" si="2"/>
        <v>7.4088330347420861</v>
      </c>
      <c r="J42" s="13">
        <f t="shared" si="3"/>
        <v>63.125</v>
      </c>
    </row>
    <row r="43" spans="4:10">
      <c r="D43" s="2">
        <v>36</v>
      </c>
      <c r="E43" s="13">
        <f>IF($B$10&gt;17.99,$B$9*$B$8/2,0)</f>
        <v>63.125</v>
      </c>
      <c r="F43" s="13">
        <f>($E43)*(1/((1+$C$12)^36))</f>
        <v>6.9689199621324738</v>
      </c>
      <c r="G43" s="13">
        <f>IF(AND($B$10&gt;17.5,$B$10&lt;18.1),$B$8,0)</f>
        <v>0</v>
      </c>
      <c r="H43" s="13">
        <f>($G43)*(1/((1+$C$12)^36))</f>
        <v>0</v>
      </c>
      <c r="I43" s="14">
        <f t="shared" si="2"/>
        <v>6.9689199621324738</v>
      </c>
      <c r="J43" s="13">
        <f t="shared" si="3"/>
        <v>63.125</v>
      </c>
    </row>
    <row r="44" spans="4:10">
      <c r="D44" s="2">
        <v>37</v>
      </c>
      <c r="E44" s="13">
        <f>IF($B$10&gt;18.49,$B$9*$B$8/2,0)</f>
        <v>63.125</v>
      </c>
      <c r="F44" s="13">
        <f>($E44)*(1/((1+$C$12)^37))</f>
        <v>6.5551275363973875</v>
      </c>
      <c r="G44" s="13">
        <f>IF(AND($B$10&gt;18,$B$10&lt;18.51),$B$8,0)</f>
        <v>0</v>
      </c>
      <c r="H44" s="13">
        <f>($G44)*(1/((1+$C$12)^37))</f>
        <v>0</v>
      </c>
      <c r="I44" s="14">
        <f t="shared" si="2"/>
        <v>6.5551275363973875</v>
      </c>
      <c r="J44" s="13">
        <f t="shared" si="3"/>
        <v>63.125</v>
      </c>
    </row>
    <row r="45" spans="4:10">
      <c r="D45" s="2">
        <v>38</v>
      </c>
      <c r="E45" s="13">
        <f>IF($B$10&gt;18.99,$B$9*$B$8/2,0)</f>
        <v>63.125</v>
      </c>
      <c r="F45" s="13">
        <f>($E45)*(1/((1+$C$12)^38))</f>
        <v>6.1659047961409881</v>
      </c>
      <c r="G45" s="13">
        <f>IF(AND($B$10&gt;18.5,$B$10&lt;19.1),$B$8,0)</f>
        <v>0</v>
      </c>
      <c r="H45" s="13">
        <f>($G45)*(1/((1+$C$12)^38))</f>
        <v>0</v>
      </c>
      <c r="I45" s="14">
        <f t="shared" si="2"/>
        <v>6.1659047961409881</v>
      </c>
      <c r="J45" s="13">
        <f t="shared" si="3"/>
        <v>63.125</v>
      </c>
    </row>
    <row r="46" spans="4:10">
      <c r="D46" s="2">
        <v>39</v>
      </c>
      <c r="E46" s="13">
        <f>IF($B$10&gt;19.49,$B$9*$B$8/2,0)</f>
        <v>63.125</v>
      </c>
      <c r="F46" s="13">
        <f>($E46)*(1/((1+$C$12)^39))</f>
        <v>5.7997928711496645</v>
      </c>
      <c r="G46" s="13">
        <f>IF(AND($B$10&gt;19,$B$10&lt;19.51),$B$8,0)</f>
        <v>0</v>
      </c>
      <c r="H46" s="13">
        <f>($G46)*(1/((1+$C$12)^39))</f>
        <v>0</v>
      </c>
      <c r="I46" s="14">
        <f t="shared" si="2"/>
        <v>5.7997928711496645</v>
      </c>
      <c r="J46" s="13">
        <f t="shared" si="3"/>
        <v>63.125</v>
      </c>
    </row>
    <row r="47" spans="4:10">
      <c r="D47" s="2">
        <v>40</v>
      </c>
      <c r="E47" s="13">
        <f>IF($B$10&gt;19.99,$B$9*$B$8/2,0)</f>
        <v>63.125</v>
      </c>
      <c r="F47" s="13">
        <f>($E47)*(1/((1+$C$12)^40))</f>
        <v>5.4554195143089128</v>
      </c>
      <c r="G47" s="13">
        <f>IF(AND($B$10&gt;19.5,$B$10&lt;20.1),$B$8,0)</f>
        <v>0</v>
      </c>
      <c r="H47" s="13">
        <f>($G47)*(1/((1+$C$12)^40))</f>
        <v>0</v>
      </c>
      <c r="I47" s="14">
        <f t="shared" si="2"/>
        <v>5.4554195143089128</v>
      </c>
      <c r="J47" s="13">
        <f t="shared" si="3"/>
        <v>63.125</v>
      </c>
    </row>
    <row r="48" spans="4:10">
      <c r="D48" s="2">
        <v>41</v>
      </c>
      <c r="E48" s="13">
        <f>IF($B$10&gt;20.49,$B$9*$B$8/2,0)</f>
        <v>63.125</v>
      </c>
      <c r="F48" s="13">
        <f>($E48)*(1/((1+$C$12)^41))</f>
        <v>5.1314939581976837</v>
      </c>
      <c r="G48" s="13">
        <f>IF(AND($B$10&gt;20,$B$10&lt;20.51),$B$8,0)</f>
        <v>0</v>
      </c>
      <c r="H48" s="13">
        <f>($G48)*(1/((1+$C$12)^41))</f>
        <v>0</v>
      </c>
      <c r="I48" s="14">
        <f t="shared" si="2"/>
        <v>5.1314939581976837</v>
      </c>
      <c r="J48" s="13">
        <f t="shared" si="3"/>
        <v>63.125</v>
      </c>
    </row>
    <row r="49" spans="4:10">
      <c r="D49" s="2">
        <v>42</v>
      </c>
      <c r="E49" s="13">
        <f>IF($B$10&gt;20.99,$B$9*$B$8/2,0)</f>
        <v>63.125</v>
      </c>
      <c r="F49" s="13">
        <f>($E49)*(1/((1+$C$12)^42))</f>
        <v>4.8268020770818882</v>
      </c>
      <c r="G49" s="13">
        <f>IF(AND($B$10&gt;20.5,$B$10&lt;21.1),$B$8,0)</f>
        <v>0</v>
      </c>
      <c r="H49" s="13">
        <f>($G49)*(1/((1+$C$12)^42))</f>
        <v>0</v>
      </c>
      <c r="I49" s="14">
        <f t="shared" si="2"/>
        <v>4.8268020770818882</v>
      </c>
      <c r="J49" s="13">
        <f t="shared" si="3"/>
        <v>63.125</v>
      </c>
    </row>
    <row r="50" spans="4:10">
      <c r="D50" s="2">
        <v>43</v>
      </c>
      <c r="E50" s="13">
        <f>IF($B$10&gt;21.49,$B$9*$B$8/2,0)</f>
        <v>63.125</v>
      </c>
      <c r="F50" s="13">
        <f>($E50)*(1/((1+$C$12)^43))</f>
        <v>4.5402018361734404</v>
      </c>
      <c r="G50" s="13">
        <f>IF(AND($B$10&gt;21,$B$10&lt;21.51),$B$8,0)</f>
        <v>0</v>
      </c>
      <c r="H50" s="13">
        <f>($G50)*(1/((1+$C$12)^43))</f>
        <v>0</v>
      </c>
      <c r="I50" s="14">
        <f t="shared" si="2"/>
        <v>4.5402018361734404</v>
      </c>
      <c r="J50" s="13">
        <f t="shared" si="3"/>
        <v>63.125</v>
      </c>
    </row>
    <row r="51" spans="4:10">
      <c r="D51" s="2">
        <v>44</v>
      </c>
      <c r="E51" s="13">
        <f>IF($B$10&gt;21.99,$B$9*$B$8/2,0)</f>
        <v>63.125</v>
      </c>
      <c r="F51" s="13">
        <f>($E51)*(1/((1+$C$12)^44))</f>
        <v>4.2706190110978852</v>
      </c>
      <c r="G51" s="13">
        <f>IF(AND($B$10&gt;21.5,$B$10&lt;22.1),$B$8,0)</f>
        <v>0</v>
      </c>
      <c r="H51" s="13">
        <f>($G51)*(1/((1+$C$12)^44))</f>
        <v>0</v>
      </c>
      <c r="I51" s="14">
        <f t="shared" si="2"/>
        <v>4.2706190110978852</v>
      </c>
      <c r="J51" s="13">
        <f t="shared" si="3"/>
        <v>63.125</v>
      </c>
    </row>
    <row r="52" spans="4:10">
      <c r="D52" s="2">
        <v>45</v>
      </c>
      <c r="E52" s="13">
        <f>IF($B$10&gt;22.49,$B$9*$B$8/2,0)</f>
        <v>63.125</v>
      </c>
      <c r="F52" s="13">
        <f>($E52)*(1/((1+$C$12)^45))</f>
        <v>4.017043161526523</v>
      </c>
      <c r="G52" s="13">
        <f>IF(AND($B$10&gt;22,$B$10&lt;22.51),$B$8,0)</f>
        <v>0</v>
      </c>
      <c r="H52" s="13">
        <f>($G52)*(1/((1+$C$12)^45))</f>
        <v>0</v>
      </c>
      <c r="I52" s="14">
        <f t="shared" si="2"/>
        <v>4.017043161526523</v>
      </c>
      <c r="J52" s="13">
        <f t="shared" si="3"/>
        <v>63.125</v>
      </c>
    </row>
    <row r="53" spans="4:10">
      <c r="D53" s="2">
        <v>46</v>
      </c>
      <c r="E53" s="13">
        <f>IF($B$10&gt;22.99,$B$9*$B$8/2,0)</f>
        <v>63.125</v>
      </c>
      <c r="F53" s="13">
        <f>($E53)*(1/((1+$C$12)^46))</f>
        <v>3.7785238438815023</v>
      </c>
      <c r="G53" s="13">
        <f>IF(AND($B$10&gt;22.5,$B$10&lt;23.1),$B$8,0)</f>
        <v>0</v>
      </c>
      <c r="H53" s="13">
        <f>($G53)*(1/((1+$C$12)^46))</f>
        <v>0</v>
      </c>
      <c r="I53" s="14">
        <f t="shared" si="2"/>
        <v>3.7785238438815023</v>
      </c>
      <c r="J53" s="13">
        <f t="shared" si="3"/>
        <v>63.125</v>
      </c>
    </row>
    <row r="54" spans="4:10">
      <c r="D54" s="2">
        <v>47</v>
      </c>
      <c r="E54" s="13">
        <f>IF($B$10&gt;23.49,$B$9*$B$8/2,0)</f>
        <v>63.125</v>
      </c>
      <c r="F54" s="13">
        <f>($E54)*(1/((1+$C$12)^47))</f>
        <v>3.5541670489185213</v>
      </c>
      <c r="G54" s="13">
        <f>IF(AND($B$10&gt;23,$B$10&lt;23.51),$B$8,0)</f>
        <v>0</v>
      </c>
      <c r="H54" s="13">
        <f>($G54)*(1/((1+$C$12)^47))</f>
        <v>0</v>
      </c>
      <c r="I54" s="14">
        <f t="shared" si="2"/>
        <v>3.5541670489185213</v>
      </c>
      <c r="J54" s="13">
        <f t="shared" si="3"/>
        <v>63.125</v>
      </c>
    </row>
    <row r="55" spans="4:10">
      <c r="D55" s="2">
        <v>48</v>
      </c>
      <c r="E55" s="13">
        <f>IF($B$10&gt;23.99,$B$9*$B$8/2,0)</f>
        <v>63.125</v>
      </c>
      <c r="F55" s="13">
        <f>($E55)*(1/((1+$C$12)^48))</f>
        <v>3.3431318508345869</v>
      </c>
      <c r="G55" s="13">
        <f>IF(AND($B$10&gt;23.5, $B$10&lt;24.1),$B$8,0)</f>
        <v>0</v>
      </c>
      <c r="H55" s="13">
        <f>($G55)*(1/((1+$C$12)^48))</f>
        <v>0</v>
      </c>
      <c r="I55" s="14">
        <f t="shared" si="2"/>
        <v>3.3431318508345869</v>
      </c>
      <c r="J55" s="13">
        <f t="shared" si="3"/>
        <v>63.125</v>
      </c>
    </row>
    <row r="56" spans="4:10">
      <c r="D56" s="2">
        <v>49</v>
      </c>
      <c r="E56" s="13">
        <f>IF($B$10&gt;24.49,$B$9*$B$8/2,0)</f>
        <v>63.125</v>
      </c>
      <c r="F56" s="13">
        <f>($E56)*(1/((1+$C$12)^49))</f>
        <v>3.1446272553411747</v>
      </c>
      <c r="G56" s="13">
        <f>IF(AND($B$10&gt;24,$B$10&lt;24.51),$B$8,0)</f>
        <v>0</v>
      </c>
      <c r="H56" s="13">
        <f>($G56)*(1/((1+$C$12)^49))</f>
        <v>0</v>
      </c>
      <c r="I56" s="14">
        <f t="shared" si="2"/>
        <v>3.1446272553411747</v>
      </c>
      <c r="J56" s="13">
        <f t="shared" si="3"/>
        <v>63.125</v>
      </c>
    </row>
    <row r="57" spans="4:10">
      <c r="D57" s="2">
        <v>50</v>
      </c>
      <c r="E57" s="13">
        <f>IF($B$10&gt;24.99,$B$9*$B$8/2,0)</f>
        <v>63.125</v>
      </c>
      <c r="F57" s="13">
        <f>($E57)*(1/((1+$C$12)^50))</f>
        <v>2.9579092348888176</v>
      </c>
      <c r="G57" s="13">
        <f>IF(AND($B$10&gt;24.5, $B$10&lt;25.1),$B$8,0)</f>
        <v>1000</v>
      </c>
      <c r="H57" s="13">
        <f>($G57)*(1/((1+$C$12)^50))</f>
        <v>46.857968077446621</v>
      </c>
      <c r="I57" s="14">
        <f t="shared" si="2"/>
        <v>49.815877312335438</v>
      </c>
      <c r="J57" s="13">
        <f t="shared" si="3"/>
        <v>1063.125</v>
      </c>
    </row>
    <row r="58" spans="4:10">
      <c r="D58" s="2"/>
      <c r="I58" s="2" t="s">
        <v>20</v>
      </c>
      <c r="J58" s="2" t="s">
        <v>21</v>
      </c>
    </row>
    <row r="59" spans="4:10">
      <c r="D59" s="2"/>
      <c r="I59" s="34">
        <f>SUM(I8:I57)</f>
        <v>999.99999999999807</v>
      </c>
      <c r="J59" s="35">
        <f>IRR(J7:J57,0.01)*2</f>
        <v>0.10181036692266206</v>
      </c>
    </row>
  </sheetData>
  <pageMargins left="0.47" right="0.24" top="1" bottom="1" header="0.5" footer="0.5"/>
  <pageSetup scale="75" orientation="portrait" horizontalDpi="0" verticalDpi="0" copies="0"/>
  <headerFooter alignWithMargins="0">
    <oddHeader xml:space="preserve">&amp;C&amp;"Arial,Bold"&amp;14BOND YIELD TO MATURITY&amp;"Arial,Regular"&amp;10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59"/>
  <sheetViews>
    <sheetView tabSelected="1" topLeftCell="E1" workbookViewId="0">
      <selection activeCell="E1" sqref="E1"/>
    </sheetView>
  </sheetViews>
  <sheetFormatPr defaultColWidth="8.85546875" defaultRowHeight="12.75"/>
  <cols>
    <col min="1" max="1" width="22.42578125" customWidth="1"/>
    <col min="2" max="2" width="10.28515625" customWidth="1"/>
    <col min="4" max="4" width="9.140625" style="5" customWidth="1"/>
    <col min="5" max="15" width="10.7109375" style="3" customWidth="1"/>
    <col min="16" max="16" width="11.42578125" style="3" customWidth="1"/>
  </cols>
  <sheetData>
    <row r="1" spans="1:16">
      <c r="D1" s="30"/>
    </row>
    <row r="2" spans="1:16" ht="18">
      <c r="A2" s="1" t="s">
        <v>33</v>
      </c>
      <c r="D2" s="30"/>
    </row>
    <row r="3" spans="1:16">
      <c r="A3" s="5" t="s">
        <v>34</v>
      </c>
      <c r="D3" s="30"/>
    </row>
    <row r="4" spans="1:16">
      <c r="A4" s="4" t="s">
        <v>24</v>
      </c>
      <c r="D4" s="30"/>
      <c r="F4" s="6"/>
      <c r="I4" s="7"/>
      <c r="L4" s="6"/>
      <c r="O4" s="7"/>
    </row>
    <row r="5" spans="1:16">
      <c r="A5" s="4" t="s">
        <v>25</v>
      </c>
      <c r="D5" s="30"/>
      <c r="F5" s="6"/>
      <c r="I5" s="7"/>
      <c r="L5" s="6"/>
      <c r="O5" s="7"/>
    </row>
    <row r="6" spans="1:16" ht="45.75" customHeight="1" thickBot="1">
      <c r="D6" s="43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9" t="s">
        <v>10</v>
      </c>
      <c r="K6" s="8" t="s">
        <v>5</v>
      </c>
      <c r="L6" s="8" t="s">
        <v>6</v>
      </c>
      <c r="M6" s="8" t="s">
        <v>7</v>
      </c>
      <c r="N6" s="8" t="s">
        <v>8</v>
      </c>
      <c r="O6" s="8" t="s">
        <v>9</v>
      </c>
      <c r="P6" s="9" t="s">
        <v>10</v>
      </c>
    </row>
    <row r="7" spans="1:16" ht="19.5" thickTop="1" thickBot="1">
      <c r="A7" s="10" t="s">
        <v>11</v>
      </c>
      <c r="B7" s="4"/>
      <c r="D7" s="30">
        <v>0</v>
      </c>
      <c r="E7" s="11"/>
      <c r="F7" s="12"/>
      <c r="G7" s="13">
        <f>$B$12*-1</f>
        <v>-865.49</v>
      </c>
      <c r="H7" s="13">
        <f>$B$12*-1</f>
        <v>-865.49</v>
      </c>
      <c r="I7" s="13">
        <f>$B$12*-1</f>
        <v>-865.49</v>
      </c>
      <c r="J7" s="13">
        <f>$B$12*-1</f>
        <v>-865.49</v>
      </c>
      <c r="K7" s="11"/>
      <c r="L7" s="12"/>
      <c r="M7" s="13">
        <f>$B$12*-1</f>
        <v>-865.49</v>
      </c>
      <c r="N7" s="13">
        <f>$B$12*-1</f>
        <v>-865.49</v>
      </c>
      <c r="O7" s="13">
        <f>$B$12*-1</f>
        <v>-865.49</v>
      </c>
      <c r="P7" s="13">
        <f>$B$12*-1</f>
        <v>-865.49</v>
      </c>
    </row>
    <row r="8" spans="1:16" ht="27" customHeight="1" thickTop="1" thickBot="1">
      <c r="A8" s="15" t="s">
        <v>35</v>
      </c>
      <c r="B8" s="16">
        <v>1000</v>
      </c>
      <c r="D8" s="30">
        <v>1</v>
      </c>
      <c r="E8" s="13">
        <f>IF($B$10&gt;0.49,$B$9*$B$8/2,0)</f>
        <v>41.25</v>
      </c>
      <c r="F8" s="13">
        <f>($E8)*(1/((1+$C$12)^1))</f>
        <v>39.615846338535412</v>
      </c>
      <c r="G8" s="13">
        <f>IF(AND($B$10&gt;0,$B$10&lt;0.51),$B$8,0)</f>
        <v>0</v>
      </c>
      <c r="H8" s="13">
        <f>($G8)*(1/((1+$C$12)^1))</f>
        <v>0</v>
      </c>
      <c r="I8" s="14">
        <f t="shared" ref="I8:I39" si="0">$F8+$H8</f>
        <v>39.615846338535412</v>
      </c>
      <c r="J8" s="13">
        <f t="shared" ref="J8:J39" si="1">$E8+$G8</f>
        <v>41.25</v>
      </c>
      <c r="K8" s="13">
        <f>IF($B$14&gt;0.49,$B$9*$B$8/2,0)</f>
        <v>41.25</v>
      </c>
      <c r="L8" s="13">
        <f>($K8)*(1/((1+$C$12)^1))</f>
        <v>39.615846338535412</v>
      </c>
      <c r="M8" s="13">
        <f>IF(AND($B$14&gt;0,$B$14&lt;0.51),$B$13,0)</f>
        <v>0</v>
      </c>
      <c r="N8" s="13">
        <f>($M8)*(1/((1+$C$12)^1))</f>
        <v>0</v>
      </c>
      <c r="O8" s="14">
        <f t="shared" ref="O8:O39" si="2">$L8+$N8</f>
        <v>39.615846338535412</v>
      </c>
      <c r="P8" s="13">
        <f t="shared" ref="P8:P39" si="3">$K8+$M8</f>
        <v>41.25</v>
      </c>
    </row>
    <row r="9" spans="1:16" ht="39.75" customHeight="1" thickTop="1" thickBot="1">
      <c r="A9" s="15" t="s">
        <v>36</v>
      </c>
      <c r="B9" s="22">
        <v>8.2500000000000004E-2</v>
      </c>
      <c r="D9" s="30">
        <v>2</v>
      </c>
      <c r="E9" s="13">
        <f>IF($B$10&gt;0.99,$B$9*$B$8/2,0)</f>
        <v>41.25</v>
      </c>
      <c r="F9" s="13">
        <f>($E9)*(1/((1+$C$12)^2))</f>
        <v>38.04643105741696</v>
      </c>
      <c r="G9" s="13">
        <f>IF($B$10&gt;0.5,IF($B$10&lt;1.1,$B$8,0))</f>
        <v>0</v>
      </c>
      <c r="H9" s="13">
        <f>($G9)*(1/((1+$C$12)^2))</f>
        <v>0</v>
      </c>
      <c r="I9" s="14">
        <f t="shared" si="0"/>
        <v>38.04643105741696</v>
      </c>
      <c r="J9" s="13">
        <f t="shared" si="1"/>
        <v>41.25</v>
      </c>
      <c r="K9" s="13">
        <f>IF($B$14&gt;0.99,$B$9*$B$8/2,0)</f>
        <v>41.25</v>
      </c>
      <c r="L9" s="13">
        <f>($K9)*(1/((1+$C$12)^2))</f>
        <v>38.04643105741696</v>
      </c>
      <c r="M9" s="13">
        <f>IF($B$14&gt;0.5,IF($B$14&lt;1.1,$B$13,0))</f>
        <v>0</v>
      </c>
      <c r="N9" s="13">
        <f>($M9)*(1/((1+$C$12)^2))</f>
        <v>0</v>
      </c>
      <c r="O9" s="14">
        <f t="shared" si="2"/>
        <v>38.04643105741696</v>
      </c>
      <c r="P9" s="13">
        <f t="shared" si="3"/>
        <v>41.25</v>
      </c>
    </row>
    <row r="10" spans="1:16" ht="27" customHeight="1" thickTop="1" thickBot="1">
      <c r="A10" s="44" t="s">
        <v>37</v>
      </c>
      <c r="B10" s="18">
        <v>15</v>
      </c>
      <c r="D10" s="30">
        <v>3</v>
      </c>
      <c r="E10" s="13">
        <f>IF($B$10&gt;1.49,$B$9*$B$8/2,0)</f>
        <v>41.25</v>
      </c>
      <c r="F10" s="13">
        <f>($E10)*(1/((1+$C$12)^3))</f>
        <v>36.539189490916648</v>
      </c>
      <c r="G10" s="13">
        <f>IF(AND($B$10&gt;1,$B$10&lt;1.51),$B$8,0)</f>
        <v>0</v>
      </c>
      <c r="H10" s="13">
        <f>($G10)*(1/((1+$C$12)^3))</f>
        <v>0</v>
      </c>
      <c r="I10" s="14">
        <f t="shared" si="0"/>
        <v>36.539189490916648</v>
      </c>
      <c r="J10" s="13">
        <f t="shared" si="1"/>
        <v>41.25</v>
      </c>
      <c r="K10" s="13">
        <f>IF($B$14&gt;1.49,$B$9*$B$8/2,0)</f>
        <v>41.25</v>
      </c>
      <c r="L10" s="13">
        <f>($K10)*(1/((1+$C$12)^3))</f>
        <v>36.539189490916648</v>
      </c>
      <c r="M10" s="13">
        <f>IF(AND($B$14&gt;1,$B$14&lt;1.51),$B$13,0)</f>
        <v>0</v>
      </c>
      <c r="N10" s="13">
        <f>($M10)*(1/((1+$C$12)^3))</f>
        <v>0</v>
      </c>
      <c r="O10" s="14">
        <f t="shared" si="2"/>
        <v>36.539189490916648</v>
      </c>
      <c r="P10" s="13">
        <f t="shared" si="3"/>
        <v>41.25</v>
      </c>
    </row>
    <row r="11" spans="1:16" ht="27" customHeight="1" thickTop="1" thickBot="1">
      <c r="A11" s="19"/>
      <c r="B11" s="20"/>
      <c r="C11" s="21" t="s">
        <v>15</v>
      </c>
      <c r="D11" s="30">
        <v>4</v>
      </c>
      <c r="E11" s="13">
        <f>IF($B$10&gt;1.99,$B$9*$B$8/2,0)</f>
        <v>41.25</v>
      </c>
      <c r="F11" s="13">
        <f>($E11)*(1/((1+$C$12)^4))</f>
        <v>35.091658574709868</v>
      </c>
      <c r="G11" s="13">
        <f>IF(AND($B$10&gt;1.5,$B$10&lt;2.01),$B$8,0)</f>
        <v>0</v>
      </c>
      <c r="H11" s="13">
        <f>($G11)*(1/((1+$C$12)^4))</f>
        <v>0</v>
      </c>
      <c r="I11" s="14">
        <f t="shared" si="0"/>
        <v>35.091658574709868</v>
      </c>
      <c r="J11" s="13">
        <f t="shared" si="1"/>
        <v>41.25</v>
      </c>
      <c r="K11" s="13">
        <f>IF($B$14&gt;1.99,$B$9*$B$8/2,0)</f>
        <v>41.25</v>
      </c>
      <c r="L11" s="13">
        <f>($K11)*(1/((1+$C$12)^4))</f>
        <v>35.091658574709868</v>
      </c>
      <c r="M11" s="13">
        <f>IF(AND($B$14&gt;1.5,$B$14&lt;2.01),$B$13,0)</f>
        <v>0</v>
      </c>
      <c r="N11" s="13">
        <f>($M11)*(1/((1+$C$12)^4))</f>
        <v>0</v>
      </c>
      <c r="O11" s="14">
        <f t="shared" si="2"/>
        <v>35.091658574709868</v>
      </c>
      <c r="P11" s="13">
        <f t="shared" si="3"/>
        <v>41.25</v>
      </c>
    </row>
    <row r="12" spans="1:16" ht="27" customHeight="1" thickTop="1" thickBot="1">
      <c r="A12" s="15" t="s">
        <v>38</v>
      </c>
      <c r="B12" s="36">
        <v>865.49</v>
      </c>
      <c r="C12" s="23">
        <f>$B$9/2</f>
        <v>4.1250000000000002E-2</v>
      </c>
      <c r="D12" s="30">
        <v>5</v>
      </c>
      <c r="E12" s="13">
        <f>IF($B$10&gt;2.49,$B$9*$B$8/2,0)</f>
        <v>41.25</v>
      </c>
      <c r="F12" s="13">
        <f>($E12)*(1/((1+$C$12)^5))</f>
        <v>33.701472820849808</v>
      </c>
      <c r="G12" s="13">
        <f>IF(AND($B$10&gt;2,$B$10&lt;2.51),$B$8,0)</f>
        <v>0</v>
      </c>
      <c r="H12" s="13">
        <f>($G12)*(1/((1+$C$12)^5))</f>
        <v>0</v>
      </c>
      <c r="I12" s="14">
        <f t="shared" si="0"/>
        <v>33.701472820849808</v>
      </c>
      <c r="J12" s="13">
        <f t="shared" si="1"/>
        <v>41.25</v>
      </c>
      <c r="K12" s="13">
        <f>IF($B$14&gt;2.49,$B$9*$B$8/2,0)</f>
        <v>41.25</v>
      </c>
      <c r="L12" s="13">
        <f>($K12)*(1/((1+$C$12)^5))</f>
        <v>33.701472820849808</v>
      </c>
      <c r="M12" s="13">
        <f>IF(AND($B$14&gt;2,$B$14&lt;2.51),$B$13,0)</f>
        <v>0</v>
      </c>
      <c r="N12" s="13">
        <f>($M12)*(1/((1+$C$12)^5))</f>
        <v>0</v>
      </c>
      <c r="O12" s="14">
        <f t="shared" si="2"/>
        <v>33.701472820849808</v>
      </c>
      <c r="P12" s="13">
        <f t="shared" si="3"/>
        <v>41.25</v>
      </c>
    </row>
    <row r="13" spans="1:16" ht="27" customHeight="1" thickTop="1" thickBot="1">
      <c r="A13" s="27" t="s">
        <v>39</v>
      </c>
      <c r="B13" s="36">
        <v>1050</v>
      </c>
      <c r="D13" s="30">
        <v>6</v>
      </c>
      <c r="E13" s="13">
        <f>IF($B$10&gt;2.99,$B$9*$B$8/2,0)</f>
        <v>41.25</v>
      </c>
      <c r="F13" s="13">
        <f>($E13)*(1/((1+$C$12)^6))</f>
        <v>32.366360452196695</v>
      </c>
      <c r="G13" s="13">
        <f>IF(AND($B$10&gt;2.5,$B$10&lt;3.1),$B$8,0)</f>
        <v>0</v>
      </c>
      <c r="H13" s="13">
        <f>($G13)*(1/((1+$C$12)^6))</f>
        <v>0</v>
      </c>
      <c r="I13" s="14">
        <f t="shared" si="0"/>
        <v>32.366360452196695</v>
      </c>
      <c r="J13" s="13">
        <f t="shared" si="1"/>
        <v>41.25</v>
      </c>
      <c r="K13" s="13">
        <f>IF($B$14&gt;2.99,$B$9*$B$8/2,0)</f>
        <v>41.25</v>
      </c>
      <c r="L13" s="13">
        <f>($K13)*(1/((1+$C$12)^6))</f>
        <v>32.366360452196695</v>
      </c>
      <c r="M13" s="13">
        <f>IF(AND($B$14&gt;2.5,$B$14&lt;3.1),$B$13,0)</f>
        <v>0</v>
      </c>
      <c r="N13" s="13">
        <f>($M13)*(1/((1+$C$12)^6))</f>
        <v>0</v>
      </c>
      <c r="O13" s="14">
        <f t="shared" si="2"/>
        <v>32.366360452196695</v>
      </c>
      <c r="P13" s="13">
        <f t="shared" si="3"/>
        <v>41.25</v>
      </c>
    </row>
    <row r="14" spans="1:16" ht="27" customHeight="1" thickTop="1" thickBot="1">
      <c r="A14" s="27" t="s">
        <v>40</v>
      </c>
      <c r="B14" s="45">
        <v>5</v>
      </c>
      <c r="D14" s="30">
        <v>7</v>
      </c>
      <c r="E14" s="13">
        <f>IF($B$10&gt;3.49,$B$9*$B$8/2,0)</f>
        <v>41.25</v>
      </c>
      <c r="F14" s="13">
        <f>($E14)*(1/((1+$C$12)^7))</f>
        <v>31.084139689984816</v>
      </c>
      <c r="G14" s="13">
        <f>IF(AND($B$10&gt;3,$B$10&lt;3.51),$B$8,0)</f>
        <v>0</v>
      </c>
      <c r="H14" s="13">
        <f>($G14)*(1/((1+$C$12)^7))</f>
        <v>0</v>
      </c>
      <c r="I14" s="14">
        <f t="shared" si="0"/>
        <v>31.084139689984816</v>
      </c>
      <c r="J14" s="13">
        <f t="shared" si="1"/>
        <v>41.25</v>
      </c>
      <c r="K14" s="13">
        <f>IF($B$14&gt;3.49,$B$9*$B$8/2,0)</f>
        <v>41.25</v>
      </c>
      <c r="L14" s="13">
        <f>($E14)*(1/((1+$C$12)^7))</f>
        <v>31.084139689984816</v>
      </c>
      <c r="M14" s="13">
        <f>IF(AND($B$14&gt;3,$B$14&lt;3.51),$B$13,0)</f>
        <v>0</v>
      </c>
      <c r="N14" s="13">
        <f>($M14)*(1/((1+$C$12)^7))</f>
        <v>0</v>
      </c>
      <c r="O14" s="14">
        <f t="shared" si="2"/>
        <v>31.084139689984816</v>
      </c>
      <c r="P14" s="13">
        <f t="shared" si="3"/>
        <v>41.25</v>
      </c>
    </row>
    <row r="15" spans="1:16" ht="13.5" thickTop="1">
      <c r="A15" s="24"/>
      <c r="D15" s="30">
        <v>8</v>
      </c>
      <c r="E15" s="13">
        <f>IF($B$10&gt;3.99,$B$9*$B$8/2,0)</f>
        <v>41.25</v>
      </c>
      <c r="F15" s="13">
        <f>($E15)*(1/((1+$C$12)^8))</f>
        <v>29.85271518846081</v>
      </c>
      <c r="G15" s="13">
        <f>IF(AND($B$10&gt;3.5,$B$10&lt;4.1),$B$8,0)</f>
        <v>0</v>
      </c>
      <c r="H15" s="13">
        <f>($G15)*(1/((1+$C$12)^8))</f>
        <v>0</v>
      </c>
      <c r="I15" s="14">
        <f t="shared" si="0"/>
        <v>29.85271518846081</v>
      </c>
      <c r="J15" s="13">
        <f t="shared" si="1"/>
        <v>41.25</v>
      </c>
      <c r="K15" s="13">
        <f>IF($B$14&gt;3.99,$B$9*$B$8/2,0)</f>
        <v>41.25</v>
      </c>
      <c r="L15" s="13">
        <f>($K15)*(1/((1+$C$12)^8))</f>
        <v>29.85271518846081</v>
      </c>
      <c r="M15" s="13">
        <f>IF(AND($B$14&gt;3.5,$B$14&lt;4.1),$B$13,0)</f>
        <v>0</v>
      </c>
      <c r="N15" s="13">
        <f>($M15)*(1/((1+$C$12)^8))</f>
        <v>0</v>
      </c>
      <c r="O15" s="14">
        <f t="shared" si="2"/>
        <v>29.85271518846081</v>
      </c>
      <c r="P15" s="13">
        <f t="shared" si="3"/>
        <v>41.25</v>
      </c>
    </row>
    <row r="16" spans="1:16" ht="13.5" thickBot="1">
      <c r="A16" s="24"/>
      <c r="D16" s="30">
        <v>9</v>
      </c>
      <c r="E16" s="13">
        <f>IF($B$10&gt;4.49,$B$9*$B$8/2,0)</f>
        <v>41.25</v>
      </c>
      <c r="F16" s="13">
        <f>($E16)*(1/((1+$C$12)^9))</f>
        <v>28.670074610766683</v>
      </c>
      <c r="G16" s="13">
        <f>IF(AND($B$10&gt;4, $B$10&lt;4.51),$B$8,0)</f>
        <v>0</v>
      </c>
      <c r="H16" s="13">
        <f>($G16)*(1/((1+$C$12)^9))</f>
        <v>0</v>
      </c>
      <c r="I16" s="14">
        <f t="shared" si="0"/>
        <v>28.670074610766683</v>
      </c>
      <c r="J16" s="13">
        <f t="shared" si="1"/>
        <v>41.25</v>
      </c>
      <c r="K16" s="13">
        <f>IF($B$14&gt;4.49,$B$9*$B$8/2,0)</f>
        <v>41.25</v>
      </c>
      <c r="L16" s="13">
        <f>($K16)*(1/((1+$C$12)^9))</f>
        <v>28.670074610766683</v>
      </c>
      <c r="M16" s="13">
        <f>IF(AND($B$14&gt;4, $B$14&lt;4.51),$B$13,0)</f>
        <v>0</v>
      </c>
      <c r="N16" s="13">
        <f>($M16)*(1/((1+$C$12)^9))</f>
        <v>0</v>
      </c>
      <c r="O16" s="14">
        <f t="shared" si="2"/>
        <v>28.670074610766683</v>
      </c>
      <c r="P16" s="13">
        <f t="shared" si="3"/>
        <v>41.25</v>
      </c>
    </row>
    <row r="17" spans="1:16" ht="19.5" thickTop="1" thickBot="1">
      <c r="A17" s="25" t="s">
        <v>17</v>
      </c>
      <c r="B17" s="37"/>
      <c r="D17" s="30">
        <v>10</v>
      </c>
      <c r="E17" s="13">
        <f>IF($B$10&gt;4.99,$B$9*$B$8/2,0)</f>
        <v>41.25</v>
      </c>
      <c r="F17" s="13">
        <f>($E17)*(1/((1+$C$12)^10))</f>
        <v>27.534285340472202</v>
      </c>
      <c r="G17" s="13">
        <f>IF(AND($B$10&gt;4.5,$B$10&lt;5.1),$B$8,0)</f>
        <v>0</v>
      </c>
      <c r="H17" s="13">
        <f>($G17)*(1/((1+$C$12)^10))</f>
        <v>0</v>
      </c>
      <c r="I17" s="14">
        <f t="shared" si="0"/>
        <v>27.534285340472202</v>
      </c>
      <c r="J17" s="13">
        <f t="shared" si="1"/>
        <v>41.25</v>
      </c>
      <c r="K17" s="13">
        <f>IF($B$14&gt;4.99,$B$9*$B$8/2,0)</f>
        <v>41.25</v>
      </c>
      <c r="L17" s="13">
        <f>($K17)*(1/((1+$C$12)^10))</f>
        <v>27.534285340472202</v>
      </c>
      <c r="M17" s="13">
        <f>IF(AND($B$14&gt;4.5,$B$14&lt;5.1),$B$13,0)</f>
        <v>1050</v>
      </c>
      <c r="N17" s="13">
        <f>($M17)*(1/((1+$C$12)^10))</f>
        <v>700.87271775747422</v>
      </c>
      <c r="O17" s="14">
        <f t="shared" si="2"/>
        <v>728.40700309794647</v>
      </c>
      <c r="P17" s="13">
        <f t="shared" si="3"/>
        <v>1091.25</v>
      </c>
    </row>
    <row r="18" spans="1:16" ht="14.25" thickTop="1" thickBot="1">
      <c r="A18" s="46" t="s">
        <v>33</v>
      </c>
      <c r="B18" s="38">
        <f>$P$59</f>
        <v>0.12713187549524121</v>
      </c>
      <c r="D18" s="30">
        <v>11</v>
      </c>
      <c r="E18" s="13">
        <f>IF($B$10&gt;5.49,$B$9*$B$8/2,0)</f>
        <v>41.25</v>
      </c>
      <c r="F18" s="13">
        <f>($E18)*(1/((1+$C$12)^11))</f>
        <v>26.44349132338267</v>
      </c>
      <c r="G18" s="13">
        <f>IF(AND($B$10&gt;5, $B$10&lt;5.51),$B$8,0)</f>
        <v>0</v>
      </c>
      <c r="H18" s="13">
        <f>($G18)*(1/((1+$C$12)^11))</f>
        <v>0</v>
      </c>
      <c r="I18" s="14">
        <f t="shared" si="0"/>
        <v>26.44349132338267</v>
      </c>
      <c r="J18" s="13">
        <f t="shared" si="1"/>
        <v>41.25</v>
      </c>
      <c r="K18" s="13">
        <f>IF($B$14&gt;5.49,$B$9*$B$8/2,0)</f>
        <v>0</v>
      </c>
      <c r="L18" s="13">
        <f>($K18)*(1/((1+$C$12)^11))</f>
        <v>0</v>
      </c>
      <c r="M18" s="13">
        <f>IF(AND($B$14&gt;5, $B$14&lt;5.51),$B$13,0)</f>
        <v>0</v>
      </c>
      <c r="N18" s="13">
        <f>($M18)*(1/((1+$C$12)^11))</f>
        <v>0</v>
      </c>
      <c r="O18" s="14">
        <f t="shared" si="2"/>
        <v>0</v>
      </c>
      <c r="P18" s="13">
        <f t="shared" si="3"/>
        <v>0</v>
      </c>
    </row>
    <row r="19" spans="1:16" ht="14.25" thickTop="1" thickBot="1">
      <c r="A19" s="47" t="s">
        <v>41</v>
      </c>
      <c r="B19" s="38">
        <f>$B$9*$B$8/$B$12</f>
        <v>9.5321725265456556E-2</v>
      </c>
      <c r="D19" s="30">
        <v>12</v>
      </c>
      <c r="E19" s="13">
        <f>IF($B$10&gt;5.99,$B$9*$B$8/2,0)</f>
        <v>41.25</v>
      </c>
      <c r="F19" s="13">
        <f>($E19)*(1/((1+$C$12)^12))</f>
        <v>25.395910034461146</v>
      </c>
      <c r="G19" s="13">
        <f>IF(AND($B$10&gt;5.5, $B$10&lt;6.1),$B$8,0)</f>
        <v>0</v>
      </c>
      <c r="H19" s="13">
        <f>($G19)*(1/((1+$C$12)^12))</f>
        <v>0</v>
      </c>
      <c r="I19" s="14">
        <f t="shared" si="0"/>
        <v>25.395910034461146</v>
      </c>
      <c r="J19" s="13">
        <f t="shared" si="1"/>
        <v>41.25</v>
      </c>
      <c r="K19" s="13">
        <f>IF($B$14&gt;5.99,$B$9*$B$8/2,0)</f>
        <v>0</v>
      </c>
      <c r="L19" s="13">
        <f>($K19)*(1/((1+$C$12)^12))</f>
        <v>0</v>
      </c>
      <c r="M19" s="13">
        <f>IF(AND($B$14&gt;5.5, $B$14&lt;6.1),$B$13,0)</f>
        <v>0</v>
      </c>
      <c r="N19" s="13">
        <f>($M19)*(1/((1+$C$12)^12))</f>
        <v>0</v>
      </c>
      <c r="O19" s="14">
        <f t="shared" si="2"/>
        <v>0</v>
      </c>
      <c r="P19" s="13">
        <f t="shared" si="3"/>
        <v>0</v>
      </c>
    </row>
    <row r="20" spans="1:16" ht="14.25" thickTop="1" thickBot="1">
      <c r="A20" s="48" t="s">
        <v>42</v>
      </c>
      <c r="B20" s="40">
        <f>$B$18-$B$19</f>
        <v>3.1810150229784659E-2</v>
      </c>
      <c r="D20" s="30">
        <v>13</v>
      </c>
      <c r="E20" s="13">
        <f>IF($B$10&gt;6.49,$B$9*$B$8/2,0)</f>
        <v>41.25</v>
      </c>
      <c r="F20" s="13">
        <f>($E20)*(1/((1+$C$12)^13))</f>
        <v>24.389829564908659</v>
      </c>
      <c r="G20" s="13">
        <f>IF(AND($B$10&gt;6,$B$10&lt;6.51),$B$8,0)</f>
        <v>0</v>
      </c>
      <c r="H20" s="13">
        <f>($G20)*(1/((1+$C$12)^13))</f>
        <v>0</v>
      </c>
      <c r="I20" s="14">
        <f t="shared" si="0"/>
        <v>24.389829564908659</v>
      </c>
      <c r="J20" s="13">
        <f t="shared" si="1"/>
        <v>41.25</v>
      </c>
      <c r="K20" s="13">
        <f>IF($B$14&gt;6.49,$B$9*$B$8/2,0)</f>
        <v>0</v>
      </c>
      <c r="L20" s="13">
        <f>($K20)*(1/((1+$C$12)^13))</f>
        <v>0</v>
      </c>
      <c r="M20" s="13">
        <f>IF(AND($B$14&gt;6,$B$14&lt;6.51),$B$13,0)</f>
        <v>0</v>
      </c>
      <c r="N20" s="13">
        <f>($M20)*(1/((1+$C$12)^13))</f>
        <v>0</v>
      </c>
      <c r="O20" s="14">
        <f t="shared" si="2"/>
        <v>0</v>
      </c>
      <c r="P20" s="13">
        <f t="shared" si="3"/>
        <v>0</v>
      </c>
    </row>
    <row r="21" spans="1:16" ht="14.25" thickTop="1" thickBot="1">
      <c r="A21" s="49" t="s">
        <v>22</v>
      </c>
      <c r="B21" s="40">
        <f>$J$59</f>
        <v>0.10000015225139579</v>
      </c>
      <c r="D21" s="30">
        <v>14</v>
      </c>
      <c r="E21" s="13">
        <f>IF($B$10&gt;6.99,$B$9*$B$8/2,0)</f>
        <v>41.25</v>
      </c>
      <c r="F21" s="13">
        <f>($E21)*(1/((1+$C$12)^14))</f>
        <v>23.42360582464217</v>
      </c>
      <c r="G21" s="13">
        <f>IF(AND($B$10&gt;6.5, $B$10&lt;7.1),$B$8,0)</f>
        <v>0</v>
      </c>
      <c r="H21" s="13">
        <f>($G21)*(1/((1+$C$12)^14))</f>
        <v>0</v>
      </c>
      <c r="I21" s="14">
        <f t="shared" si="0"/>
        <v>23.42360582464217</v>
      </c>
      <c r="J21" s="13">
        <f t="shared" si="1"/>
        <v>41.25</v>
      </c>
      <c r="K21" s="13">
        <f>IF($B$14&gt;6.99,$B$9*$B$8/2,0)</f>
        <v>0</v>
      </c>
      <c r="L21" s="13">
        <f>($K21)*(1/((1+$C$12)^14))</f>
        <v>0</v>
      </c>
      <c r="M21" s="13">
        <f>IF(AND($B$14&gt;6.5, $B$14&lt;7.1),$B$13,0)</f>
        <v>0</v>
      </c>
      <c r="N21" s="13">
        <f>($M21)*(1/((1+$C$12)^14))</f>
        <v>0</v>
      </c>
      <c r="O21" s="14">
        <f t="shared" si="2"/>
        <v>0</v>
      </c>
      <c r="P21" s="13">
        <f t="shared" si="3"/>
        <v>0</v>
      </c>
    </row>
    <row r="22" spans="1:16" ht="14.25" thickTop="1" thickBot="1">
      <c r="A22" s="47" t="s">
        <v>41</v>
      </c>
      <c r="B22" s="38">
        <f>$B$9*$B$8/$B$12</f>
        <v>9.5321725265456556E-2</v>
      </c>
      <c r="D22" s="30">
        <v>15</v>
      </c>
      <c r="E22" s="13">
        <f>IF($B$10&gt;7.49,$B$9*$B$8/2,0)</f>
        <v>41.25</v>
      </c>
      <c r="F22" s="13">
        <f>($E22)*(1/((1+$C$12)^15))</f>
        <v>22.495659855598724</v>
      </c>
      <c r="G22" s="13">
        <f>IF(AND($B$10&gt;7, $B$10&lt;7.51),$B$8,0)</f>
        <v>0</v>
      </c>
      <c r="H22" s="13">
        <f>($G22)*(1/((1+$C$12)^15))</f>
        <v>0</v>
      </c>
      <c r="I22" s="14">
        <f t="shared" si="0"/>
        <v>22.495659855598724</v>
      </c>
      <c r="J22" s="13">
        <f t="shared" si="1"/>
        <v>41.25</v>
      </c>
      <c r="K22" s="13">
        <f>IF($B$14&gt;7.49,$B$9*$B$8/2,0)</f>
        <v>0</v>
      </c>
      <c r="L22" s="13">
        <f>($E22)*(1/((1+$C$12)^15))</f>
        <v>22.495659855598724</v>
      </c>
      <c r="M22" s="13">
        <f>IF(AND($B$14&gt;7, $B$14&lt;7.51),$B$13,0)</f>
        <v>0</v>
      </c>
      <c r="N22" s="13">
        <f>($M22)*(1/((1+$C$12)^15))</f>
        <v>0</v>
      </c>
      <c r="O22" s="14">
        <f t="shared" si="2"/>
        <v>22.495659855598724</v>
      </c>
      <c r="P22" s="13">
        <f t="shared" si="3"/>
        <v>0</v>
      </c>
    </row>
    <row r="23" spans="1:16" ht="14.25" thickTop="1" thickBot="1">
      <c r="A23" s="48" t="s">
        <v>42</v>
      </c>
      <c r="B23" s="40">
        <f>$B$21-$B$22</f>
        <v>4.6784269859392325E-3</v>
      </c>
      <c r="D23" s="30">
        <v>16</v>
      </c>
      <c r="E23" s="13">
        <f>IF($B$10&gt;7.99,$B$9*$B$8/2,0)</f>
        <v>41.25</v>
      </c>
      <c r="F23" s="13">
        <f>($E23)*(1/((1+$C$12)^16))</f>
        <v>21.60447525147536</v>
      </c>
      <c r="G23" s="13">
        <f>IF(AND($B$10&gt;7.5,$B$10&lt;8.1),$B$8,0)</f>
        <v>0</v>
      </c>
      <c r="H23" s="13">
        <f>($G23)*(1/((1+$C$12)^16))</f>
        <v>0</v>
      </c>
      <c r="I23" s="14">
        <f t="shared" si="0"/>
        <v>21.60447525147536</v>
      </c>
      <c r="J23" s="13">
        <f t="shared" si="1"/>
        <v>41.25</v>
      </c>
      <c r="K23" s="13">
        <f>IF($B$14&gt;7.99,$B$9*$B$8/2,0)</f>
        <v>0</v>
      </c>
      <c r="L23" s="13">
        <f>($K23)*(1/((1+$C$12)^16))</f>
        <v>0</v>
      </c>
      <c r="M23" s="13">
        <f>IF(AND($B$14&gt;7.5,$B$14&lt;8.1),$B$13,0)</f>
        <v>0</v>
      </c>
      <c r="N23" s="13">
        <f>($M23)*(1/((1+$C$12)^16))</f>
        <v>0</v>
      </c>
      <c r="O23" s="14">
        <f t="shared" si="2"/>
        <v>0</v>
      </c>
      <c r="P23" s="13">
        <f t="shared" si="3"/>
        <v>0</v>
      </c>
    </row>
    <row r="24" spans="1:16" ht="14.25" thickTop="1" thickBot="1">
      <c r="D24" s="30">
        <v>17</v>
      </c>
      <c r="E24" s="13">
        <f>IF($B$10&gt;8.49,$B$9*$B$8/2,0)</f>
        <v>41.25</v>
      </c>
      <c r="F24" s="13">
        <f>($E24)*(1/((1+$C$12)^17))</f>
        <v>20.748595679688222</v>
      </c>
      <c r="G24" s="13">
        <f>IF(AND($B$10&gt;8, $B$10&lt;8.51),$B$8,0)</f>
        <v>0</v>
      </c>
      <c r="H24" s="13">
        <f>($G24)*(1/((1+$C$12)^17))</f>
        <v>0</v>
      </c>
      <c r="I24" s="14">
        <f t="shared" si="0"/>
        <v>20.748595679688222</v>
      </c>
      <c r="J24" s="13">
        <f t="shared" si="1"/>
        <v>41.25</v>
      </c>
      <c r="K24" s="13">
        <f>IF($B$14&gt;8.49,$B$9*$B$8/2,0)</f>
        <v>0</v>
      </c>
      <c r="L24" s="13">
        <f>($K24)*(1/((1+$C$12)^17))</f>
        <v>0</v>
      </c>
      <c r="M24" s="13">
        <f>IF(AND($B$14&gt;8, $B$14&lt;8.51),$B$13,0)</f>
        <v>0</v>
      </c>
      <c r="N24" s="13">
        <f>($M24)*(1/((1+$C$12)^17))</f>
        <v>0</v>
      </c>
      <c r="O24" s="14">
        <f t="shared" si="2"/>
        <v>0</v>
      </c>
      <c r="P24" s="13">
        <f t="shared" si="3"/>
        <v>0</v>
      </c>
    </row>
    <row r="25" spans="1:16" ht="27" customHeight="1" thickTop="1" thickBot="1">
      <c r="A25" s="27" t="s">
        <v>32</v>
      </c>
      <c r="B25" s="41">
        <f>EFFECT($B$18/2,$B$10)*2</f>
        <v>0.13097327078776777</v>
      </c>
      <c r="D25" s="30">
        <v>18</v>
      </c>
      <c r="E25" s="13">
        <f>IF($B$10&gt;8.99,$B$9*$B$8/2,0)</f>
        <v>41.25</v>
      </c>
      <c r="F25" s="13">
        <f>($E25)*(1/((1+$C$12)^18))</f>
        <v>19.926622501501296</v>
      </c>
      <c r="G25" s="13">
        <f>IF(AND($B$10&gt;8.5,$B$10&lt;9.1),$B$8,0)</f>
        <v>0</v>
      </c>
      <c r="H25" s="13">
        <f>($G25)*(1/((1+$C$12)^18))</f>
        <v>0</v>
      </c>
      <c r="I25" s="14">
        <f t="shared" si="0"/>
        <v>19.926622501501296</v>
      </c>
      <c r="J25" s="13">
        <f t="shared" si="1"/>
        <v>41.25</v>
      </c>
      <c r="K25" s="13">
        <f>IF($B$14&gt;8.99,$B$9*$B$8/2,0)</f>
        <v>0</v>
      </c>
      <c r="L25" s="13">
        <f>($K25)*(1/((1+$C$12)^18))</f>
        <v>0</v>
      </c>
      <c r="M25" s="13">
        <f>IF(AND($B$14&gt;8.5,$B$14&lt;9.1),$B$13,0)</f>
        <v>0</v>
      </c>
      <c r="N25" s="13">
        <f>($M25)*(1/((1+$C$12)^18))</f>
        <v>0</v>
      </c>
      <c r="O25" s="14">
        <f t="shared" si="2"/>
        <v>0</v>
      </c>
      <c r="P25" s="13">
        <f t="shared" si="3"/>
        <v>0</v>
      </c>
    </row>
    <row r="26" spans="1:16" ht="13.5" thickTop="1">
      <c r="D26" s="30">
        <v>19</v>
      </c>
      <c r="E26" s="13">
        <f>IF($B$10&gt;9.49,$B$9*$B$8/2,0)</f>
        <v>41.25</v>
      </c>
      <c r="F26" s="13">
        <f>($E26)*(1/((1+$C$12)^19))</f>
        <v>19.137212486435821</v>
      </c>
      <c r="G26" s="13">
        <f>IF(AND($B$10&gt;9,$B$10&lt;9.51),$B$8,0)</f>
        <v>0</v>
      </c>
      <c r="H26" s="13">
        <f>($G26)*(1/((1+$C$12)^19))</f>
        <v>0</v>
      </c>
      <c r="I26" s="14">
        <f t="shared" si="0"/>
        <v>19.137212486435821</v>
      </c>
      <c r="J26" s="13">
        <f t="shared" si="1"/>
        <v>41.25</v>
      </c>
      <c r="K26" s="13">
        <f>IF($B$14&gt;9.49,$B$9*$B$8/2,0)</f>
        <v>0</v>
      </c>
      <c r="L26" s="13">
        <f>($K26)*(1/((1+$C$12)^19))</f>
        <v>0</v>
      </c>
      <c r="M26" s="13">
        <f>IF(AND($B$14&gt;9,$B$14&lt;9.51),$B$13,0)</f>
        <v>0</v>
      </c>
      <c r="N26" s="13">
        <f>($M26)*(1/((1+$C$12)^19))</f>
        <v>0</v>
      </c>
      <c r="O26" s="14">
        <f t="shared" si="2"/>
        <v>0</v>
      </c>
      <c r="P26" s="13">
        <f t="shared" si="3"/>
        <v>0</v>
      </c>
    </row>
    <row r="27" spans="1:16">
      <c r="D27" s="30">
        <v>20</v>
      </c>
      <c r="E27" s="13">
        <f>IF($B$10&gt;9.99,$B$9*$B$8/2,0)</f>
        <v>41.25</v>
      </c>
      <c r="F27" s="13">
        <f>($E27)*(1/((1+$C$12)^20))</f>
        <v>18.379075617225272</v>
      </c>
      <c r="G27" s="13">
        <f>IF(AND($B$10&gt;9.5,$B$10&lt;10.1),$B$8,0)</f>
        <v>0</v>
      </c>
      <c r="H27" s="13">
        <f>($G27)*(1/((1+$C$12)^20))</f>
        <v>0</v>
      </c>
      <c r="I27" s="14">
        <f t="shared" si="0"/>
        <v>18.379075617225272</v>
      </c>
      <c r="J27" s="13">
        <f t="shared" si="1"/>
        <v>41.25</v>
      </c>
      <c r="K27" s="13">
        <f>IF($B$14&gt;9.99,$B$9*$B$8/2,0)</f>
        <v>0</v>
      </c>
      <c r="L27" s="13">
        <f>($K27)*(1/((1+$C$12)^20))</f>
        <v>0</v>
      </c>
      <c r="M27" s="13">
        <f>IF(AND($B$14&gt;9.5,$B$14&lt;10.1),$B$13,0)</f>
        <v>0</v>
      </c>
      <c r="N27" s="13">
        <f>($M27)*(1/((1+$C$12)^20))</f>
        <v>0</v>
      </c>
      <c r="O27" s="14">
        <f t="shared" si="2"/>
        <v>0</v>
      </c>
      <c r="P27" s="13">
        <f t="shared" si="3"/>
        <v>0</v>
      </c>
    </row>
    <row r="28" spans="1:16">
      <c r="D28" s="30">
        <v>21</v>
      </c>
      <c r="E28" s="13">
        <f>IF($B$10&gt;10.49,$B$9*$B$8/2,0)</f>
        <v>41.25</v>
      </c>
      <c r="F28" s="13">
        <f>($E28)*(1/((1+$C$12)^21))</f>
        <v>17.650972981728952</v>
      </c>
      <c r="G28" s="13">
        <f>IF(AND($B$10&gt;10,$B$10&lt;10.51),$B$8,0)</f>
        <v>0</v>
      </c>
      <c r="H28" s="13">
        <f>($G28)*(1/((1+$C$12)^21))</f>
        <v>0</v>
      </c>
      <c r="I28" s="14">
        <f t="shared" si="0"/>
        <v>17.650972981728952</v>
      </c>
      <c r="J28" s="13">
        <f t="shared" si="1"/>
        <v>41.25</v>
      </c>
      <c r="K28" s="13">
        <f>IF($B$14&gt;10.49,$B$9*$B$8/2,0)</f>
        <v>0</v>
      </c>
      <c r="L28" s="13">
        <f>($K28)*(1/((1+$C$12)^21))</f>
        <v>0</v>
      </c>
      <c r="M28" s="13">
        <f>IF(AND($B$14&gt;10,$B$14&lt;10.51),$B$13,0)</f>
        <v>0</v>
      </c>
      <c r="N28" s="13">
        <f>($M28)*(1/((1+$C$12)^21))</f>
        <v>0</v>
      </c>
      <c r="O28" s="14">
        <f t="shared" si="2"/>
        <v>0</v>
      </c>
      <c r="P28" s="13">
        <f t="shared" si="3"/>
        <v>0</v>
      </c>
    </row>
    <row r="29" spans="1:16">
      <c r="D29" s="30">
        <v>22</v>
      </c>
      <c r="E29" s="13">
        <f>IF($B$10&gt;10.99,$B$9*$B$8/2,0)</f>
        <v>41.25</v>
      </c>
      <c r="F29" s="13">
        <f>($E29)*(1/((1+$C$12)^22))</f>
        <v>16.951714748359137</v>
      </c>
      <c r="G29" s="13">
        <f>IF(AND($B$10&gt;10.5, $B$10&lt;11.1),$B$8,0)</f>
        <v>0</v>
      </c>
      <c r="H29" s="13">
        <f>($G29)*(1/((1+$C$12)^22))</f>
        <v>0</v>
      </c>
      <c r="I29" s="14">
        <f t="shared" si="0"/>
        <v>16.951714748359137</v>
      </c>
      <c r="J29" s="13">
        <f t="shared" si="1"/>
        <v>41.25</v>
      </c>
      <c r="K29" s="13">
        <f>IF($B$14&gt;10.99,$B$9*$B$8/2,0)</f>
        <v>0</v>
      </c>
      <c r="L29" s="13">
        <f>($K29)*(1/((1+$C$12)^22))</f>
        <v>0</v>
      </c>
      <c r="M29" s="13">
        <f>IF(AND($B$14&gt;10.5, $B$14&lt;11.1),$B$13,0)</f>
        <v>0</v>
      </c>
      <c r="N29" s="13">
        <f>($M29)*(1/((1+$C$12)^22))</f>
        <v>0</v>
      </c>
      <c r="O29" s="14">
        <f t="shared" si="2"/>
        <v>0</v>
      </c>
      <c r="P29" s="13">
        <f t="shared" si="3"/>
        <v>0</v>
      </c>
    </row>
    <row r="30" spans="1:16">
      <c r="D30" s="30">
        <v>23</v>
      </c>
      <c r="E30" s="13">
        <f>IF($B$10&gt;11.49,$B$9*$B$8/2,0)</f>
        <v>41.25</v>
      </c>
      <c r="F30" s="13">
        <f>($E30)*(1/((1+$C$12)^23))</f>
        <v>16.280158221713457</v>
      </c>
      <c r="G30" s="13">
        <f>IF(AND($B$10&gt;11,$B$10&lt;11.51),$B$8,0)</f>
        <v>0</v>
      </c>
      <c r="H30" s="13">
        <f>($G30)*(1/((1+$C$12)^23))</f>
        <v>0</v>
      </c>
      <c r="I30" s="14">
        <f t="shared" si="0"/>
        <v>16.280158221713457</v>
      </c>
      <c r="J30" s="13">
        <f t="shared" si="1"/>
        <v>41.25</v>
      </c>
      <c r="K30" s="13">
        <f>IF($B$14&gt;11.49,$B$9*$B$8/2,0)</f>
        <v>0</v>
      </c>
      <c r="L30" s="13">
        <f>($K30)*(1/((1+$C$12)^23))</f>
        <v>0</v>
      </c>
      <c r="M30" s="13">
        <f>IF(AND($B$14&gt;11,$B$14&lt;11.51),$B$13,0)</f>
        <v>0</v>
      </c>
      <c r="N30" s="13">
        <f>($M30)*(1/((1+$C$12)^23))</f>
        <v>0</v>
      </c>
      <c r="O30" s="14">
        <f t="shared" si="2"/>
        <v>0</v>
      </c>
      <c r="P30" s="13">
        <f t="shared" si="3"/>
        <v>0</v>
      </c>
    </row>
    <row r="31" spans="1:16">
      <c r="D31" s="30">
        <v>24</v>
      </c>
      <c r="E31" s="13">
        <f>IF($B$10&gt;11.99,$B$9*$B$8/2,0)</f>
        <v>41.25</v>
      </c>
      <c r="F31" s="13">
        <f>($E31)*(1/((1+$C$12)^24))</f>
        <v>15.635205975235012</v>
      </c>
      <c r="G31" s="13">
        <f>IF(AND($B$10&gt;11.5, $B$10&lt;12.1),$B$8,0)</f>
        <v>0</v>
      </c>
      <c r="H31" s="13">
        <f>($G31)*(1/((1+$C$12)^24))</f>
        <v>0</v>
      </c>
      <c r="I31" s="14">
        <f t="shared" si="0"/>
        <v>15.635205975235012</v>
      </c>
      <c r="J31" s="13">
        <f t="shared" si="1"/>
        <v>41.25</v>
      </c>
      <c r="K31" s="13">
        <f>IF($B$14&gt;11.99,$B$9*$B$8/2,0)</f>
        <v>0</v>
      </c>
      <c r="L31" s="13">
        <f>($K31)*(1/((1+$C$12)^24))</f>
        <v>0</v>
      </c>
      <c r="M31" s="13">
        <f>IF(AND($B$14&gt;11.5, $B$14&lt;12.1),$B$13,0)</f>
        <v>0</v>
      </c>
      <c r="N31" s="13">
        <f>($M31)*(1/((1+$C$12)^24))</f>
        <v>0</v>
      </c>
      <c r="O31" s="14">
        <f t="shared" si="2"/>
        <v>0</v>
      </c>
      <c r="P31" s="13">
        <f t="shared" si="3"/>
        <v>0</v>
      </c>
    </row>
    <row r="32" spans="1:16">
      <c r="D32" s="30">
        <v>25</v>
      </c>
      <c r="E32" s="13">
        <f>IF($B$10&gt;12.49,$B$9*$B$8/2,0)</f>
        <v>41.25</v>
      </c>
      <c r="F32" s="13">
        <f>($E32)*(1/((1+$C$12)^25))</f>
        <v>15.015804057848749</v>
      </c>
      <c r="G32" s="13">
        <f>IF(AND($B$10&gt;12,$B$10&lt;12.51),$B$8,0)</f>
        <v>0</v>
      </c>
      <c r="H32" s="13">
        <f>($G32)*(1/((1+$C$12)^25))</f>
        <v>0</v>
      </c>
      <c r="I32" s="14">
        <f t="shared" si="0"/>
        <v>15.015804057848749</v>
      </c>
      <c r="J32" s="13">
        <f t="shared" si="1"/>
        <v>41.25</v>
      </c>
      <c r="K32" s="13">
        <f>IF($B$14&gt;12.49,$B$9*$B$8/2,0)</f>
        <v>0</v>
      </c>
      <c r="L32" s="13">
        <f>($K32)*(1/((1+$C$12)^25))</f>
        <v>0</v>
      </c>
      <c r="M32" s="13">
        <f>IF(AND($B$14&gt;12,$B$14&lt;12.51),$B$13,0)</f>
        <v>0</v>
      </c>
      <c r="N32" s="13">
        <f>($M32)*(1/((1+$C$12)^25))</f>
        <v>0</v>
      </c>
      <c r="O32" s="14">
        <f t="shared" si="2"/>
        <v>0</v>
      </c>
      <c r="P32" s="13">
        <f t="shared" si="3"/>
        <v>0</v>
      </c>
    </row>
    <row r="33" spans="4:16">
      <c r="D33" s="30">
        <v>26</v>
      </c>
      <c r="E33" s="13">
        <f>IF($B$10&gt;12.99,$B$9*$B$8/2,0)</f>
        <v>41.25</v>
      </c>
      <c r="F33" s="13">
        <f>($E33)*(1/((1+$C$12)^26))</f>
        <v>14.420940271643458</v>
      </c>
      <c r="G33" s="13">
        <f>IF(AND($B$10&gt;12.5,$B$10&lt;13.1),$B$8,0)</f>
        <v>0</v>
      </c>
      <c r="H33" s="13">
        <f>($G33)*(1/((1+$C$12)^26))</f>
        <v>0</v>
      </c>
      <c r="I33" s="14">
        <f t="shared" si="0"/>
        <v>14.420940271643458</v>
      </c>
      <c r="J33" s="13">
        <f t="shared" si="1"/>
        <v>41.25</v>
      </c>
      <c r="K33" s="13">
        <f>IF($B$14&gt;12.99,$B$9*$B$8/2,0)</f>
        <v>0</v>
      </c>
      <c r="L33" s="13">
        <f>($K33)*(1/((1+$C$12)^26))</f>
        <v>0</v>
      </c>
      <c r="M33" s="13">
        <f>IF(AND($B$14&gt;12.5,$B$14&lt;13.1),$B$13,0)</f>
        <v>0</v>
      </c>
      <c r="N33" s="13">
        <f>($M33)*(1/((1+$C$12)^26))</f>
        <v>0</v>
      </c>
      <c r="O33" s="14">
        <f t="shared" si="2"/>
        <v>0</v>
      </c>
      <c r="P33" s="13">
        <f t="shared" si="3"/>
        <v>0</v>
      </c>
    </row>
    <row r="34" spans="4:16">
      <c r="D34" s="30">
        <v>27</v>
      </c>
      <c r="E34" s="13">
        <f>IF($B$10&gt;13.49,$B$9*$B$8/2,0)</f>
        <v>41.25</v>
      </c>
      <c r="F34" s="13">
        <f>($E34)*(1/((1+$C$12)^27))</f>
        <v>13.849642517784835</v>
      </c>
      <c r="G34" s="13">
        <f>IF(AND($B$10&gt;13,$B$10&lt;13.51),$B$8,0)</f>
        <v>0</v>
      </c>
      <c r="H34" s="13">
        <f>($G34)*(1/((1+$C$12)^27))</f>
        <v>0</v>
      </c>
      <c r="I34" s="14">
        <f t="shared" si="0"/>
        <v>13.849642517784835</v>
      </c>
      <c r="J34" s="13">
        <f t="shared" si="1"/>
        <v>41.25</v>
      </c>
      <c r="K34" s="13">
        <f>IF($B$14&gt;13.49,$B$9*$B$8/2,0)</f>
        <v>0</v>
      </c>
      <c r="L34" s="13">
        <f>($K34)*(1/((1+$C$12)^27))</f>
        <v>0</v>
      </c>
      <c r="M34" s="13">
        <f>IF(AND($B$14&gt;13,$B$14&lt;13.51),$B$13,0)</f>
        <v>0</v>
      </c>
      <c r="N34" s="13">
        <f>($M34)*(1/((1+$C$12)^27))</f>
        <v>0</v>
      </c>
      <c r="O34" s="14">
        <f t="shared" si="2"/>
        <v>0</v>
      </c>
      <c r="P34" s="13">
        <f t="shared" si="3"/>
        <v>0</v>
      </c>
    </row>
    <row r="35" spans="4:16">
      <c r="D35" s="30">
        <v>28</v>
      </c>
      <c r="E35" s="13">
        <f>IF($B$10&gt;13.99,$B$9*$B$8/2,0)</f>
        <v>41.25</v>
      </c>
      <c r="F35" s="13">
        <f>($E35)*(1/((1+$C$12)^28))</f>
        <v>13.300977207956624</v>
      </c>
      <c r="G35" s="13">
        <f>IF(AND($B$10&gt;13.5,$B$10&lt;14.1),$B$8,0)</f>
        <v>0</v>
      </c>
      <c r="H35" s="13">
        <f>($G35)*(1/((1+$C$12)^28))</f>
        <v>0</v>
      </c>
      <c r="I35" s="14">
        <f t="shared" si="0"/>
        <v>13.300977207956624</v>
      </c>
      <c r="J35" s="13">
        <f t="shared" si="1"/>
        <v>41.25</v>
      </c>
      <c r="K35" s="13">
        <f>IF($B$14&gt;13.99,$B$9*$B$8/2,0)</f>
        <v>0</v>
      </c>
      <c r="L35" s="13">
        <f>($K35)*(1/((1+$C$12)^28))</f>
        <v>0</v>
      </c>
      <c r="M35" s="13">
        <f>IF(AND($B$14&gt;13.5,$B$14&lt;14.1),$B$13,0)</f>
        <v>0</v>
      </c>
      <c r="N35" s="13">
        <f>($M35)*(1/((1+$C$12)^28))</f>
        <v>0</v>
      </c>
      <c r="O35" s="14">
        <f t="shared" si="2"/>
        <v>0</v>
      </c>
      <c r="P35" s="13">
        <f t="shared" si="3"/>
        <v>0</v>
      </c>
    </row>
    <row r="36" spans="4:16">
      <c r="D36" s="30">
        <v>29</v>
      </c>
      <c r="E36" s="13">
        <f>IF($B$10&gt;14.49,$B$9*$B$8/2,0)</f>
        <v>41.25</v>
      </c>
      <c r="F36" s="13">
        <f>($E36)*(1/((1+$C$12)^29))</f>
        <v>12.774047738733849</v>
      </c>
      <c r="G36" s="13">
        <f>IF(AND($B$10&gt;14,$B$10&lt;14.51),$B$8,0)</f>
        <v>0</v>
      </c>
      <c r="H36" s="13">
        <f>($G36)*(1/((1+$C$12)^29))</f>
        <v>0</v>
      </c>
      <c r="I36" s="14">
        <f t="shared" si="0"/>
        <v>12.774047738733849</v>
      </c>
      <c r="J36" s="13">
        <f t="shared" si="1"/>
        <v>41.25</v>
      </c>
      <c r="K36" s="13">
        <f>IF($B$14&gt;14.49,$B$9*$B$8/2,0)</f>
        <v>0</v>
      </c>
      <c r="L36" s="13">
        <f>($K36)*(1/((1+$C$12)^29))</f>
        <v>0</v>
      </c>
      <c r="M36" s="13">
        <f>IF(AND($B$14&gt;14,$B$14&lt;14.51),$B$13,0)</f>
        <v>0</v>
      </c>
      <c r="N36" s="13">
        <f>($M36)*(1/((1+$C$12)^29))</f>
        <v>0</v>
      </c>
      <c r="O36" s="14">
        <f t="shared" si="2"/>
        <v>0</v>
      </c>
      <c r="P36" s="13">
        <f t="shared" si="3"/>
        <v>0</v>
      </c>
    </row>
    <row r="37" spans="4:16">
      <c r="D37" s="30">
        <v>30</v>
      </c>
      <c r="E37" s="13">
        <f>IF($B$10&gt;14.99,$B$9*$B$8/2,0)</f>
        <v>41.25</v>
      </c>
      <c r="F37" s="13">
        <f>($E37)*(1/((1+$C$12)^30))</f>
        <v>12.267993026395054</v>
      </c>
      <c r="G37" s="13">
        <f>IF(AND($B$10&gt;14.5,$B$10&lt;15.1),$B$8,0)</f>
        <v>1000</v>
      </c>
      <c r="H37" s="13">
        <f>($G37)*(1/((1+$C$12)^30))</f>
        <v>297.405891548971</v>
      </c>
      <c r="I37" s="14">
        <f t="shared" si="0"/>
        <v>309.67388457536606</v>
      </c>
      <c r="J37" s="13">
        <f t="shared" si="1"/>
        <v>1041.25</v>
      </c>
      <c r="K37" s="13">
        <f>IF($B$14&gt;14.99,$B$9*$B$8/2,0)</f>
        <v>0</v>
      </c>
      <c r="L37" s="13">
        <f>($K37)*(1/((1+$C$12)^30))</f>
        <v>0</v>
      </c>
      <c r="M37" s="13">
        <f>IF(AND($B$14&gt;14.5,$B$14&lt;15.1),$B$13,0)</f>
        <v>0</v>
      </c>
      <c r="N37" s="13">
        <f>($M37)*(1/((1+$C$12)^30))</f>
        <v>0</v>
      </c>
      <c r="O37" s="14">
        <f t="shared" si="2"/>
        <v>0</v>
      </c>
      <c r="P37" s="13">
        <f t="shared" si="3"/>
        <v>0</v>
      </c>
    </row>
    <row r="38" spans="4:16">
      <c r="D38" s="30">
        <v>31</v>
      </c>
      <c r="E38" s="13">
        <f>IF($B$10&gt;15.49,$B$9*$B$8/2,0)</f>
        <v>0</v>
      </c>
      <c r="F38" s="13">
        <f>($E38)*(1/((1+$C$12)^31))</f>
        <v>0</v>
      </c>
      <c r="G38" s="13">
        <f>IF(AND($B$10&gt;15, $B$10&lt;15.51),$B$8,0)</f>
        <v>0</v>
      </c>
      <c r="H38" s="13">
        <f>($G38)*(1/((1+$C$12)^31))</f>
        <v>0</v>
      </c>
      <c r="I38" s="14">
        <f t="shared" si="0"/>
        <v>0</v>
      </c>
      <c r="J38" s="13">
        <f t="shared" si="1"/>
        <v>0</v>
      </c>
      <c r="K38" s="13">
        <f>IF($B$14&gt;15.49,$B$9*$B$8/2,0)</f>
        <v>0</v>
      </c>
      <c r="L38" s="13">
        <f>($K38)*(1/((1+$C$12)^31))</f>
        <v>0</v>
      </c>
      <c r="M38" s="13">
        <f>IF(AND($B$14&gt;15, $B$14&lt;15.51),$B$13,0)</f>
        <v>0</v>
      </c>
      <c r="N38" s="13">
        <f>($M38)*(1/((1+$C$12)^31))</f>
        <v>0</v>
      </c>
      <c r="O38" s="14">
        <f t="shared" si="2"/>
        <v>0</v>
      </c>
      <c r="P38" s="13">
        <f t="shared" si="3"/>
        <v>0</v>
      </c>
    </row>
    <row r="39" spans="4:16">
      <c r="D39" s="30">
        <v>32</v>
      </c>
      <c r="E39" s="13">
        <f>IF($B$10&gt;15.99,$B$9*$B$8/2,0)</f>
        <v>0</v>
      </c>
      <c r="F39" s="13">
        <f>($E39)*(1/((1+$C$12)^32))</f>
        <v>0</v>
      </c>
      <c r="G39" s="13">
        <f>IF(AND($B$10&gt;15.5,$B$10&lt;16.1),$B$8,0)</f>
        <v>0</v>
      </c>
      <c r="H39" s="13">
        <f>($G39)*(1/((1+$C$12)^32))</f>
        <v>0</v>
      </c>
      <c r="I39" s="14">
        <f t="shared" si="0"/>
        <v>0</v>
      </c>
      <c r="J39" s="13">
        <f t="shared" si="1"/>
        <v>0</v>
      </c>
      <c r="K39" s="13">
        <f>IF($B$14&gt;15.99,$B$9*$B$8/2,0)</f>
        <v>0</v>
      </c>
      <c r="L39" s="13">
        <f>($K39)*(1/((1+$C$12)^32))</f>
        <v>0</v>
      </c>
      <c r="M39" s="13">
        <f>IF(AND($B$14&gt;15.5,$B$14&lt;16.1),$B$13,0)</f>
        <v>0</v>
      </c>
      <c r="N39" s="13">
        <f>($M39)*(1/((1+$C$12)^32))</f>
        <v>0</v>
      </c>
      <c r="O39" s="14">
        <f t="shared" si="2"/>
        <v>0</v>
      </c>
      <c r="P39" s="13">
        <f t="shared" si="3"/>
        <v>0</v>
      </c>
    </row>
    <row r="40" spans="4:16">
      <c r="D40" s="30">
        <v>33</v>
      </c>
      <c r="E40" s="13">
        <f>IF($B$10&gt;16.49,$B$9*$B$8/2,0)</f>
        <v>0</v>
      </c>
      <c r="F40" s="13">
        <f>($E40)*(1/((1+$C$12)^33))</f>
        <v>0</v>
      </c>
      <c r="G40" s="13">
        <f>IF(AND($B$10&gt;16,$B$10&lt;16.51),$B$8,0)</f>
        <v>0</v>
      </c>
      <c r="H40" s="13">
        <f>($G40)*(1/((1+$C$12)^33))</f>
        <v>0</v>
      </c>
      <c r="I40" s="14">
        <f t="shared" ref="I40:I57" si="4">$F40+$H40</f>
        <v>0</v>
      </c>
      <c r="J40" s="13">
        <f t="shared" ref="J40:J57" si="5">$E40+$G40</f>
        <v>0</v>
      </c>
      <c r="K40" s="13">
        <f>IF($B$14&gt;16.49,$B$9*$B$8/2,0)</f>
        <v>0</v>
      </c>
      <c r="L40" s="13">
        <f>($K40)*(1/((1+$C$12)^33))</f>
        <v>0</v>
      </c>
      <c r="M40" s="13">
        <f>IF(AND($B$14&gt;16,$B$14&lt;16.51),$B$13,0)</f>
        <v>0</v>
      </c>
      <c r="N40" s="13">
        <f>($M40)*(1/((1+$C$12)^33))</f>
        <v>0</v>
      </c>
      <c r="O40" s="14">
        <f t="shared" ref="O40:O57" si="6">$L40+$N40</f>
        <v>0</v>
      </c>
      <c r="P40" s="13">
        <f t="shared" ref="P40:P57" si="7">$K40+$M40</f>
        <v>0</v>
      </c>
    </row>
    <row r="41" spans="4:16">
      <c r="D41" s="30">
        <v>34</v>
      </c>
      <c r="E41" s="13">
        <f>IF($B$10&gt;16.99,$B$9*$B$8/2,0)</f>
        <v>0</v>
      </c>
      <c r="F41" s="13">
        <f>($E41)*(1/((1+$C$12)^34))</f>
        <v>0</v>
      </c>
      <c r="G41" s="13">
        <f>IF(AND($B$10&gt;16.5, $B$10&lt;17.1),$B$8,0)</f>
        <v>0</v>
      </c>
      <c r="H41" s="13">
        <f>($G41)*(1/((1+$C$12)^34))</f>
        <v>0</v>
      </c>
      <c r="I41" s="14">
        <f t="shared" si="4"/>
        <v>0</v>
      </c>
      <c r="J41" s="13">
        <f t="shared" si="5"/>
        <v>0</v>
      </c>
      <c r="K41" s="13">
        <f>IF($B$14&gt;16.99,$B$9*$B$8/2,0)</f>
        <v>0</v>
      </c>
      <c r="L41" s="13">
        <f>($K41)*(1/((1+$C$12)^34))</f>
        <v>0</v>
      </c>
      <c r="M41" s="13">
        <f>IF(AND($B$14&gt;16.5, $B$14&lt;17.1),$B$13,0)</f>
        <v>0</v>
      </c>
      <c r="N41" s="13">
        <f>($M41)*(1/((1+$C$12)^34))</f>
        <v>0</v>
      </c>
      <c r="O41" s="14">
        <f t="shared" si="6"/>
        <v>0</v>
      </c>
      <c r="P41" s="13">
        <f t="shared" si="7"/>
        <v>0</v>
      </c>
    </row>
    <row r="42" spans="4:16">
      <c r="D42" s="30">
        <v>35</v>
      </c>
      <c r="E42" s="13">
        <f>IF($B$10&gt;17.49,$B$9*$B$8/2,0)</f>
        <v>0</v>
      </c>
      <c r="F42" s="13">
        <f>($E42)*(1/((1+$C$12)^35))</f>
        <v>0</v>
      </c>
      <c r="G42" s="13">
        <f>IF(AND($B$10&gt;17,$B$10&lt;17.51),$B$8,0)</f>
        <v>0</v>
      </c>
      <c r="H42" s="13">
        <f>($G42)*(1/((1+$C$12)^35))</f>
        <v>0</v>
      </c>
      <c r="I42" s="14">
        <f t="shared" si="4"/>
        <v>0</v>
      </c>
      <c r="J42" s="13">
        <f t="shared" si="5"/>
        <v>0</v>
      </c>
      <c r="K42" s="13">
        <f>IF($B$14&gt;17.49,$B$9*$B$8/2,0)</f>
        <v>0</v>
      </c>
      <c r="L42" s="13">
        <f>($K42)*(1/((1+$C$12)^35))</f>
        <v>0</v>
      </c>
      <c r="M42" s="13">
        <f>IF(AND($B$14&gt;17,$B$14&lt;17.51),$B$13,0)</f>
        <v>0</v>
      </c>
      <c r="N42" s="13">
        <f>($M42)*(1/((1+$C$12)^35))</f>
        <v>0</v>
      </c>
      <c r="O42" s="14">
        <f t="shared" si="6"/>
        <v>0</v>
      </c>
      <c r="P42" s="13">
        <f t="shared" si="7"/>
        <v>0</v>
      </c>
    </row>
    <row r="43" spans="4:16">
      <c r="D43" s="30">
        <v>36</v>
      </c>
      <c r="E43" s="13">
        <f>IF($B$10&gt;17.99,$B$9*$B$8/2,0)</f>
        <v>0</v>
      </c>
      <c r="F43" s="13">
        <f>($E43)*(1/((1+$C$12)^36))</f>
        <v>0</v>
      </c>
      <c r="G43" s="13">
        <f>IF(AND($B$10&gt;17.5,$B$10&lt;18.1),$B$8,0)</f>
        <v>0</v>
      </c>
      <c r="H43" s="13">
        <f>($G43)*(1/((1+$C$12)^36))</f>
        <v>0</v>
      </c>
      <c r="I43" s="14">
        <f t="shared" si="4"/>
        <v>0</v>
      </c>
      <c r="J43" s="13">
        <f t="shared" si="5"/>
        <v>0</v>
      </c>
      <c r="K43" s="13">
        <f>IF($B$14&gt;17.99,$B$9*$B$8/2,0)</f>
        <v>0</v>
      </c>
      <c r="L43" s="13">
        <f>($K43)*(1/((1+$C$12)^36))</f>
        <v>0</v>
      </c>
      <c r="M43" s="13">
        <f>IF(AND($B$14&gt;17.5,$B$14&lt;18.1),$B$13,0)</f>
        <v>0</v>
      </c>
      <c r="N43" s="13">
        <f>($M43)*(1/((1+$C$12)^36))</f>
        <v>0</v>
      </c>
      <c r="O43" s="14">
        <f t="shared" si="6"/>
        <v>0</v>
      </c>
      <c r="P43" s="13">
        <f t="shared" si="7"/>
        <v>0</v>
      </c>
    </row>
    <row r="44" spans="4:16">
      <c r="D44" s="30">
        <v>37</v>
      </c>
      <c r="E44" s="13">
        <f>IF($B$10&gt;18.49,$B$9*$B$8/2,0)</f>
        <v>0</v>
      </c>
      <c r="F44" s="13">
        <f>($E44)*(1/((1+$C$12)^37))</f>
        <v>0</v>
      </c>
      <c r="G44" s="13">
        <f>IF(AND($B$10&gt;18,$B$10&lt;18.51),$B$8,0)</f>
        <v>0</v>
      </c>
      <c r="H44" s="13">
        <f>($G44)*(1/((1+$C$12)^37))</f>
        <v>0</v>
      </c>
      <c r="I44" s="14">
        <f t="shared" si="4"/>
        <v>0</v>
      </c>
      <c r="J44" s="13">
        <f t="shared" si="5"/>
        <v>0</v>
      </c>
      <c r="K44" s="13">
        <f>IF($B$14&gt;18.49,$B$9*$B$8/2,0)</f>
        <v>0</v>
      </c>
      <c r="L44" s="13">
        <f>($K44)*(1/((1+$C$12)^37))</f>
        <v>0</v>
      </c>
      <c r="M44" s="13">
        <f>IF(AND($B$14&gt;18,$B$14&lt;18.51),$B$13,0)</f>
        <v>0</v>
      </c>
      <c r="N44" s="13">
        <f>($M44)*(1/((1+$C$12)^37))</f>
        <v>0</v>
      </c>
      <c r="O44" s="14">
        <f t="shared" si="6"/>
        <v>0</v>
      </c>
      <c r="P44" s="13">
        <f t="shared" si="7"/>
        <v>0</v>
      </c>
    </row>
    <row r="45" spans="4:16">
      <c r="D45" s="30">
        <v>38</v>
      </c>
      <c r="E45" s="13">
        <f>IF($B$10&gt;18.99,$B$9*$B$8/2,0)</f>
        <v>0</v>
      </c>
      <c r="F45" s="13">
        <f>($E45)*(1/((1+$C$12)^38))</f>
        <v>0</v>
      </c>
      <c r="G45" s="13">
        <f>IF(AND($B$10&gt;18.5,$B$10&lt;19.1),$B$8,0)</f>
        <v>0</v>
      </c>
      <c r="H45" s="13">
        <f>($G45)*(1/((1+$C$12)^38))</f>
        <v>0</v>
      </c>
      <c r="I45" s="14">
        <f t="shared" si="4"/>
        <v>0</v>
      </c>
      <c r="J45" s="13">
        <f t="shared" si="5"/>
        <v>0</v>
      </c>
      <c r="K45" s="13">
        <f>IF($B$14&gt;18.99,$B$9*$B$8/2,0)</f>
        <v>0</v>
      </c>
      <c r="L45" s="13">
        <f>($K45)*(1/((1+$C$12)^38))</f>
        <v>0</v>
      </c>
      <c r="M45" s="13">
        <f>IF(AND($B$14&gt;18.5,$B$14&lt;19.1),$B$13,0)</f>
        <v>0</v>
      </c>
      <c r="N45" s="13">
        <f>($M45)*(1/((1+$C$12)^38))</f>
        <v>0</v>
      </c>
      <c r="O45" s="14">
        <f t="shared" si="6"/>
        <v>0</v>
      </c>
      <c r="P45" s="13">
        <f t="shared" si="7"/>
        <v>0</v>
      </c>
    </row>
    <row r="46" spans="4:16">
      <c r="D46" s="30">
        <v>39</v>
      </c>
      <c r="E46" s="13">
        <f>IF($B$10&gt;19.49,$B$9*$B$8/2,0)</f>
        <v>0</v>
      </c>
      <c r="F46" s="13">
        <f>($E46)*(1/((1+$C$12)^39))</f>
        <v>0</v>
      </c>
      <c r="G46" s="13">
        <f>IF(AND($B$10&gt;19,$B$10&lt;19.51),$B$8,0)</f>
        <v>0</v>
      </c>
      <c r="H46" s="13">
        <f>($G46)*(1/((1+$C$12)^39))</f>
        <v>0</v>
      </c>
      <c r="I46" s="14">
        <f t="shared" si="4"/>
        <v>0</v>
      </c>
      <c r="J46" s="13">
        <f t="shared" si="5"/>
        <v>0</v>
      </c>
      <c r="K46" s="13">
        <f>IF($B$14&gt;19.49,$B$9*$B$8/2,0)</f>
        <v>0</v>
      </c>
      <c r="L46" s="13">
        <f>($K46)*(1/((1+$C$12)^39))</f>
        <v>0</v>
      </c>
      <c r="M46" s="13">
        <f>IF(AND($B$14&gt;19,$B$14&lt;19.51),$B$13,0)</f>
        <v>0</v>
      </c>
      <c r="N46" s="13">
        <f>($M46)*(1/((1+$C$12)^39))</f>
        <v>0</v>
      </c>
      <c r="O46" s="14">
        <f t="shared" si="6"/>
        <v>0</v>
      </c>
      <c r="P46" s="13">
        <f t="shared" si="7"/>
        <v>0</v>
      </c>
    </row>
    <row r="47" spans="4:16">
      <c r="D47" s="30">
        <v>40</v>
      </c>
      <c r="E47" s="13">
        <f>IF($B$10&gt;19.99,$B$9*$B$8/2,0)</f>
        <v>0</v>
      </c>
      <c r="F47" s="13">
        <f>($E47)*(1/((1+$C$12)^40))</f>
        <v>0</v>
      </c>
      <c r="G47" s="13">
        <f>IF(AND($B$10&gt;19.5,$B$10&lt;20.1),$B$8,0)</f>
        <v>0</v>
      </c>
      <c r="H47" s="13">
        <f>($G47)*(1/((1+$C$12)^40))</f>
        <v>0</v>
      </c>
      <c r="I47" s="14">
        <f t="shared" si="4"/>
        <v>0</v>
      </c>
      <c r="J47" s="13">
        <f t="shared" si="5"/>
        <v>0</v>
      </c>
      <c r="K47" s="13">
        <f>IF($B$14&gt;19.99,$B$9*$B$8/2,0)</f>
        <v>0</v>
      </c>
      <c r="L47" s="13">
        <f>($K47)*(1/((1+$C$12)^40))</f>
        <v>0</v>
      </c>
      <c r="M47" s="13">
        <f>IF(AND($B$14&gt;19.5,$B$14&lt;20.1),$B$13,0)</f>
        <v>0</v>
      </c>
      <c r="N47" s="13">
        <f>($M47)*(1/((1+$C$12)^40))</f>
        <v>0</v>
      </c>
      <c r="O47" s="14">
        <f t="shared" si="6"/>
        <v>0</v>
      </c>
      <c r="P47" s="13">
        <f t="shared" si="7"/>
        <v>0</v>
      </c>
    </row>
    <row r="48" spans="4:16">
      <c r="D48" s="30">
        <v>41</v>
      </c>
      <c r="E48" s="13">
        <f>IF($B$10&gt;20.49,$B$9*$B$8/2,0)</f>
        <v>0</v>
      </c>
      <c r="F48" s="13">
        <f>($E48)*(1/((1+$C$12)^41))</f>
        <v>0</v>
      </c>
      <c r="G48" s="13">
        <f>IF(AND($B$10&gt;20,$B$10&lt;20.51),$B$8,0)</f>
        <v>0</v>
      </c>
      <c r="H48" s="13">
        <f>($G48)*(1/((1+$C$12)^41))</f>
        <v>0</v>
      </c>
      <c r="I48" s="14">
        <f t="shared" si="4"/>
        <v>0</v>
      </c>
      <c r="J48" s="13">
        <f t="shared" si="5"/>
        <v>0</v>
      </c>
      <c r="K48" s="13">
        <f>IF($B$14&gt;20.49,$B$9*$B$8/2,0)</f>
        <v>0</v>
      </c>
      <c r="L48" s="13">
        <f>($K48)*(1/((1+$C$12)^41))</f>
        <v>0</v>
      </c>
      <c r="M48" s="13">
        <f>IF(AND($B$14&gt;20,$B$14&lt;20.51),$B$13,0)</f>
        <v>0</v>
      </c>
      <c r="N48" s="13">
        <f>($M48)*(1/((1+$C$12)^41))</f>
        <v>0</v>
      </c>
      <c r="O48" s="14">
        <f t="shared" si="6"/>
        <v>0</v>
      </c>
      <c r="P48" s="13">
        <f t="shared" si="7"/>
        <v>0</v>
      </c>
    </row>
    <row r="49" spans="4:16">
      <c r="D49" s="30">
        <v>42</v>
      </c>
      <c r="E49" s="13">
        <f>IF($B$10&gt;20.99,$B$9*$B$8/2,0)</f>
        <v>0</v>
      </c>
      <c r="F49" s="13">
        <f>($E49)*(1/((1+$C$12)^42))</f>
        <v>0</v>
      </c>
      <c r="G49" s="13">
        <f>IF(AND($B$10&gt;20.5,$B$10&lt;21.1),$B$8,0)</f>
        <v>0</v>
      </c>
      <c r="H49" s="13">
        <f>($G49)*(1/((1+$C$12)^42))</f>
        <v>0</v>
      </c>
      <c r="I49" s="14">
        <f t="shared" si="4"/>
        <v>0</v>
      </c>
      <c r="J49" s="13">
        <f t="shared" si="5"/>
        <v>0</v>
      </c>
      <c r="K49" s="13">
        <f>IF($B$14&gt;20.99,$B$9*$B$8/2,0)</f>
        <v>0</v>
      </c>
      <c r="L49" s="13">
        <f>($K49)*(1/((1+$C$12)^42))</f>
        <v>0</v>
      </c>
      <c r="M49" s="13">
        <f>IF(AND($B$14&gt;20.5,$B$14&lt;21.1),$B$13,0)</f>
        <v>0</v>
      </c>
      <c r="N49" s="13">
        <f>($M49)*(1/((1+$C$12)^42))</f>
        <v>0</v>
      </c>
      <c r="O49" s="14">
        <f t="shared" si="6"/>
        <v>0</v>
      </c>
      <c r="P49" s="13">
        <f t="shared" si="7"/>
        <v>0</v>
      </c>
    </row>
    <row r="50" spans="4:16">
      <c r="D50" s="30">
        <v>43</v>
      </c>
      <c r="E50" s="13">
        <f>IF($B$10&gt;21.49,$B$9*$B$8/2,0)</f>
        <v>0</v>
      </c>
      <c r="F50" s="13">
        <f>($E50)*(1/((1+$C$12)^43))</f>
        <v>0</v>
      </c>
      <c r="G50" s="13">
        <f>IF(AND($B$10&gt;21,$B$10&lt;21.51),$B$8,0)</f>
        <v>0</v>
      </c>
      <c r="H50" s="13">
        <f>($G50)*(1/((1+$C$12)^43))</f>
        <v>0</v>
      </c>
      <c r="I50" s="14">
        <f t="shared" si="4"/>
        <v>0</v>
      </c>
      <c r="J50" s="13">
        <f t="shared" si="5"/>
        <v>0</v>
      </c>
      <c r="K50" s="13">
        <f>IF($B$14&gt;21.49,$B$9*$B$8/2,0)</f>
        <v>0</v>
      </c>
      <c r="L50" s="13">
        <f>($K50)*(1/((1+$C$12)^43))</f>
        <v>0</v>
      </c>
      <c r="M50" s="13">
        <f>IF(AND($B$14&gt;21,$B$14&lt;21.51),$B$13,0)</f>
        <v>0</v>
      </c>
      <c r="N50" s="13">
        <f>($M50)*(1/((1+$C$12)^43))</f>
        <v>0</v>
      </c>
      <c r="O50" s="14">
        <f t="shared" si="6"/>
        <v>0</v>
      </c>
      <c r="P50" s="13">
        <f t="shared" si="7"/>
        <v>0</v>
      </c>
    </row>
    <row r="51" spans="4:16">
      <c r="D51" s="30">
        <v>44</v>
      </c>
      <c r="E51" s="13">
        <f>IF($B$10&gt;21.99,$B$9*$B$8/2,0)</f>
        <v>0</v>
      </c>
      <c r="F51" s="13">
        <f>($E51)*(1/((1+$C$12)^44))</f>
        <v>0</v>
      </c>
      <c r="G51" s="13">
        <f>IF(AND($B$10&gt;21.5,$B$10&lt;22.1),$B$8,0)</f>
        <v>0</v>
      </c>
      <c r="H51" s="13">
        <f>($G51)*(1/((1+$C$12)^44))</f>
        <v>0</v>
      </c>
      <c r="I51" s="14">
        <f t="shared" si="4"/>
        <v>0</v>
      </c>
      <c r="J51" s="13">
        <f t="shared" si="5"/>
        <v>0</v>
      </c>
      <c r="K51" s="13">
        <f>IF($B$14&gt;21.99,$B$9*$B$8/2,0)</f>
        <v>0</v>
      </c>
      <c r="L51" s="13">
        <f>($K51)*(1/((1+$C$12)^44))</f>
        <v>0</v>
      </c>
      <c r="M51" s="13">
        <f>IF(AND($B$14&gt;21.5,$B$14&lt;22.1),$B$13,0)</f>
        <v>0</v>
      </c>
      <c r="N51" s="13">
        <f>($M51)*(1/((1+$C$12)^44))</f>
        <v>0</v>
      </c>
      <c r="O51" s="14">
        <f t="shared" si="6"/>
        <v>0</v>
      </c>
      <c r="P51" s="13">
        <f t="shared" si="7"/>
        <v>0</v>
      </c>
    </row>
    <row r="52" spans="4:16">
      <c r="D52" s="30">
        <v>45</v>
      </c>
      <c r="E52" s="13">
        <f>IF($B$10&gt;22.49,$B$9*$B$8/2,0)</f>
        <v>0</v>
      </c>
      <c r="F52" s="13">
        <f>($E52)*(1/((1+$C$12)^45))</f>
        <v>0</v>
      </c>
      <c r="G52" s="13">
        <f>IF(AND($B$10&gt;22,$B$10&lt;22.51),$B$8,0)</f>
        <v>0</v>
      </c>
      <c r="H52" s="13">
        <f>($G52)*(1/((1+$C$12)^45))</f>
        <v>0</v>
      </c>
      <c r="I52" s="14">
        <f t="shared" si="4"/>
        <v>0</v>
      </c>
      <c r="J52" s="13">
        <f t="shared" si="5"/>
        <v>0</v>
      </c>
      <c r="K52" s="13">
        <f>IF($B$14&gt;22.49,$B$9*$B$8/2,0)</f>
        <v>0</v>
      </c>
      <c r="L52" s="13">
        <f>($K52)*(1/((1+$C$12)^45))</f>
        <v>0</v>
      </c>
      <c r="M52" s="13">
        <f>IF(AND($B$14&gt;22,$B$14&lt;22.51),$B$13,0)</f>
        <v>0</v>
      </c>
      <c r="N52" s="13">
        <f>($M52)*(1/((1+$C$12)^45))</f>
        <v>0</v>
      </c>
      <c r="O52" s="14">
        <f t="shared" si="6"/>
        <v>0</v>
      </c>
      <c r="P52" s="13">
        <f t="shared" si="7"/>
        <v>0</v>
      </c>
    </row>
    <row r="53" spans="4:16">
      <c r="D53" s="30">
        <v>46</v>
      </c>
      <c r="E53" s="13">
        <f>IF($B$10&gt;22.99,$B$9*$B$8/2,0)</f>
        <v>0</v>
      </c>
      <c r="F53" s="13">
        <f>($E53)*(1/((1+$C$12)^46))</f>
        <v>0</v>
      </c>
      <c r="G53" s="13">
        <f>IF(AND($B$10&gt;22.5,$B$10&lt;23.1),$B$8,0)</f>
        <v>0</v>
      </c>
      <c r="H53" s="13">
        <f>($G53)*(1/((1+$C$12)^46))</f>
        <v>0</v>
      </c>
      <c r="I53" s="14">
        <f t="shared" si="4"/>
        <v>0</v>
      </c>
      <c r="J53" s="13">
        <f t="shared" si="5"/>
        <v>0</v>
      </c>
      <c r="K53" s="13">
        <f>IF($B$14&gt;22.99,$B$9*$B$8/2,0)</f>
        <v>0</v>
      </c>
      <c r="L53" s="13">
        <f>($K53)*(1/((1+$C$12)^46))</f>
        <v>0</v>
      </c>
      <c r="M53" s="13">
        <f>IF(AND($B$14&gt;22.5,$B$14&lt;23.1),$B$13,0)</f>
        <v>0</v>
      </c>
      <c r="N53" s="13">
        <f>($M53)*(1/((1+$C$12)^46))</f>
        <v>0</v>
      </c>
      <c r="O53" s="14">
        <f t="shared" si="6"/>
        <v>0</v>
      </c>
      <c r="P53" s="13">
        <f t="shared" si="7"/>
        <v>0</v>
      </c>
    </row>
    <row r="54" spans="4:16">
      <c r="D54" s="30">
        <v>47</v>
      </c>
      <c r="E54" s="13">
        <f>IF($B$10&gt;23.49,$B$9*$B$8/2,0)</f>
        <v>0</v>
      </c>
      <c r="F54" s="13">
        <f>($E54)*(1/((1+$C$12)^47))</f>
        <v>0</v>
      </c>
      <c r="G54" s="13">
        <f>IF(AND($B$10&gt;23,$B$10&lt;23.51),$B$8,0)</f>
        <v>0</v>
      </c>
      <c r="H54" s="13">
        <f>($G54)*(1/((1+$C$12)^47))</f>
        <v>0</v>
      </c>
      <c r="I54" s="14">
        <f t="shared" si="4"/>
        <v>0</v>
      </c>
      <c r="J54" s="13">
        <f t="shared" si="5"/>
        <v>0</v>
      </c>
      <c r="K54" s="13">
        <f>IF($B$14&gt;23.49,$B$9*$B$8/2,0)</f>
        <v>0</v>
      </c>
      <c r="L54" s="13">
        <f>($K54)*(1/((1+$C$12)^47))</f>
        <v>0</v>
      </c>
      <c r="M54" s="13">
        <f>IF(AND($B$14&gt;23,$B$14&lt;23.51),$B$13,0)</f>
        <v>0</v>
      </c>
      <c r="N54" s="13">
        <f>($M54)*(1/((1+$C$12)^47))</f>
        <v>0</v>
      </c>
      <c r="O54" s="14">
        <f t="shared" si="6"/>
        <v>0</v>
      </c>
      <c r="P54" s="13">
        <f t="shared" si="7"/>
        <v>0</v>
      </c>
    </row>
    <row r="55" spans="4:16">
      <c r="D55" s="30">
        <v>48</v>
      </c>
      <c r="E55" s="13">
        <f>IF($B$10&gt;23.99,$B$9*$B$8/2,0)</f>
        <v>0</v>
      </c>
      <c r="F55" s="13">
        <f>($E55)*(1/((1+$C$12)^48))</f>
        <v>0</v>
      </c>
      <c r="G55" s="13">
        <f>IF(AND($B$10&gt;23.5, $B$10&lt;24.1),$B$8,0)</f>
        <v>0</v>
      </c>
      <c r="H55" s="13">
        <f>($G55)*(1/((1+$C$12)^48))</f>
        <v>0</v>
      </c>
      <c r="I55" s="14">
        <f t="shared" si="4"/>
        <v>0</v>
      </c>
      <c r="J55" s="13">
        <f t="shared" si="5"/>
        <v>0</v>
      </c>
      <c r="K55" s="13">
        <f>IF($B$14&gt;23.99,$B$9*$B$8/2,0)</f>
        <v>0</v>
      </c>
      <c r="L55" s="13">
        <f>($K55)*(1/((1+$C$12)^48))</f>
        <v>0</v>
      </c>
      <c r="M55" s="13">
        <f>IF(AND($B$14&gt;23.5, $B$14&lt;24.1),$B$13,0)</f>
        <v>0</v>
      </c>
      <c r="N55" s="13">
        <f>($M55)*(1/((1+$C$12)^48))</f>
        <v>0</v>
      </c>
      <c r="O55" s="14">
        <f t="shared" si="6"/>
        <v>0</v>
      </c>
      <c r="P55" s="13">
        <f t="shared" si="7"/>
        <v>0</v>
      </c>
    </row>
    <row r="56" spans="4:16">
      <c r="D56" s="30">
        <v>49</v>
      </c>
      <c r="E56" s="13">
        <f>IF($B$10&gt;24.49,$B$9*$B$8/2,0)</f>
        <v>0</v>
      </c>
      <c r="F56" s="13">
        <f>($E56)*(1/((1+$C$12)^49))</f>
        <v>0</v>
      </c>
      <c r="G56" s="13">
        <f>IF(AND($B$10&gt;24,$B$10&lt;24.51),$B$8,0)</f>
        <v>0</v>
      </c>
      <c r="H56" s="13">
        <f>($G56)*(1/((1+$C$12)^49))</f>
        <v>0</v>
      </c>
      <c r="I56" s="14">
        <f t="shared" si="4"/>
        <v>0</v>
      </c>
      <c r="J56" s="13">
        <f t="shared" si="5"/>
        <v>0</v>
      </c>
      <c r="K56" s="13">
        <f>IF($B$14&gt;24.49,$B$9*$B$8/2,0)</f>
        <v>0</v>
      </c>
      <c r="L56" s="13">
        <f>($K56)*(1/((1+$C$12)^49))</f>
        <v>0</v>
      </c>
      <c r="M56" s="13">
        <f>IF(AND($B$14&gt;24,$B$14&lt;24.51),$B$13,0)</f>
        <v>0</v>
      </c>
      <c r="N56" s="13">
        <f>($M56)*(1/((1+$C$12)^49))</f>
        <v>0</v>
      </c>
      <c r="O56" s="14">
        <f t="shared" si="6"/>
        <v>0</v>
      </c>
      <c r="P56" s="13">
        <f t="shared" si="7"/>
        <v>0</v>
      </c>
    </row>
    <row r="57" spans="4:16">
      <c r="D57" s="30">
        <v>50</v>
      </c>
      <c r="E57" s="13">
        <f>IF($B$10&gt;24.99,$B$9*$B$8/2,0)</f>
        <v>0</v>
      </c>
      <c r="F57" s="13">
        <f>($E57)*(1/((1+$C$12)^50))</f>
        <v>0</v>
      </c>
      <c r="G57" s="13">
        <f>IF(AND($B$10&gt;24.5, $B$10&lt;25.1),$B$8,0)</f>
        <v>0</v>
      </c>
      <c r="H57" s="13">
        <f>($G57)*(1/((1+$C$12)^50))</f>
        <v>0</v>
      </c>
      <c r="I57" s="14">
        <f t="shared" si="4"/>
        <v>0</v>
      </c>
      <c r="J57" s="13">
        <f t="shared" si="5"/>
        <v>0</v>
      </c>
      <c r="K57" s="13">
        <f>IF($B$14&gt;24.99,$B$9*$B$8/2,0)</f>
        <v>0</v>
      </c>
      <c r="L57" s="13">
        <f>($K57)*(1/((1+$C$12)^50))</f>
        <v>0</v>
      </c>
      <c r="M57" s="13">
        <f>IF(AND($B$14&gt;24.5, $B$14&lt;25.1),$B$13,0)</f>
        <v>0</v>
      </c>
      <c r="N57" s="13">
        <f>($M57)*(1/((1+$C$12)^50))</f>
        <v>0</v>
      </c>
      <c r="O57" s="14">
        <f t="shared" si="6"/>
        <v>0</v>
      </c>
      <c r="P57" s="13">
        <f t="shared" si="7"/>
        <v>0</v>
      </c>
    </row>
    <row r="58" spans="4:16">
      <c r="D58" s="30"/>
      <c r="I58" s="2" t="s">
        <v>20</v>
      </c>
      <c r="J58" s="2" t="s">
        <v>21</v>
      </c>
      <c r="O58" s="2" t="s">
        <v>20</v>
      </c>
      <c r="P58" s="2" t="s">
        <v>21</v>
      </c>
    </row>
    <row r="59" spans="4:16">
      <c r="D59" s="30"/>
      <c r="I59" s="34">
        <f>SUM(I8:I57)</f>
        <v>999.99999999999932</v>
      </c>
      <c r="J59" s="35">
        <f>IRR(J7:J57,0.01)*2</f>
        <v>0.10000015225139579</v>
      </c>
      <c r="O59" s="34">
        <f>SUM(O8:O57)</f>
        <v>1055.8705511773828</v>
      </c>
      <c r="P59" s="35">
        <f>IRR(P7:P57,0.01)*2</f>
        <v>0.12713187549524121</v>
      </c>
    </row>
  </sheetData>
  <pageMargins left="0.39" right="0.24" top="1" bottom="1" header="0.5" footer="0.5"/>
  <pageSetup scale="55" orientation="portrait" horizontalDpi="0" verticalDpi="0" copies="0"/>
  <headerFooter alignWithMargins="0">
    <oddHeader xml:space="preserve">&amp;C&amp;"Arial,Bold"&amp;16YIELD TO CALL&amp;"Arial,Regular"&amp;10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PRICE OF BOND</vt:lpstr>
      <vt:lpstr>BOND YIELD</vt:lpstr>
      <vt:lpstr>YIELD TO CALL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Arora</dc:creator>
  <cp:lastModifiedBy>admin</cp:lastModifiedBy>
  <dcterms:created xsi:type="dcterms:W3CDTF">2017-12-08T06:46:12Z</dcterms:created>
  <dcterms:modified xsi:type="dcterms:W3CDTF">2017-12-08T06:49:20Z</dcterms:modified>
</cp:coreProperties>
</file>