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-15" yWindow="-15" windowWidth="10305" windowHeight="5805"/>
  </bookViews>
  <sheets>
    <sheet name="Capital Budgeting" sheetId="1" r:id="rId1"/>
  </sheets>
  <calcPr calcId="124519"/>
</workbook>
</file>

<file path=xl/calcChain.xml><?xml version="1.0" encoding="utf-8"?>
<calcChain xmlns="http://schemas.openxmlformats.org/spreadsheetml/2006/main">
  <c r="C43" i="1"/>
  <c r="C46"/>
  <c r="C44"/>
  <c r="C45"/>
  <c r="C42"/>
  <c r="C65"/>
  <c r="C47"/>
  <c r="C51"/>
  <c r="D42"/>
  <c r="D20"/>
  <c r="D45"/>
  <c r="E45"/>
  <c r="F45"/>
  <c r="G45"/>
  <c r="H45"/>
  <c r="I45"/>
  <c r="J45"/>
  <c r="K45"/>
  <c r="L45"/>
  <c r="D65"/>
  <c r="D47"/>
  <c r="D51"/>
  <c r="E42"/>
  <c r="E65"/>
  <c r="E47"/>
  <c r="E51"/>
  <c r="E20"/>
  <c r="F42"/>
  <c r="F20"/>
  <c r="F65"/>
  <c r="F47"/>
  <c r="F51"/>
  <c r="G42"/>
  <c r="G20"/>
  <c r="G65"/>
  <c r="G47"/>
  <c r="G51"/>
  <c r="H42"/>
  <c r="H65"/>
  <c r="H47"/>
  <c r="H51"/>
  <c r="H20"/>
  <c r="I42"/>
  <c r="I65"/>
  <c r="I47"/>
  <c r="I51"/>
  <c r="I20"/>
  <c r="J42"/>
  <c r="J20"/>
  <c r="J65"/>
  <c r="J47"/>
  <c r="J51"/>
  <c r="K42"/>
  <c r="K20"/>
  <c r="K65"/>
  <c r="K47"/>
  <c r="K51"/>
  <c r="L42"/>
  <c r="L54"/>
  <c r="L20"/>
  <c r="L65"/>
  <c r="L47"/>
  <c r="L51"/>
  <c r="B66"/>
  <c r="C64"/>
  <c r="D64"/>
  <c r="B32"/>
  <c r="C52"/>
  <c r="C38"/>
  <c r="C39"/>
  <c r="K11"/>
  <c r="D38"/>
  <c r="D39"/>
  <c r="E38"/>
  <c r="E39"/>
  <c r="F38"/>
  <c r="F39"/>
  <c r="G38"/>
  <c r="G39"/>
  <c r="H38"/>
  <c r="H39"/>
  <c r="I38"/>
  <c r="I39"/>
  <c r="J38"/>
  <c r="J39"/>
  <c r="K38"/>
  <c r="K39"/>
  <c r="L38"/>
  <c r="B29"/>
  <c r="B30"/>
  <c r="B31"/>
  <c r="B35"/>
  <c r="B33"/>
  <c r="B34"/>
  <c r="B54"/>
  <c r="C54"/>
  <c r="D54"/>
  <c r="E54"/>
  <c r="F54"/>
  <c r="G54"/>
  <c r="H54"/>
  <c r="I54"/>
  <c r="J54"/>
  <c r="K54"/>
  <c r="B55"/>
  <c r="B53"/>
  <c r="D66"/>
  <c r="E64"/>
  <c r="C48"/>
  <c r="C66"/>
  <c r="D43"/>
  <c r="C49"/>
  <c r="C50"/>
  <c r="E43"/>
  <c r="D52"/>
  <c r="D44"/>
  <c r="D46"/>
  <c r="D48"/>
  <c r="F64"/>
  <c r="E66"/>
  <c r="C53"/>
  <c r="D50"/>
  <c r="D53"/>
  <c r="D55"/>
  <c r="D49"/>
  <c r="F66"/>
  <c r="G64"/>
  <c r="F43"/>
  <c r="E52"/>
  <c r="E44"/>
  <c r="E46"/>
  <c r="E48"/>
  <c r="E49"/>
  <c r="E50"/>
  <c r="E53"/>
  <c r="E55"/>
  <c r="H64"/>
  <c r="G66"/>
  <c r="C55"/>
  <c r="F44"/>
  <c r="F46"/>
  <c r="F48"/>
  <c r="G43"/>
  <c r="F52"/>
  <c r="F49"/>
  <c r="F50"/>
  <c r="H66"/>
  <c r="I64"/>
  <c r="G44"/>
  <c r="G46"/>
  <c r="G48"/>
  <c r="G52"/>
  <c r="H43"/>
  <c r="G49"/>
  <c r="G50"/>
  <c r="F53"/>
  <c r="H44"/>
  <c r="H52"/>
  <c r="H46"/>
  <c r="H48"/>
  <c r="I43"/>
  <c r="J64"/>
  <c r="I66"/>
  <c r="G53"/>
  <c r="G55"/>
  <c r="H50"/>
  <c r="H53"/>
  <c r="H55"/>
  <c r="H49"/>
  <c r="F55"/>
  <c r="J43"/>
  <c r="I52"/>
  <c r="I44"/>
  <c r="I46"/>
  <c r="I48"/>
  <c r="J66"/>
  <c r="K64"/>
  <c r="I50"/>
  <c r="I53"/>
  <c r="I49"/>
  <c r="K43"/>
  <c r="J52"/>
  <c r="J44"/>
  <c r="J46"/>
  <c r="J48"/>
  <c r="L64"/>
  <c r="L66"/>
  <c r="K66"/>
  <c r="J49"/>
  <c r="J50"/>
  <c r="J53"/>
  <c r="J55"/>
  <c r="K44"/>
  <c r="K46"/>
  <c r="K48"/>
  <c r="K52"/>
  <c r="L43"/>
  <c r="I55"/>
  <c r="K50"/>
  <c r="K53"/>
  <c r="K55"/>
  <c r="K49"/>
  <c r="L44"/>
  <c r="L52"/>
  <c r="L39"/>
  <c r="L46"/>
  <c r="L48"/>
  <c r="L50"/>
  <c r="L49"/>
  <c r="L53"/>
  <c r="C60"/>
  <c r="L55"/>
  <c r="C58"/>
  <c r="C59"/>
</calcChain>
</file>

<file path=xl/sharedStrings.xml><?xml version="1.0" encoding="utf-8"?>
<sst xmlns="http://schemas.openxmlformats.org/spreadsheetml/2006/main" count="72" uniqueCount="69">
  <si>
    <t>Equity Analysis of a Project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</si>
  <si>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</si>
  <si>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</si>
  <si>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</si>
  <si>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</si>
  <si>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</si>
  <si>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</si>
  <si>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</si>
  <si>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</si>
  <si>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</si>
  <si>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</si>
  <si>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</si>
  <si>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</si>
  <si>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</si>
  <si>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</si>
  <si>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</si>
  <si>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</si>
  <si>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</si>
  <si>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</si>
  <si>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</si>
  <si>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</si>
  <si>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</si>
  <si>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</si>
  <si>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</si>
  <si>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</si>
  <si>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</si>
  <si>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</si>
  <si>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</si>
  <si>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</si>
  <si>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</si>
  <si>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</si>
  <si>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</si>
  <si>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</si>
  <si>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</si>
  <si>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</si>
  <si>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</si>
  <si>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</si>
  <si>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</si>
  <si>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</si>
  <si>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</si>
  <si>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</si>
  <si>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</si>
  <si>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</si>
  <si>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</si>
  <si>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</si>
  <si>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</si>
  <si>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</si>
  <si>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</si>
  <si>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</si>
  <si>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</si>
  <si>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</si>
  <si>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</si>
  <si>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</si>
  <si>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</si>
  <si>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</si>
  <si>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</si>
  <si>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</si>
  <si>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</si>
  <si>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</si>
  <si>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</si>
  <si>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</si>
  <si>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</si>
  <si>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</si>
  <si>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</si>
  <si>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</si>
  <si>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</si>
  <si>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</si>
  <si>
    <t>INPUT SHEET: USER IS REQUIRED TO ENTER ALL BOLD NUMBERS</t>
  </si>
  <si>
    <t>OUTPUT SHEET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</si>
</sst>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5" fontId="5" fillId="0" borderId="5" xfId="0" applyNumberFormat="1" applyFont="1" applyBorder="1" applyAlignment="1">
      <alignment horizontal="center"/>
    </xf>
    <xf numFmtId="0" fontId="7" fillId="0" borderId="4" xfId="0" applyFont="1" applyBorder="1"/>
    <xf numFmtId="9" fontId="5" fillId="0" borderId="5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5" fontId="5" fillId="0" borderId="6" xfId="0" applyNumberFormat="1" applyFont="1" applyBorder="1" applyAlignment="1">
      <alignment horizontal="center"/>
    </xf>
    <xf numFmtId="9" fontId="5" fillId="0" borderId="9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10" xfId="0" applyFont="1" applyBorder="1"/>
    <xf numFmtId="0" fontId="7" fillId="0" borderId="0" xfId="0" applyFont="1"/>
    <xf numFmtId="10" fontId="5" fillId="0" borderId="0" xfId="0" applyNumberFormat="1" applyFont="1" applyBorder="1"/>
    <xf numFmtId="10" fontId="5" fillId="0" borderId="10" xfId="0" applyNumberFormat="1" applyFont="1" applyBorder="1"/>
    <xf numFmtId="0" fontId="4" fillId="0" borderId="11" xfId="0" applyFont="1" applyBorder="1"/>
    <xf numFmtId="5" fontId="4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5" fontId="4" fillId="0" borderId="0" xfId="0" applyNumberFormat="1" applyFont="1" applyBorder="1"/>
    <xf numFmtId="5" fontId="4" fillId="0" borderId="16" xfId="0" applyNumberFormat="1" applyFont="1" applyBorder="1"/>
    <xf numFmtId="0" fontId="4" fillId="0" borderId="17" xfId="0" applyFont="1" applyBorder="1"/>
    <xf numFmtId="5" fontId="4" fillId="0" borderId="18" xfId="0" applyNumberFormat="1" applyFont="1" applyBorder="1"/>
    <xf numFmtId="5" fontId="4" fillId="0" borderId="19" xfId="0" applyNumberFormat="1" applyFont="1" applyBorder="1"/>
    <xf numFmtId="0" fontId="5" fillId="0" borderId="1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5" fillId="0" borderId="4" xfId="0" applyFont="1" applyBorder="1"/>
    <xf numFmtId="5" fontId="5" fillId="0" borderId="10" xfId="0" applyNumberFormat="1" applyFont="1" applyBorder="1"/>
    <xf numFmtId="0" fontId="5" fillId="0" borderId="7" xfId="0" applyFont="1" applyBorder="1"/>
    <xf numFmtId="10" fontId="5" fillId="0" borderId="11" xfId="0" applyNumberFormat="1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5" xfId="0" applyFont="1" applyBorder="1"/>
    <xf numFmtId="5" fontId="4" fillId="0" borderId="5" xfId="0" applyNumberFormat="1" applyFont="1" applyBorder="1"/>
    <xf numFmtId="10" fontId="4" fillId="0" borderId="2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5" xfId="0" applyFont="1" applyBorder="1"/>
    <xf numFmtId="0" fontId="5" fillId="0" borderId="16" xfId="0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8" xfId="0" applyFont="1" applyBorder="1"/>
    <xf numFmtId="10" fontId="4" fillId="0" borderId="19" xfId="0" applyNumberFormat="1" applyFont="1" applyBorder="1" applyAlignment="1">
      <alignment horizont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9"/>
  <sheetViews>
    <sheetView showGridLines="0" tabSelected="1" workbookViewId="0">
      <selection activeCell="E1" sqref="E1"/>
    </sheetView>
  </sheetViews>
  <sheetFormatPr defaultColWidth="11.42578125" defaultRowHeight="12.75"/>
  <cols>
    <col min="1" max="1" width="12.7109375" customWidth="1"/>
    <col min="2" max="2" width="13.7109375" customWidth="1"/>
    <col min="10" max="10" width="12.42578125" customWidth="1"/>
  </cols>
  <sheetData>
    <row r="1" spans="1:13" s="45" customFormat="1" ht="23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3" s="5" customFormat="1" ht="20.100000000000001" customHeight="1" thickBot="1">
      <c r="A2" s="3"/>
      <c r="B2" s="3"/>
      <c r="C2" s="3"/>
      <c r="D2" s="3"/>
      <c r="E2" s="4" t="s">
        <v>67</v>
      </c>
      <c r="F2" s="3"/>
      <c r="G2" s="3"/>
      <c r="H2" s="3"/>
      <c r="I2" s="3"/>
      <c r="J2" s="3"/>
      <c r="K2" s="3"/>
      <c r="L2" s="3"/>
      <c r="M2" s="3"/>
    </row>
    <row r="3" spans="1:13" s="5" customFormat="1" ht="20.100000000000001" customHeight="1" thickTop="1">
      <c r="A3" s="6" t="s">
        <v>1</v>
      </c>
      <c r="B3" s="7"/>
      <c r="C3" s="8"/>
      <c r="D3" s="3"/>
      <c r="E3" s="6" t="s">
        <v>2</v>
      </c>
      <c r="F3" s="7"/>
      <c r="G3" s="8"/>
      <c r="H3" s="3"/>
      <c r="I3" s="50" t="s">
        <v>3</v>
      </c>
      <c r="J3" s="30"/>
      <c r="K3" s="31"/>
      <c r="L3" s="3"/>
      <c r="M3" s="3"/>
    </row>
    <row r="4" spans="1:13" s="5" customFormat="1" ht="20.100000000000001" customHeight="1">
      <c r="A4" s="9" t="s">
        <v>4</v>
      </c>
      <c r="B4" s="10"/>
      <c r="C4" s="11">
        <v>50000</v>
      </c>
      <c r="D4" s="3"/>
      <c r="E4" s="9" t="s">
        <v>5</v>
      </c>
      <c r="F4" s="10"/>
      <c r="G4" s="11">
        <v>40000</v>
      </c>
      <c r="H4" s="3"/>
      <c r="I4" s="51" t="s">
        <v>6</v>
      </c>
      <c r="J4" s="10"/>
      <c r="K4" s="52">
        <v>2</v>
      </c>
      <c r="L4" s="3"/>
      <c r="M4" s="3"/>
    </row>
    <row r="5" spans="1:13" s="5" customFormat="1" ht="20.100000000000001" customHeight="1">
      <c r="A5" s="9" t="s">
        <v>7</v>
      </c>
      <c r="B5" s="10"/>
      <c r="C5" s="11">
        <v>7484</v>
      </c>
      <c r="D5" s="3"/>
      <c r="E5" s="9" t="s">
        <v>8</v>
      </c>
      <c r="F5" s="10"/>
      <c r="G5" s="13">
        <v>0.5</v>
      </c>
      <c r="H5" s="3"/>
      <c r="I5" s="32" t="s">
        <v>9</v>
      </c>
      <c r="J5" s="10"/>
      <c r="K5" s="53">
        <v>0.1</v>
      </c>
      <c r="L5" s="3"/>
      <c r="M5" s="3"/>
    </row>
    <row r="6" spans="1:13" s="5" customFormat="1" ht="20.100000000000001" customHeight="1">
      <c r="A6" s="9" t="s">
        <v>10</v>
      </c>
      <c r="B6" s="10"/>
      <c r="C6" s="15">
        <v>10</v>
      </c>
      <c r="D6" s="3"/>
      <c r="E6" s="9" t="s">
        <v>11</v>
      </c>
      <c r="F6" s="10"/>
      <c r="G6" s="15">
        <v>0</v>
      </c>
      <c r="H6" s="3"/>
      <c r="I6" s="32" t="s">
        <v>12</v>
      </c>
      <c r="J6" s="10"/>
      <c r="K6" s="52">
        <v>0.9</v>
      </c>
      <c r="L6" s="3"/>
      <c r="M6" s="3"/>
    </row>
    <row r="7" spans="1:13" s="5" customFormat="1" ht="20.100000000000001" customHeight="1" thickBot="1">
      <c r="A7" s="9" t="s">
        <v>13</v>
      </c>
      <c r="B7" s="10"/>
      <c r="C7" s="11">
        <v>10000</v>
      </c>
      <c r="D7" s="3"/>
      <c r="E7" s="16" t="s">
        <v>14</v>
      </c>
      <c r="F7" s="17"/>
      <c r="G7" s="13">
        <v>0.4</v>
      </c>
      <c r="H7" s="3"/>
      <c r="I7" s="32" t="s">
        <v>15</v>
      </c>
      <c r="J7" s="10"/>
      <c r="K7" s="54">
        <v>0.08</v>
      </c>
      <c r="L7" s="3"/>
      <c r="M7" s="3"/>
    </row>
    <row r="8" spans="1:13" s="5" customFormat="1" ht="20.100000000000001" customHeight="1" thickTop="1">
      <c r="A8" s="9" t="s">
        <v>16</v>
      </c>
      <c r="B8" s="10"/>
      <c r="C8" s="15">
        <v>2</v>
      </c>
      <c r="D8" s="3"/>
      <c r="E8" s="3" t="s">
        <v>17</v>
      </c>
      <c r="F8" s="3"/>
      <c r="G8" s="18"/>
      <c r="H8" s="3"/>
      <c r="I8" s="32" t="s">
        <v>18</v>
      </c>
      <c r="J8" s="10"/>
      <c r="K8" s="54">
        <v>5.5E-2</v>
      </c>
      <c r="L8" s="3"/>
      <c r="M8" s="3"/>
    </row>
    <row r="9" spans="1:13" s="5" customFormat="1" ht="20.100000000000001" customHeight="1">
      <c r="A9" s="9" t="s">
        <v>19</v>
      </c>
      <c r="B9" s="10"/>
      <c r="C9" s="13">
        <v>0.1</v>
      </c>
      <c r="D9" s="3"/>
      <c r="E9" s="3" t="s">
        <v>20</v>
      </c>
      <c r="F9" s="3"/>
      <c r="G9" s="18"/>
      <c r="H9" s="3"/>
      <c r="I9" s="32" t="s">
        <v>21</v>
      </c>
      <c r="J9" s="10"/>
      <c r="K9" s="55">
        <v>0.3</v>
      </c>
      <c r="L9" s="3"/>
      <c r="M9" s="3"/>
    </row>
    <row r="10" spans="1:13" s="5" customFormat="1" ht="20.100000000000001" customHeight="1" thickBot="1">
      <c r="A10" s="16" t="s">
        <v>22</v>
      </c>
      <c r="B10" s="17"/>
      <c r="C10" s="15">
        <v>0</v>
      </c>
      <c r="D10" s="3"/>
      <c r="E10" s="3"/>
      <c r="F10" s="3"/>
      <c r="G10" s="18"/>
      <c r="H10" s="3"/>
      <c r="I10" s="36" t="s">
        <v>23</v>
      </c>
      <c r="J10" s="56"/>
      <c r="K10" s="57">
        <v>0.09</v>
      </c>
      <c r="L10" s="3"/>
      <c r="M10" s="3"/>
    </row>
    <row r="11" spans="1:13" s="5" customFormat="1" ht="20.100000000000001" customHeight="1" thickTop="1" thickBot="1">
      <c r="A11" s="3"/>
      <c r="B11" s="3"/>
      <c r="C11" s="18"/>
      <c r="D11" s="3"/>
      <c r="E11"/>
      <c r="F11"/>
      <c r="G11"/>
      <c r="H11"/>
      <c r="I11" s="3" t="s">
        <v>24</v>
      </c>
      <c r="J11" s="3"/>
      <c r="K11" s="49">
        <f>IF(K4=1,K5,(K7+K6*K8)*(1-K9)+K10*(1-G7)*K9)</f>
        <v>0.10685</v>
      </c>
      <c r="L11" s="3"/>
      <c r="M11" s="3"/>
    </row>
    <row r="12" spans="1:13" s="5" customFormat="1" ht="20.100000000000001" customHeight="1" thickTop="1">
      <c r="A12" s="6" t="s">
        <v>25</v>
      </c>
      <c r="B12" s="7"/>
      <c r="C12" s="19"/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.100000000000001" customHeight="1">
      <c r="A13" s="9" t="s">
        <v>26</v>
      </c>
      <c r="B13" s="10"/>
      <c r="C13" s="2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.100000000000001" customHeight="1">
      <c r="A14" s="9" t="s">
        <v>27</v>
      </c>
      <c r="B14" s="10"/>
      <c r="C14" s="14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.100000000000001" customHeight="1" thickBot="1">
      <c r="A15" s="16" t="s">
        <v>28</v>
      </c>
      <c r="B15" s="17"/>
      <c r="C15" s="2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.100000000000001" customHeight="1" thickTop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.100000000000001" customHeight="1" thickTop="1">
      <c r="A17" s="6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.100000000000001" customHeight="1">
      <c r="A18" s="12"/>
      <c r="B18" s="22"/>
      <c r="C18" s="22">
        <v>1</v>
      </c>
      <c r="D18" s="22">
        <v>2</v>
      </c>
      <c r="E18" s="22">
        <v>3</v>
      </c>
      <c r="F18" s="22">
        <v>4</v>
      </c>
      <c r="G18" s="22">
        <v>5</v>
      </c>
      <c r="H18" s="22">
        <v>6</v>
      </c>
      <c r="I18" s="22">
        <v>7</v>
      </c>
      <c r="J18" s="22">
        <v>8</v>
      </c>
      <c r="K18" s="22">
        <v>9</v>
      </c>
      <c r="L18" s="23">
        <v>10</v>
      </c>
      <c r="M18" s="24"/>
    </row>
    <row r="19" spans="1:13" s="5" customFormat="1" ht="20.100000000000001" customHeight="1">
      <c r="A19" s="9" t="s">
        <v>30</v>
      </c>
      <c r="B19" s="10"/>
      <c r="C19" s="10" t="s">
        <v>31</v>
      </c>
      <c r="D19" s="25">
        <v>0.1</v>
      </c>
      <c r="E19" s="25">
        <v>0.1</v>
      </c>
      <c r="F19" s="25">
        <v>0.1</v>
      </c>
      <c r="G19" s="25">
        <v>0.1</v>
      </c>
      <c r="H19" s="25">
        <v>0</v>
      </c>
      <c r="I19" s="25">
        <v>0</v>
      </c>
      <c r="J19" s="25">
        <v>0</v>
      </c>
      <c r="K19" s="25">
        <v>0</v>
      </c>
      <c r="L19" s="26">
        <v>0</v>
      </c>
      <c r="M19" s="3"/>
    </row>
    <row r="20" spans="1:13" s="5" customFormat="1" ht="20.100000000000001" customHeight="1">
      <c r="A20" s="9" t="s">
        <v>32</v>
      </c>
      <c r="B20" s="10"/>
      <c r="C20" s="10" t="s">
        <v>31</v>
      </c>
      <c r="D20" s="25">
        <f t="shared" ref="D20:L20" si="0">D19</f>
        <v>0.1</v>
      </c>
      <c r="E20" s="25">
        <f t="shared" si="0"/>
        <v>0.1</v>
      </c>
      <c r="F20" s="25">
        <f t="shared" si="0"/>
        <v>0.1</v>
      </c>
      <c r="G20" s="25">
        <f t="shared" si="0"/>
        <v>0.1</v>
      </c>
      <c r="H20" s="25">
        <f t="shared" si="0"/>
        <v>0</v>
      </c>
      <c r="I20" s="25">
        <f t="shared" si="0"/>
        <v>0</v>
      </c>
      <c r="J20" s="25">
        <f t="shared" si="0"/>
        <v>0</v>
      </c>
      <c r="K20" s="25">
        <f t="shared" si="0"/>
        <v>0</v>
      </c>
      <c r="L20" s="26">
        <f t="shared" si="0"/>
        <v>0</v>
      </c>
      <c r="M20" s="3"/>
    </row>
    <row r="21" spans="1:13" s="5" customFormat="1" ht="20.100000000000001" customHeight="1" thickBot="1">
      <c r="A21" s="16" t="s">
        <v>33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27"/>
      <c r="M21" s="3"/>
    </row>
    <row r="22" spans="1:13" s="5" customFormat="1" ht="20.100000000000001" customHeight="1" thickTop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3"/>
    </row>
    <row r="23" spans="1:13" s="5" customFormat="1" ht="20.100000000000001" customHeight="1">
      <c r="A23" s="10"/>
      <c r="B23" s="10"/>
      <c r="C23" s="10"/>
      <c r="D23" s="10"/>
      <c r="E23" s="10"/>
      <c r="F23" s="10"/>
      <c r="G23" s="58" t="s">
        <v>68</v>
      </c>
      <c r="H23" s="10"/>
      <c r="I23" s="10"/>
      <c r="J23" s="10"/>
      <c r="K23" s="10"/>
      <c r="L23" s="10"/>
      <c r="M23" s="3"/>
    </row>
    <row r="24" spans="1:13" s="5" customFormat="1" ht="20.100000000000001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"/>
    </row>
    <row r="25" spans="1:13" s="5" customFormat="1" ht="20.100000000000001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3"/>
    </row>
    <row r="26" spans="1:13" s="5" customFormat="1">
      <c r="A26" s="3"/>
      <c r="B26" s="3"/>
      <c r="C26" s="3"/>
      <c r="D26" s="3"/>
      <c r="E26" s="3"/>
      <c r="F26" s="3" t="s">
        <v>34</v>
      </c>
      <c r="G26" s="3"/>
      <c r="H26" s="3"/>
      <c r="I26" s="3"/>
      <c r="J26" s="3"/>
      <c r="K26" s="3"/>
      <c r="L26" s="3"/>
      <c r="M26" s="3"/>
    </row>
    <row r="27" spans="1:13" s="5" customFormat="1">
      <c r="A27" s="3"/>
      <c r="B27" s="3">
        <v>0</v>
      </c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>
        <v>10</v>
      </c>
      <c r="M27" s="3"/>
    </row>
    <row r="28" spans="1:13" s="5" customFormat="1">
      <c r="A28" s="3" t="s">
        <v>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>
      <c r="A29" s="47" t="s">
        <v>35</v>
      </c>
      <c r="B29" s="48">
        <f>C4</f>
        <v>50000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>
      <c r="A30" s="47" t="s">
        <v>36</v>
      </c>
      <c r="B30" s="48">
        <f>C4*C9</f>
        <v>5000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>
      <c r="A31" s="47" t="s">
        <v>37</v>
      </c>
      <c r="B31" s="48">
        <f>B29-B30</f>
        <v>45000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>
      <c r="A32" s="47" t="s">
        <v>38</v>
      </c>
      <c r="B32" s="48">
        <f>C13</f>
        <v>10000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>
      <c r="A33" s="47" t="s">
        <v>39</v>
      </c>
      <c r="B33" s="48">
        <f>C5</f>
        <v>7484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5" customFormat="1">
      <c r="A34" s="47" t="s">
        <v>40</v>
      </c>
      <c r="B34" s="48">
        <f>C10</f>
        <v>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5" customFormat="1">
      <c r="A35" s="47" t="s">
        <v>41</v>
      </c>
      <c r="B35" s="48">
        <f>B31+B32+B33+B34</f>
        <v>62484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5" customForma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>
      <c r="A37" s="3" t="s">
        <v>42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5" customFormat="1">
      <c r="A38" s="3" t="s">
        <v>43</v>
      </c>
      <c r="B38" s="3"/>
      <c r="C38" s="28">
        <f>IF(C27=C6,C7,0)</f>
        <v>0</v>
      </c>
      <c r="D38" s="28">
        <f>IF(D27=C6,C7,0)</f>
        <v>0</v>
      </c>
      <c r="E38" s="28">
        <f>IF(E27=C6,C7,0)</f>
        <v>0</v>
      </c>
      <c r="F38" s="28">
        <f>IF(F27=C6,C7,0)</f>
        <v>0</v>
      </c>
      <c r="G38" s="28">
        <f>IF(G27=C6,C7,0)</f>
        <v>0</v>
      </c>
      <c r="H38" s="28">
        <f>IF(H27=C6,C7,0)</f>
        <v>0</v>
      </c>
      <c r="I38" s="28">
        <f>IF(I27=C6,C7,0)</f>
        <v>0</v>
      </c>
      <c r="J38" s="28">
        <f>IF(J27=C6,C7,0)</f>
        <v>0</v>
      </c>
      <c r="K38" s="28">
        <f>IF(K27=C6,C7,0)</f>
        <v>0</v>
      </c>
      <c r="L38" s="28">
        <f>IF(L27=C6,C7,0)</f>
        <v>10000</v>
      </c>
      <c r="M38" s="3"/>
    </row>
    <row r="39" spans="1:13" s="5" customFormat="1">
      <c r="A39" s="3" t="s">
        <v>44</v>
      </c>
      <c r="B39" s="3"/>
      <c r="C39" s="28">
        <f>IF(C27=C6,(C13+SUM(C52:L52))*C15,0)</f>
        <v>0</v>
      </c>
      <c r="D39" s="28">
        <f>IF(D27=C6,(C13+SUM(C52:L52))*C15,0)</f>
        <v>0</v>
      </c>
      <c r="E39" s="28">
        <f>IF(E27=C6,(C13+SUM(C52:L52))*C15,0)</f>
        <v>0</v>
      </c>
      <c r="F39" s="28">
        <f>IF(F27=C6,(C13+SUM(C52:L52))*C15,0)</f>
        <v>0</v>
      </c>
      <c r="G39" s="28">
        <f>IF(G27=C6,(C13+SUM(C52:L52))*C15,0)</f>
        <v>0</v>
      </c>
      <c r="H39" s="28">
        <f>IF(21=C6,(C13+SUM(C52:L52))*C15,0)</f>
        <v>0</v>
      </c>
      <c r="I39" s="28">
        <f>IF(I27=C6,(C13+SUM(C52:L52))*C15,0)</f>
        <v>0</v>
      </c>
      <c r="J39" s="28">
        <f>IF(J27=C6,(C13+SUM(C52:L52))*C15,0)</f>
        <v>0</v>
      </c>
      <c r="K39" s="28">
        <f>IF(K27=C6,(C13+SUM(C52:L52))*C15,0)</f>
        <v>0</v>
      </c>
      <c r="L39" s="28">
        <f>IF(L27=C6,(C13+SUM(C52:L52))*C15,0)</f>
        <v>14641.000000000005</v>
      </c>
      <c r="M39" s="3"/>
    </row>
    <row r="40" spans="1:13" s="5" customFormat="1" ht="13.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s="5" customFormat="1">
      <c r="A41" s="29" t="s">
        <v>45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3"/>
    </row>
    <row r="42" spans="1:13" s="5" customFormat="1">
      <c r="A42" s="32" t="s">
        <v>46</v>
      </c>
      <c r="B42" s="10"/>
      <c r="C42" s="10">
        <f>IF(C27&gt;C6,0,1)</f>
        <v>1</v>
      </c>
      <c r="D42" s="10">
        <f>IF(D27&gt;C6,0,1)</f>
        <v>1</v>
      </c>
      <c r="E42" s="10">
        <f>IF(E27&gt;C6,0,1)</f>
        <v>1</v>
      </c>
      <c r="F42" s="10">
        <f>IF(F27&gt;C6,0,1)</f>
        <v>1</v>
      </c>
      <c r="G42" s="10">
        <f>IF(G27&gt;C6,0,1)</f>
        <v>1</v>
      </c>
      <c r="H42" s="10">
        <f>IF(H27&gt;C6,0,1)</f>
        <v>1</v>
      </c>
      <c r="I42" s="10">
        <f>IF(I27&gt;C6,0,1)</f>
        <v>1</v>
      </c>
      <c r="J42" s="10">
        <f>IF(J27&gt;C6,0,1)</f>
        <v>1</v>
      </c>
      <c r="K42" s="10">
        <f>IF(K27&gt;C6,0,1)</f>
        <v>1</v>
      </c>
      <c r="L42" s="33">
        <f>IF(L27&gt;C6,0,1)</f>
        <v>1</v>
      </c>
      <c r="M42" s="3"/>
    </row>
    <row r="43" spans="1:13" s="5" customFormat="1">
      <c r="A43" s="32" t="s">
        <v>30</v>
      </c>
      <c r="B43" s="34"/>
      <c r="C43" s="34">
        <f>G4</f>
        <v>40000</v>
      </c>
      <c r="D43" s="34">
        <f t="shared" ref="D43:L43" si="1">C43*(1+D19)*D42</f>
        <v>44000</v>
      </c>
      <c r="E43" s="34">
        <f t="shared" si="1"/>
        <v>48400.000000000007</v>
      </c>
      <c r="F43" s="34">
        <f t="shared" si="1"/>
        <v>53240.000000000015</v>
      </c>
      <c r="G43" s="34">
        <f t="shared" si="1"/>
        <v>58564.000000000022</v>
      </c>
      <c r="H43" s="34">
        <f t="shared" si="1"/>
        <v>58564.000000000022</v>
      </c>
      <c r="I43" s="34">
        <f t="shared" si="1"/>
        <v>58564.000000000022</v>
      </c>
      <c r="J43" s="34">
        <f t="shared" si="1"/>
        <v>58564.000000000022</v>
      </c>
      <c r="K43" s="34">
        <f t="shared" si="1"/>
        <v>58564.000000000022</v>
      </c>
      <c r="L43" s="35">
        <f t="shared" si="1"/>
        <v>58564.000000000022</v>
      </c>
      <c r="M43" s="3"/>
    </row>
    <row r="44" spans="1:13" s="5" customFormat="1">
      <c r="A44" s="32" t="s">
        <v>47</v>
      </c>
      <c r="B44" s="34"/>
      <c r="C44" s="34">
        <f>C43*G5</f>
        <v>20000</v>
      </c>
      <c r="D44" s="34">
        <f>D43*G5</f>
        <v>22000</v>
      </c>
      <c r="E44" s="34">
        <f>E43*G5</f>
        <v>24200.000000000004</v>
      </c>
      <c r="F44" s="34">
        <f>F43*G5</f>
        <v>26620.000000000007</v>
      </c>
      <c r="G44" s="34">
        <f>G43*G5</f>
        <v>29282.000000000011</v>
      </c>
      <c r="H44" s="34">
        <f>H43*G5</f>
        <v>29282.000000000011</v>
      </c>
      <c r="I44" s="34">
        <f>I43*G5</f>
        <v>29282.000000000011</v>
      </c>
      <c r="J44" s="34">
        <f>J43*G5</f>
        <v>29282.000000000011</v>
      </c>
      <c r="K44" s="34">
        <f>K43*G5</f>
        <v>29282.000000000011</v>
      </c>
      <c r="L44" s="35">
        <f>L43*G5</f>
        <v>29282.000000000011</v>
      </c>
      <c r="M44" s="3"/>
    </row>
    <row r="45" spans="1:13" s="5" customFormat="1">
      <c r="A45" s="32" t="s">
        <v>48</v>
      </c>
      <c r="B45" s="34"/>
      <c r="C45" s="34">
        <f>G6</f>
        <v>0</v>
      </c>
      <c r="D45" s="34">
        <f t="shared" ref="D45:L45" si="2">C45*(1+D20)*D42</f>
        <v>0</v>
      </c>
      <c r="E45" s="34">
        <f t="shared" si="2"/>
        <v>0</v>
      </c>
      <c r="F45" s="34">
        <f t="shared" si="2"/>
        <v>0</v>
      </c>
      <c r="G45" s="34">
        <f t="shared" si="2"/>
        <v>0</v>
      </c>
      <c r="H45" s="34">
        <f t="shared" si="2"/>
        <v>0</v>
      </c>
      <c r="I45" s="34">
        <f t="shared" si="2"/>
        <v>0</v>
      </c>
      <c r="J45" s="34">
        <f t="shared" si="2"/>
        <v>0</v>
      </c>
      <c r="K45" s="34">
        <f t="shared" si="2"/>
        <v>0</v>
      </c>
      <c r="L45" s="35">
        <f t="shared" si="2"/>
        <v>0</v>
      </c>
      <c r="M45" s="3"/>
    </row>
    <row r="46" spans="1:13" s="5" customFormat="1">
      <c r="A46" s="32" t="s">
        <v>49</v>
      </c>
      <c r="B46" s="34"/>
      <c r="C46" s="34">
        <f t="shared" ref="C46:L46" si="3">C43-C44-C45</f>
        <v>20000</v>
      </c>
      <c r="D46" s="34">
        <f t="shared" si="3"/>
        <v>22000</v>
      </c>
      <c r="E46" s="34">
        <f t="shared" si="3"/>
        <v>24200.000000000004</v>
      </c>
      <c r="F46" s="34">
        <f t="shared" si="3"/>
        <v>26620.000000000007</v>
      </c>
      <c r="G46" s="34">
        <f t="shared" si="3"/>
        <v>29282.000000000011</v>
      </c>
      <c r="H46" s="34">
        <f t="shared" si="3"/>
        <v>29282.000000000011</v>
      </c>
      <c r="I46" s="34">
        <f t="shared" si="3"/>
        <v>29282.000000000011</v>
      </c>
      <c r="J46" s="34">
        <f t="shared" si="3"/>
        <v>29282.000000000011</v>
      </c>
      <c r="K46" s="34">
        <f t="shared" si="3"/>
        <v>29282.000000000011</v>
      </c>
      <c r="L46" s="35">
        <f t="shared" si="3"/>
        <v>29282.000000000011</v>
      </c>
      <c r="M46" s="3"/>
    </row>
    <row r="47" spans="1:13" s="5" customFormat="1">
      <c r="A47" s="32" t="s">
        <v>50</v>
      </c>
      <c r="B47" s="34"/>
      <c r="C47" s="34">
        <f t="shared" ref="C47:L47" si="4">C65</f>
        <v>10000</v>
      </c>
      <c r="D47" s="34">
        <f t="shared" si="4"/>
        <v>8000</v>
      </c>
      <c r="E47" s="34">
        <f t="shared" si="4"/>
        <v>6400.0000000000018</v>
      </c>
      <c r="F47" s="34">
        <f t="shared" si="4"/>
        <v>5120.0000000000018</v>
      </c>
      <c r="G47" s="34">
        <f t="shared" si="4"/>
        <v>4096.0000000000027</v>
      </c>
      <c r="H47" s="34">
        <f t="shared" si="4"/>
        <v>3276.8000000000025</v>
      </c>
      <c r="I47" s="34">
        <f t="shared" si="4"/>
        <v>2621.4400000000019</v>
      </c>
      <c r="J47" s="34">
        <f t="shared" si="4"/>
        <v>485.76000000000749</v>
      </c>
      <c r="K47" s="34">
        <f t="shared" si="4"/>
        <v>0</v>
      </c>
      <c r="L47" s="35">
        <f t="shared" si="4"/>
        <v>0</v>
      </c>
      <c r="M47" s="3"/>
    </row>
    <row r="48" spans="1:13" s="5" customFormat="1">
      <c r="A48" s="32" t="s">
        <v>51</v>
      </c>
      <c r="B48" s="34"/>
      <c r="C48" s="34">
        <f>C46-C47</f>
        <v>10000</v>
      </c>
      <c r="D48" s="34">
        <f t="shared" ref="D48:L48" si="5">D46-D47</f>
        <v>14000</v>
      </c>
      <c r="E48" s="34">
        <f t="shared" si="5"/>
        <v>17800</v>
      </c>
      <c r="F48" s="34">
        <f t="shared" si="5"/>
        <v>21500.000000000007</v>
      </c>
      <c r="G48" s="34">
        <f t="shared" si="5"/>
        <v>25186.000000000007</v>
      </c>
      <c r="H48" s="34">
        <f t="shared" si="5"/>
        <v>26005.200000000008</v>
      </c>
      <c r="I48" s="34">
        <f t="shared" si="5"/>
        <v>26660.560000000009</v>
      </c>
      <c r="J48" s="34">
        <f t="shared" si="5"/>
        <v>28796.240000000005</v>
      </c>
      <c r="K48" s="34">
        <f t="shared" si="5"/>
        <v>29282.000000000011</v>
      </c>
      <c r="L48" s="34">
        <f t="shared" si="5"/>
        <v>29282.000000000011</v>
      </c>
      <c r="M48" s="3"/>
    </row>
    <row r="49" spans="1:13" s="5" customFormat="1">
      <c r="A49" s="32" t="s">
        <v>52</v>
      </c>
      <c r="B49" s="34"/>
      <c r="C49" s="34">
        <f>C48*G7</f>
        <v>4000</v>
      </c>
      <c r="D49" s="34">
        <f>D48*G7</f>
        <v>5600</v>
      </c>
      <c r="E49" s="34">
        <f>E48*G7</f>
        <v>7120</v>
      </c>
      <c r="F49" s="34">
        <f>F48*G7</f>
        <v>8600.0000000000036</v>
      </c>
      <c r="G49" s="34">
        <f>G48*G7</f>
        <v>10074.400000000003</v>
      </c>
      <c r="H49" s="34">
        <f>H48*G7</f>
        <v>10402.080000000004</v>
      </c>
      <c r="I49" s="34">
        <f>I48*G7</f>
        <v>10664.224000000004</v>
      </c>
      <c r="J49" s="34">
        <f>J48*G7</f>
        <v>11518.496000000003</v>
      </c>
      <c r="K49" s="34">
        <f>K48*G7</f>
        <v>11712.800000000005</v>
      </c>
      <c r="L49" s="35">
        <f>L48*G7</f>
        <v>11712.800000000005</v>
      </c>
      <c r="M49" s="3"/>
    </row>
    <row r="50" spans="1:13" s="5" customFormat="1">
      <c r="A50" s="32" t="s">
        <v>53</v>
      </c>
      <c r="B50" s="34"/>
      <c r="C50" s="34">
        <f t="shared" ref="C50:L50" si="6">C48-C49</f>
        <v>6000</v>
      </c>
      <c r="D50" s="34">
        <f t="shared" si="6"/>
        <v>8400</v>
      </c>
      <c r="E50" s="34">
        <f t="shared" si="6"/>
        <v>10680</v>
      </c>
      <c r="F50" s="34">
        <f t="shared" si="6"/>
        <v>12900.000000000004</v>
      </c>
      <c r="G50" s="34">
        <f t="shared" si="6"/>
        <v>15111.600000000004</v>
      </c>
      <c r="H50" s="34">
        <f t="shared" si="6"/>
        <v>15603.120000000004</v>
      </c>
      <c r="I50" s="34">
        <f t="shared" si="6"/>
        <v>15996.336000000005</v>
      </c>
      <c r="J50" s="34">
        <f t="shared" si="6"/>
        <v>17277.744000000002</v>
      </c>
      <c r="K50" s="34">
        <f t="shared" si="6"/>
        <v>17569.200000000004</v>
      </c>
      <c r="L50" s="35">
        <f t="shared" si="6"/>
        <v>17569.200000000004</v>
      </c>
      <c r="M50" s="3"/>
    </row>
    <row r="51" spans="1:13" s="5" customFormat="1">
      <c r="A51" s="32" t="s">
        <v>54</v>
      </c>
      <c r="B51" s="34"/>
      <c r="C51" s="34">
        <f t="shared" ref="C51:L51" si="7">C47</f>
        <v>10000</v>
      </c>
      <c r="D51" s="34">
        <f t="shared" si="7"/>
        <v>8000</v>
      </c>
      <c r="E51" s="34">
        <f t="shared" si="7"/>
        <v>6400.0000000000018</v>
      </c>
      <c r="F51" s="34">
        <f t="shared" si="7"/>
        <v>5120.0000000000018</v>
      </c>
      <c r="G51" s="34">
        <f t="shared" si="7"/>
        <v>4096.0000000000027</v>
      </c>
      <c r="H51" s="34">
        <f t="shared" si="7"/>
        <v>3276.8000000000025</v>
      </c>
      <c r="I51" s="34">
        <f t="shared" si="7"/>
        <v>2621.4400000000019</v>
      </c>
      <c r="J51" s="34">
        <f t="shared" si="7"/>
        <v>485.76000000000749</v>
      </c>
      <c r="K51" s="34">
        <f t="shared" si="7"/>
        <v>0</v>
      </c>
      <c r="L51" s="35">
        <f t="shared" si="7"/>
        <v>0</v>
      </c>
      <c r="M51" s="3"/>
    </row>
    <row r="52" spans="1:13" s="5" customFormat="1">
      <c r="A52" s="32" t="s">
        <v>55</v>
      </c>
      <c r="B52" s="34"/>
      <c r="C52" s="34">
        <f>(C14*C43-B32)*C42</f>
        <v>0</v>
      </c>
      <c r="D52" s="34">
        <f>(C14*D43-B32)*D42</f>
        <v>1000</v>
      </c>
      <c r="E52" s="34">
        <f>(C14*E43-B32-SUM(C52,D52))*E42</f>
        <v>1100.0000000000018</v>
      </c>
      <c r="F52" s="34">
        <f>(C14*F43-B32-SUM(C52:E52))*F42</f>
        <v>1210.0000000000018</v>
      </c>
      <c r="G52" s="34">
        <f>(C14*G43-B32-SUM(C52:F52))*G42</f>
        <v>1331.0000000000018</v>
      </c>
      <c r="H52" s="34">
        <f>(C14*H43-B32-SUM(C52:G52))*H42</f>
        <v>0</v>
      </c>
      <c r="I52" s="34">
        <f>(C14*I43-B32-SUM(C52:H52))*I42</f>
        <v>0</v>
      </c>
      <c r="J52" s="34">
        <f>(C14*J43-B32-SUM(C52:I52))*J42</f>
        <v>0</v>
      </c>
      <c r="K52" s="34">
        <f>(C14*K43-B32-SUM(C52:J52))*K42</f>
        <v>0</v>
      </c>
      <c r="L52" s="35">
        <f>(C14*L43-B32-SUM(C52:K52))*L42</f>
        <v>0</v>
      </c>
      <c r="M52" s="3"/>
    </row>
    <row r="53" spans="1:13" s="5" customFormat="1">
      <c r="A53" s="32" t="s">
        <v>56</v>
      </c>
      <c r="B53" s="34">
        <f>0-B35</f>
        <v>-62484</v>
      </c>
      <c r="C53" s="34">
        <f>C50+C51-C52</f>
        <v>16000</v>
      </c>
      <c r="D53" s="34">
        <f t="shared" ref="D53:L53" si="8">D50+D51-D52</f>
        <v>15400</v>
      </c>
      <c r="E53" s="34">
        <f t="shared" si="8"/>
        <v>15979.999999999998</v>
      </c>
      <c r="F53" s="34">
        <f t="shared" si="8"/>
        <v>16810.000000000007</v>
      </c>
      <c r="G53" s="34">
        <f t="shared" si="8"/>
        <v>17876.600000000006</v>
      </c>
      <c r="H53" s="34">
        <f t="shared" si="8"/>
        <v>18879.920000000006</v>
      </c>
      <c r="I53" s="34">
        <f t="shared" si="8"/>
        <v>18617.776000000005</v>
      </c>
      <c r="J53" s="34">
        <f t="shared" si="8"/>
        <v>17763.504000000008</v>
      </c>
      <c r="K53" s="34">
        <f t="shared" si="8"/>
        <v>17569.200000000004</v>
      </c>
      <c r="L53" s="34">
        <f t="shared" si="8"/>
        <v>17569.200000000004</v>
      </c>
      <c r="M53" s="3"/>
    </row>
    <row r="54" spans="1:13" s="5" customFormat="1">
      <c r="A54" s="32" t="s">
        <v>57</v>
      </c>
      <c r="B54" s="10">
        <f>1</f>
        <v>1</v>
      </c>
      <c r="C54" s="10">
        <f>C42*(1+K11)^C27</f>
        <v>1.1068500000000001</v>
      </c>
      <c r="D54" s="10">
        <f>D42*(1+K11)^D27</f>
        <v>1.2251169225000003</v>
      </c>
      <c r="E54" s="10">
        <f>E42*(1+K11)^E27</f>
        <v>1.3560206656691254</v>
      </c>
      <c r="F54" s="10">
        <f>F42*(1+K11)^F27</f>
        <v>1.5009114737958718</v>
      </c>
      <c r="G54" s="10">
        <f>G42*(1+K11)^G27</f>
        <v>1.6612838647709609</v>
      </c>
      <c r="H54" s="10">
        <f>H42*(1+K11)^H27</f>
        <v>1.8387920457217382</v>
      </c>
      <c r="I54" s="10">
        <f>I42*(1+K11)^I27</f>
        <v>2.0352669758071062</v>
      </c>
      <c r="J54" s="10">
        <f>J42*(1+K11)^J27</f>
        <v>2.252735252172096</v>
      </c>
      <c r="K54" s="10">
        <f>K42*(1+K11)^K27</f>
        <v>2.4934400138666848</v>
      </c>
      <c r="L54" s="33">
        <f>L42*(1+K11)^L27</f>
        <v>2.7598640793483402</v>
      </c>
      <c r="M54" s="3"/>
    </row>
    <row r="55" spans="1:13" s="5" customFormat="1" ht="13.5" thickBot="1">
      <c r="A55" s="36" t="s">
        <v>58</v>
      </c>
      <c r="B55" s="37">
        <f>0-B35</f>
        <v>-62484</v>
      </c>
      <c r="C55" s="37">
        <f>(C53+C38+C39)/(1+K11)^C27</f>
        <v>14455.436599358538</v>
      </c>
      <c r="D55" s="37">
        <f>(D53+D38+D39)/(1+K11)^D27</f>
        <v>12570.228781571659</v>
      </c>
      <c r="E55" s="37">
        <f>(E53+E38+E39)/(1+K11)^E27</f>
        <v>11784.481169477385</v>
      </c>
      <c r="F55" s="37">
        <f>(F53+F38+F39)/(1+K11)^F27</f>
        <v>11199.861080072078</v>
      </c>
      <c r="G55" s="37">
        <f>(G53+G38+G39)/(1+K11)^G27</f>
        <v>10760.713673978065</v>
      </c>
      <c r="H55" s="37">
        <f>(H53+H38+H39)/(1+K11)^H27</f>
        <v>10267.566712574891</v>
      </c>
      <c r="I55" s="37">
        <f>(I53+I38+I39)/(1+K11)^I27</f>
        <v>9147.5841849283352</v>
      </c>
      <c r="J55" s="37">
        <f>(J53+J38+J39)/(1+K11)^J27</f>
        <v>7885.3047569049086</v>
      </c>
      <c r="K55" s="37">
        <f>(K53+K38+K39)/(1+K11)^K27</f>
        <v>7046.1691086583187</v>
      </c>
      <c r="L55" s="38">
        <f>(L53+L38+L39)/(1+K11)^L27</f>
        <v>15294.303917302585</v>
      </c>
      <c r="M55" s="3"/>
    </row>
    <row r="56" spans="1:13" s="5" customFormat="1" ht="13.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.5" thickTop="1">
      <c r="A57" s="3"/>
      <c r="B57" s="39" t="s">
        <v>59</v>
      </c>
      <c r="C57" s="40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>
      <c r="A58" s="3"/>
      <c r="B58" s="41" t="s">
        <v>60</v>
      </c>
      <c r="C58" s="42">
        <f>SUM(B55:L55)</f>
        <v>47927.649984826763</v>
      </c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>
      <c r="A59" s="3"/>
      <c r="B59" s="41" t="s">
        <v>61</v>
      </c>
      <c r="C59" s="26">
        <f>IRR(B53:L53,K11)</f>
        <v>0.23553936023867619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s="5" customFormat="1" ht="13.5" thickBot="1">
      <c r="A60" s="3"/>
      <c r="B60" s="43" t="s">
        <v>62</v>
      </c>
      <c r="C60" s="44">
        <f>SUM(C50:L50)/SUM(B66:K66)</f>
        <v>0.60119717460059141</v>
      </c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s="5" customFormat="1" ht="13.5" thickTop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s="5" customForma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s="5" customFormat="1">
      <c r="A63" s="3"/>
      <c r="B63" s="3"/>
      <c r="C63" s="3"/>
      <c r="D63" s="3"/>
      <c r="E63" s="3" t="s">
        <v>63</v>
      </c>
      <c r="F63" s="3"/>
      <c r="G63" s="3"/>
      <c r="H63" s="3"/>
      <c r="I63" s="3"/>
      <c r="J63" s="3"/>
      <c r="K63" s="3"/>
      <c r="L63" s="3"/>
      <c r="M63" s="3"/>
    </row>
    <row r="64" spans="1:13" s="5" customFormat="1">
      <c r="A64" s="3" t="s">
        <v>64</v>
      </c>
      <c r="B64" s="3"/>
      <c r="C64" s="28">
        <f>C4</f>
        <v>50000</v>
      </c>
      <c r="D64" s="28">
        <f t="shared" ref="D64:L64" si="9">(C64-C65)*D42</f>
        <v>40000</v>
      </c>
      <c r="E64" s="28">
        <f t="shared" si="9"/>
        <v>32000</v>
      </c>
      <c r="F64" s="28">
        <f t="shared" si="9"/>
        <v>25600</v>
      </c>
      <c r="G64" s="28">
        <f t="shared" si="9"/>
        <v>20480</v>
      </c>
      <c r="H64" s="28">
        <f t="shared" si="9"/>
        <v>16383.999999999996</v>
      </c>
      <c r="I64" s="28">
        <f t="shared" si="9"/>
        <v>13107.199999999993</v>
      </c>
      <c r="J64" s="28">
        <f t="shared" si="9"/>
        <v>10485.759999999991</v>
      </c>
      <c r="K64" s="28">
        <f t="shared" si="9"/>
        <v>9999.9999999999836</v>
      </c>
      <c r="L64" s="28">
        <f t="shared" si="9"/>
        <v>9999.9999999999836</v>
      </c>
      <c r="M64" s="3"/>
    </row>
    <row r="65" spans="1:13" s="5" customFormat="1">
      <c r="A65" s="3" t="s">
        <v>65</v>
      </c>
      <c r="B65" s="3"/>
      <c r="C65" s="28">
        <f>IF(C8=1,((C4-C7)/C6)*C42,(IF(C7&lt;C4*(1-2/C6)^(C27),C4*(1-2/C6)^(C27-1)*(2/C6)*C42,(IF(0&lt;(C4*(1-2/C6)^(C27-1))-C7,0,C4*C42*(1-2/C6)^(C27-1)-C7)))))</f>
        <v>10000</v>
      </c>
      <c r="D65" s="28">
        <f>IF(C8=1,((C4-C7)/C6)*D42,(IF(C7&lt;C4*(1-2/C6)^(D27),C4*(1-2/C6)^(D27-1)*(2/C6)*D42,(IF(0&lt;(C4*(1-2/C6)^(D27-1))-C7,0,C4*D42*(1-2/C6)^(D27-1)-C7)))))</f>
        <v>8000</v>
      </c>
      <c r="E65" s="28">
        <f>IF(C8=1,((C4-C7)/C6)*E42,(IF(C7&lt;C4*(1-2/C6)^(E27),C4*(1-2/C6)^(E27-1)*(2/C6)*E42,(IF(0&lt;(C4*(1-2/C6)^(E27-1))-C7,0,C4*E42*(1-2/C6)^(E27-1)-C7)))))</f>
        <v>6400.0000000000018</v>
      </c>
      <c r="F65" s="28">
        <f>IF(C8=1,((C4-C7)/C6)*F42,(IF(C7&lt;C4*(1-2/C6)^(F27),C4*(1-2/C6)^(F27-1)*(2/C6)*F42,(IF(0&gt;(C4*(1-2/C6)^(F27-1))-C7,0,C4*F42*(1-2/C6)^(F27-1)-C7)))))</f>
        <v>5120.0000000000018</v>
      </c>
      <c r="G65" s="28">
        <f>IF(C8=1,((C4-C7)/C6)*F42,(IF(C7&lt;C4*(1-2/C6)^(G27),C4*(1-2/C6)^(G27-1)*(2/C6)*G42,(IF(0&gt;(C4*(1-2/C6)^(G27-1))-C7,0,C4*G42*(1-2/C6)^(G27-1)-C7)))))</f>
        <v>4096.0000000000027</v>
      </c>
      <c r="H65" s="28">
        <f>IF(C8=1,((C4-C7)/C6)*H42,(IF(C7&lt;C4*(1-2/C6)^(H27),C4*(1-2/C6)^(H27-1)*(2/C6)*H42,(IF(0&gt;(C4*(1-2/C6)^(H27-1))-C7,0,C4*H42*(1-2/C6)^(H27-1)-C7)))))</f>
        <v>3276.8000000000025</v>
      </c>
      <c r="I65" s="28">
        <f>IF(C8=1,((C4-C7)/C6)*I42,(IF(C7&lt;C4*(1-2/C6)^(I27),C4*(1-2/C6)^(I27-1)*(2/C6)*I42,(IF(0&gt;(C4*(1-2/C6)^(I27-1))-C7,0,C4*I42*(1-2/C6)^(I27-1)-C7)))))</f>
        <v>2621.4400000000019</v>
      </c>
      <c r="J65" s="28">
        <f>IF(C8=1,((C4-C7)/C6)*J42,(IF(C7&lt;C4*(1-2/C6)^(J27),C4*(1-2/C6)^(J27-1)*(2/C6)*J42,(IF(0&gt;(C4*(1-2/C6)^(J27-1))-C7,0,C4*J42*(1-2/C6)^(J27-1)-C7)))))</f>
        <v>485.76000000000749</v>
      </c>
      <c r="K65" s="28">
        <f>IF(C8=1,((C4-C7)/C6)*K42,(IF(C7&lt;C4*(1-2/C6)^(K27),C4*(1-2/C6)^(K27-1)*(2/C6)*K42,(IF(0&gt;(C4*(1-2/C6)^(K27-1))-C7,0,C4*K42*(1-2/C6)^(K27-1)-C7)))))</f>
        <v>0</v>
      </c>
      <c r="L65" s="28">
        <f>IF(C8=1,((C4-C7)/C6)*L42,(IF(C7&lt;C4*(1-2/C6)^(L27),C4*(1-2/C6)^(L27-1)*(2/C6)*L42,(IF(0&gt;(C4*(1-2/C6)^(L27-1))-C7,0,C4*L42*(1-2/C6)^(L27-1)-C7)))))</f>
        <v>0</v>
      </c>
      <c r="M65" s="3"/>
    </row>
    <row r="66" spans="1:13" s="5" customFormat="1">
      <c r="A66" s="3" t="s">
        <v>66</v>
      </c>
      <c r="B66" s="28">
        <f>C4</f>
        <v>50000</v>
      </c>
      <c r="C66" s="28">
        <f>C64-C65</f>
        <v>40000</v>
      </c>
      <c r="D66" s="28">
        <f t="shared" ref="D66:L66" si="10">D64-D65</f>
        <v>32000</v>
      </c>
      <c r="E66" s="28">
        <f t="shared" si="10"/>
        <v>25600</v>
      </c>
      <c r="F66" s="28">
        <f t="shared" si="10"/>
        <v>20480</v>
      </c>
      <c r="G66" s="28">
        <f t="shared" si="10"/>
        <v>16383.999999999996</v>
      </c>
      <c r="H66" s="28">
        <f t="shared" si="10"/>
        <v>13107.199999999993</v>
      </c>
      <c r="I66" s="28">
        <f t="shared" si="10"/>
        <v>10485.759999999991</v>
      </c>
      <c r="J66" s="28">
        <f t="shared" si="10"/>
        <v>9999.9999999999836</v>
      </c>
      <c r="K66" s="28">
        <f t="shared" si="10"/>
        <v>9999.9999999999836</v>
      </c>
      <c r="L66" s="28">
        <f t="shared" si="10"/>
        <v>9999.9999999999836</v>
      </c>
      <c r="M66" s="3"/>
    </row>
    <row r="67" spans="1:13" s="5" customForma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s="5" customForma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s="5" customForma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s="5" customForma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5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5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5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</sheetData>
  <printOptions gridLinesSet="0"/>
  <pageMargins left="0.75" right="0.75" top="1" bottom="1" header="0.5" footer="0.5"/>
  <pageSetup firstPageNumber="5" orientation="landscape" useFirstPageNumber="1" verticalDpi="0" r:id="rId1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Budgeting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Arora</dc:creator>
  <dcterms:created xsi:type="dcterms:W3CDTF">2000-11-15T22:33:24Z</dcterms:created>
  <dcterms:modified xsi:type="dcterms:W3CDTF">2017-12-08T06:17:34Z</dcterms:modified>
</cp:coreProperties>
</file>