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xcel Files\"/>
    </mc:Choice>
  </mc:AlternateContent>
  <xr:revisionPtr revIDLastSave="0" documentId="10_ncr:8100000_{FA347CA5-A399-4203-986C-E4F57494F6DA}" xr6:coauthVersionLast="34" xr6:coauthVersionMax="34" xr10:uidLastSave="{00000000-0000-0000-0000-000000000000}"/>
  <bookViews>
    <workbookView xWindow="0" yWindow="0" windowWidth="20490" windowHeight="7020" tabRatio="461" activeTab="3" xr2:uid="{00000000-000D-0000-FFFF-FFFF00000000}"/>
  </bookViews>
  <sheets>
    <sheet name="Assumptions" sheetId="2" r:id="rId1"/>
    <sheet name="Revenue Projections" sheetId="1" r:id="rId2"/>
    <sheet name="Cost" sheetId="3" r:id="rId3"/>
    <sheet name="Income Statement" sheetId="4" r:id="rId4"/>
  </sheets>
  <externalReferences>
    <externalReference r:id="rId5"/>
  </externalReferences>
  <definedNames>
    <definedName name="days_total">[1]Assumptions!$D$8</definedName>
  </definedNames>
  <calcPr calcId="162913" iterate="1"/>
</workbook>
</file>

<file path=xl/calcChain.xml><?xml version="1.0" encoding="utf-8"?>
<calcChain xmlns="http://schemas.openxmlformats.org/spreadsheetml/2006/main">
  <c r="F23" i="3" l="1"/>
  <c r="G23" i="3" s="1"/>
  <c r="H23" i="3" s="1"/>
  <c r="J28" i="4" s="1"/>
  <c r="F29" i="4"/>
  <c r="D29" i="4"/>
  <c r="G28" i="4"/>
  <c r="F28" i="4"/>
  <c r="D28" i="4"/>
  <c r="G27" i="4"/>
  <c r="F27" i="4"/>
  <c r="D27" i="4"/>
  <c r="G26" i="4"/>
  <c r="F26" i="4"/>
  <c r="D26" i="4"/>
  <c r="J25" i="4"/>
  <c r="I25" i="4"/>
  <c r="H25" i="4"/>
  <c r="D25" i="4"/>
  <c r="F24" i="4"/>
  <c r="D24" i="4"/>
  <c r="G23" i="4"/>
  <c r="F23" i="4"/>
  <c r="D23" i="4"/>
  <c r="G22" i="4"/>
  <c r="F22" i="4"/>
  <c r="D22" i="4"/>
  <c r="F21" i="4"/>
  <c r="D21" i="4"/>
  <c r="G20" i="4"/>
  <c r="F20" i="4"/>
  <c r="G19" i="4"/>
  <c r="F19" i="4"/>
  <c r="F18" i="4"/>
  <c r="G17" i="4"/>
  <c r="F17" i="4"/>
  <c r="G16" i="4"/>
  <c r="F16" i="4"/>
  <c r="E22" i="3"/>
  <c r="E19" i="3"/>
  <c r="G24" i="4" s="1"/>
  <c r="D42" i="4"/>
  <c r="E16" i="3"/>
  <c r="G21" i="4" s="1"/>
  <c r="E15" i="3"/>
  <c r="E14" i="3"/>
  <c r="E12" i="3"/>
  <c r="E13" i="3"/>
  <c r="G18" i="4" s="1"/>
  <c r="D46" i="1"/>
  <c r="E44" i="1"/>
  <c r="F44" i="1" s="1"/>
  <c r="G44" i="1" s="1"/>
  <c r="H44" i="1" s="1"/>
  <c r="D49" i="1"/>
  <c r="D51" i="1" s="1"/>
  <c r="D47" i="1"/>
  <c r="D12" i="1" s="1"/>
  <c r="E46" i="1"/>
  <c r="E47" i="1" s="1"/>
  <c r="E49" i="1" s="1"/>
  <c r="J39" i="2"/>
  <c r="K39" i="2" s="1"/>
  <c r="L39" i="2" s="1"/>
  <c r="I39" i="2"/>
  <c r="E6" i="1"/>
  <c r="F6" i="1"/>
  <c r="G6" i="1" s="1"/>
  <c r="H6" i="1" s="1"/>
  <c r="F11" i="3"/>
  <c r="H16" i="4" s="1"/>
  <c r="G34" i="4"/>
  <c r="F34" i="4"/>
  <c r="F9" i="4"/>
  <c r="F5" i="4"/>
  <c r="D6" i="4"/>
  <c r="E4" i="4"/>
  <c r="D4" i="4"/>
  <c r="H28" i="4" l="1"/>
  <c r="F46" i="1"/>
  <c r="G46" i="1" s="1"/>
  <c r="H46" i="1" s="1"/>
  <c r="H47" i="1" s="1"/>
  <c r="H49" i="1" s="1"/>
  <c r="E12" i="1"/>
  <c r="D13" i="1"/>
  <c r="D19" i="1" s="1"/>
  <c r="D20" i="1" s="1"/>
  <c r="I28" i="4"/>
  <c r="D54" i="1"/>
  <c r="E51" i="1"/>
  <c r="E13" i="1" s="1"/>
  <c r="E10" i="1" s="1"/>
  <c r="G47" i="1"/>
  <c r="D10" i="1"/>
  <c r="D23" i="1"/>
  <c r="B45" i="2"/>
  <c r="F45" i="2"/>
  <c r="E45" i="2"/>
  <c r="D45" i="2"/>
  <c r="D44" i="2"/>
  <c r="E24" i="3"/>
  <c r="G29" i="4" s="1"/>
  <c r="F22" i="3"/>
  <c r="H27" i="4" s="1"/>
  <c r="F21" i="3"/>
  <c r="H26" i="4" s="1"/>
  <c r="F19" i="3"/>
  <c r="H24" i="4" s="1"/>
  <c r="F18" i="3"/>
  <c r="H23" i="4" s="1"/>
  <c r="F17" i="3"/>
  <c r="H22" i="4" s="1"/>
  <c r="Q40" i="2"/>
  <c r="P40" i="2"/>
  <c r="O40" i="2"/>
  <c r="R39" i="2"/>
  <c r="Q39" i="2"/>
  <c r="P39" i="2"/>
  <c r="O39" i="2"/>
  <c r="P38" i="2"/>
  <c r="Q38" i="2" s="1"/>
  <c r="R38" i="2" s="1"/>
  <c r="S38" i="2" s="1"/>
  <c r="T38" i="2" s="1"/>
  <c r="U38" i="2" s="1"/>
  <c r="V38" i="2" s="1"/>
  <c r="W38" i="2" s="1"/>
  <c r="F47" i="1" l="1"/>
  <c r="F12" i="1" s="1"/>
  <c r="E19" i="1"/>
  <c r="E20" i="1" s="1"/>
  <c r="H12" i="1"/>
  <c r="G49" i="1"/>
  <c r="G12" i="1"/>
  <c r="F49" i="1"/>
  <c r="G21" i="3"/>
  <c r="I26" i="4" s="1"/>
  <c r="F24" i="3"/>
  <c r="H29" i="4" s="1"/>
  <c r="F51" i="1"/>
  <c r="F13" i="1" s="1"/>
  <c r="E54" i="1"/>
  <c r="G19" i="3"/>
  <c r="I24" i="4" s="1"/>
  <c r="G18" i="3"/>
  <c r="I23" i="4" s="1"/>
  <c r="G17" i="3"/>
  <c r="I22" i="4" s="1"/>
  <c r="G22" i="3"/>
  <c r="I27" i="4" s="1"/>
  <c r="F15" i="3"/>
  <c r="H20" i="4" s="1"/>
  <c r="F14" i="3"/>
  <c r="H19" i="4" s="1"/>
  <c r="F13" i="3"/>
  <c r="H18" i="4" s="1"/>
  <c r="F12" i="3"/>
  <c r="H17" i="4" s="1"/>
  <c r="B15" i="3"/>
  <c r="D20" i="4" s="1"/>
  <c r="B14" i="3"/>
  <c r="D19" i="4" s="1"/>
  <c r="B13" i="3"/>
  <c r="D18" i="4" s="1"/>
  <c r="B12" i="3"/>
  <c r="D17" i="4" s="1"/>
  <c r="B11" i="3"/>
  <c r="D16" i="4" s="1"/>
  <c r="D8" i="3"/>
  <c r="E7" i="3"/>
  <c r="E8" i="3" s="1"/>
  <c r="E42" i="2"/>
  <c r="E38" i="2"/>
  <c r="C17" i="2"/>
  <c r="D7" i="1"/>
  <c r="F6" i="4" s="1"/>
  <c r="C35" i="2"/>
  <c r="F38" i="2" l="1"/>
  <c r="E44" i="2"/>
  <c r="F10" i="1"/>
  <c r="F19" i="1"/>
  <c r="F20" i="1" s="1"/>
  <c r="G24" i="3"/>
  <c r="I29" i="4" s="1"/>
  <c r="H21" i="3"/>
  <c r="J26" i="4" s="1"/>
  <c r="G15" i="3"/>
  <c r="I20" i="4" s="1"/>
  <c r="G13" i="3"/>
  <c r="I18" i="4" s="1"/>
  <c r="F54" i="1"/>
  <c r="G51" i="1"/>
  <c r="G13" i="1" s="1"/>
  <c r="E7" i="1"/>
  <c r="G6" i="4" s="1"/>
  <c r="G5" i="4"/>
  <c r="H19" i="3"/>
  <c r="J24" i="4" s="1"/>
  <c r="H18" i="3"/>
  <c r="J23" i="4" s="1"/>
  <c r="H17" i="3"/>
  <c r="J22" i="4" s="1"/>
  <c r="G14" i="3"/>
  <c r="I19" i="4" s="1"/>
  <c r="H34" i="4"/>
  <c r="H22" i="3"/>
  <c r="J27" i="4" s="1"/>
  <c r="D33" i="3"/>
  <c r="G12" i="3"/>
  <c r="F16" i="3"/>
  <c r="H21" i="4" s="1"/>
  <c r="S39" i="2"/>
  <c r="F7" i="3"/>
  <c r="H5" i="4"/>
  <c r="G40" i="2"/>
  <c r="G45" i="2" s="1"/>
  <c r="G38" i="2" l="1"/>
  <c r="F44" i="2"/>
  <c r="H12" i="3"/>
  <c r="J17" i="4" s="1"/>
  <c r="I17" i="4"/>
  <c r="G19" i="1"/>
  <c r="G20" i="1" s="1"/>
  <c r="G10" i="1"/>
  <c r="H24" i="3"/>
  <c r="J29" i="4" s="1"/>
  <c r="H15" i="3"/>
  <c r="J20" i="4" s="1"/>
  <c r="H13" i="3"/>
  <c r="J18" i="4" s="1"/>
  <c r="H51" i="1"/>
  <c r="G54" i="1"/>
  <c r="H14" i="3"/>
  <c r="I34" i="4"/>
  <c r="F31" i="3"/>
  <c r="H31" i="4"/>
  <c r="G16" i="3"/>
  <c r="I21" i="4" s="1"/>
  <c r="G11" i="3"/>
  <c r="I16" i="4" s="1"/>
  <c r="T39" i="2"/>
  <c r="H40" i="2"/>
  <c r="H45" i="2" s="1"/>
  <c r="R40" i="2"/>
  <c r="F8" i="3"/>
  <c r="G7" i="3"/>
  <c r="F7" i="1"/>
  <c r="H6" i="4" s="1"/>
  <c r="I5" i="4"/>
  <c r="H38" i="2" l="1"/>
  <c r="G44" i="2"/>
  <c r="J34" i="4"/>
  <c r="J19" i="4"/>
  <c r="H54" i="1"/>
  <c r="H13" i="1"/>
  <c r="F55" i="1"/>
  <c r="F57" i="1" s="1"/>
  <c r="G31" i="3"/>
  <c r="I31" i="4"/>
  <c r="H16" i="3"/>
  <c r="J21" i="4" s="1"/>
  <c r="H11" i="3"/>
  <c r="J16" i="4" s="1"/>
  <c r="I40" i="2"/>
  <c r="I45" i="2" s="1"/>
  <c r="S40" i="2"/>
  <c r="U39" i="2"/>
  <c r="G8" i="3"/>
  <c r="H7" i="3"/>
  <c r="H8" i="3" s="1"/>
  <c r="G7" i="1"/>
  <c r="I6" i="4" s="1"/>
  <c r="H44" i="2" l="1"/>
  <c r="I38" i="2"/>
  <c r="H19" i="1"/>
  <c r="H20" i="1" s="1"/>
  <c r="H10" i="1"/>
  <c r="G55" i="1"/>
  <c r="G57" i="1" s="1"/>
  <c r="H7" i="1"/>
  <c r="J6" i="4" s="1"/>
  <c r="J5" i="4"/>
  <c r="J31" i="4"/>
  <c r="H31" i="3"/>
  <c r="D16" i="1"/>
  <c r="F12" i="4" s="1"/>
  <c r="J40" i="2"/>
  <c r="J45" i="2" s="1"/>
  <c r="E23" i="1"/>
  <c r="T40" i="2"/>
  <c r="W39" i="2"/>
  <c r="V39" i="2"/>
  <c r="J38" i="2" l="1"/>
  <c r="I44" i="2"/>
  <c r="H55" i="1"/>
  <c r="H57" i="1" s="1"/>
  <c r="K40" i="2"/>
  <c r="K45" i="2" s="1"/>
  <c r="U40" i="2"/>
  <c r="G9" i="4"/>
  <c r="E16" i="1"/>
  <c r="G8" i="4" s="1"/>
  <c r="K38" i="2" l="1"/>
  <c r="J44" i="2"/>
  <c r="G12" i="4"/>
  <c r="F23" i="1"/>
  <c r="H9" i="4" s="1"/>
  <c r="F16" i="1"/>
  <c r="H8" i="4" s="1"/>
  <c r="L40" i="2"/>
  <c r="L45" i="2" s="1"/>
  <c r="V40" i="2"/>
  <c r="L38" i="2" l="1"/>
  <c r="L44" i="2" s="1"/>
  <c r="K44" i="2"/>
  <c r="H12" i="4"/>
  <c r="H33" i="4" s="1"/>
  <c r="H35" i="4" s="1"/>
  <c r="H37" i="4" s="1"/>
  <c r="H38" i="4" s="1"/>
  <c r="H39" i="4" s="1"/>
  <c r="H42" i="4" s="1"/>
  <c r="W40" i="2"/>
  <c r="G23" i="1"/>
  <c r="I9" i="4" s="1"/>
  <c r="G16" i="1"/>
  <c r="I8" i="4" s="1"/>
  <c r="I12" i="4" l="1"/>
  <c r="I33" i="4" s="1"/>
  <c r="I35" i="4" s="1"/>
  <c r="I37" i="4" s="1"/>
  <c r="I38" i="4" s="1"/>
  <c r="I39" i="4" s="1"/>
  <c r="I42" i="4" s="1"/>
  <c r="H23" i="1"/>
  <c r="J9" i="4" s="1"/>
  <c r="H16" i="1"/>
  <c r="J8" i="4" s="1"/>
  <c r="J12" i="4" l="1"/>
  <c r="J33" i="4" s="1"/>
  <c r="J35" i="4" s="1"/>
  <c r="J37" i="4" s="1"/>
  <c r="J38" i="4" l="1"/>
  <c r="J39" i="4" s="1"/>
  <c r="J42" i="4" s="1"/>
  <c r="D20" i="3"/>
  <c r="E20" i="3"/>
  <c r="D31" i="3"/>
  <c r="E31" i="3"/>
  <c r="D35" i="3"/>
  <c r="F25" i="4"/>
  <c r="G25" i="4"/>
  <c r="F31" i="4"/>
  <c r="G31" i="4"/>
  <c r="F33" i="4"/>
  <c r="G33" i="4"/>
  <c r="F35" i="4"/>
  <c r="G35" i="4"/>
  <c r="F37" i="4"/>
  <c r="G37" i="4"/>
  <c r="F38" i="4"/>
  <c r="G38" i="4"/>
  <c r="F39" i="4"/>
  <c r="G39" i="4"/>
  <c r="F42" i="4"/>
  <c r="G42" i="4"/>
  <c r="F46" i="4"/>
  <c r="D55" i="1"/>
  <c r="E55" i="1"/>
  <c r="D57" i="1"/>
  <c r="E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Less than the literate population of delhi</t>
        </r>
      </text>
    </comment>
    <comment ref="E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Less than the literate population of delhi</t>
        </r>
      </text>
    </comment>
    <comment ref="F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Less than the literate population of delhi</t>
        </r>
      </text>
    </comment>
    <comment ref="G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Less than the literate population of delhi</t>
        </r>
      </text>
    </comment>
    <comment ref="H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Less than the literate population of delhi</t>
        </r>
      </text>
    </comment>
    <comment ref="D2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<sst xmlns="http://schemas.openxmlformats.org/spreadsheetml/2006/main" count="80" uniqueCount="69">
  <si>
    <t>Operational Days</t>
  </si>
  <si>
    <t>Start Date of Operations</t>
  </si>
  <si>
    <t>General Assumptions</t>
  </si>
  <si>
    <t>1 Million</t>
  </si>
  <si>
    <t>1 year</t>
  </si>
  <si>
    <t xml:space="preserve">Capex </t>
  </si>
  <si>
    <t>Product Development</t>
  </si>
  <si>
    <t>Research and Development</t>
  </si>
  <si>
    <t xml:space="preserve">Revenue </t>
  </si>
  <si>
    <t>Commission Based</t>
  </si>
  <si>
    <t>Professional Charges</t>
  </si>
  <si>
    <t>Subscription</t>
  </si>
  <si>
    <t>Advertising</t>
  </si>
  <si>
    <t>5-25%</t>
  </si>
  <si>
    <t>Sales and Marketing</t>
  </si>
  <si>
    <t>General and Administrative</t>
  </si>
  <si>
    <t>Depreciation and Amortisation</t>
  </si>
  <si>
    <t>Promotional discounts</t>
  </si>
  <si>
    <t>Staff Welfare expenses</t>
  </si>
  <si>
    <t>Expenses</t>
  </si>
  <si>
    <t>TOTAL</t>
  </si>
  <si>
    <t>Number of Customers Targeted</t>
  </si>
  <si>
    <t>Number of Clients made</t>
  </si>
  <si>
    <t xml:space="preserve">Top down approach </t>
  </si>
  <si>
    <t>Indian Online Services Industry</t>
  </si>
  <si>
    <t xml:space="preserve">Orders per month </t>
  </si>
  <si>
    <t>CAGR</t>
  </si>
  <si>
    <t xml:space="preserve">                                      ESTIMATED</t>
  </si>
  <si>
    <t>CAGR of Indian Services Industry</t>
  </si>
  <si>
    <t>Rupees</t>
  </si>
  <si>
    <t xml:space="preserve">Average </t>
  </si>
  <si>
    <t>REVENUES FROM CLIENTS</t>
  </si>
  <si>
    <t>REVENUES FROM SUBSCRIPTIONS</t>
  </si>
  <si>
    <t>Average</t>
  </si>
  <si>
    <t>TOTAL EXPENSES</t>
  </si>
  <si>
    <t>Customer Retention</t>
  </si>
  <si>
    <t>Travelling expenses</t>
  </si>
  <si>
    <t>Communication expenses</t>
  </si>
  <si>
    <t>Electricity expenses</t>
  </si>
  <si>
    <t>Payment Gateway charges</t>
  </si>
  <si>
    <t>Bank charges</t>
  </si>
  <si>
    <t>Payment to auditors</t>
  </si>
  <si>
    <t>Rent</t>
  </si>
  <si>
    <t>Computers, Office Furniture</t>
  </si>
  <si>
    <t>CAPITAL EXPENDITURE</t>
  </si>
  <si>
    <t>SEED FUNDING REQUIRED</t>
  </si>
  <si>
    <t>COMMISSION REVENUES</t>
  </si>
  <si>
    <t>TOTAL REVENUES</t>
  </si>
  <si>
    <t>Less: Cost</t>
  </si>
  <si>
    <t>EBITDA</t>
  </si>
  <si>
    <t>Less: Depreciation and Amortization</t>
  </si>
  <si>
    <t>EBIT</t>
  </si>
  <si>
    <t xml:space="preserve">Less: Interest </t>
  </si>
  <si>
    <t>EBT</t>
  </si>
  <si>
    <t>Less: tax (30%)</t>
  </si>
  <si>
    <t>PAT</t>
  </si>
  <si>
    <t>Salaries</t>
  </si>
  <si>
    <t>Delhi</t>
  </si>
  <si>
    <t>Kolkata</t>
  </si>
  <si>
    <t>Mumbai</t>
  </si>
  <si>
    <t>Bangalore</t>
  </si>
  <si>
    <t>Gurgaon</t>
  </si>
  <si>
    <t>Chennai</t>
  </si>
  <si>
    <t>Hyderabad</t>
  </si>
  <si>
    <t>POPULATION DATABASE</t>
  </si>
  <si>
    <t>IN NUMBERS</t>
  </si>
  <si>
    <t>Chandigarh</t>
  </si>
  <si>
    <t>SEED FUNDING</t>
  </si>
  <si>
    <t xml:space="preserve">            FINANCIAL MODELING CASE STUDY : EVENT MANAGEMENT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</si>
</sst>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5" fontId="0" fillId="0" borderId="0" xfId="0" applyNumberFormat="1"/>
    <xf numFmtId="43" fontId="0" fillId="0" borderId="0" xfId="1" applyFont="1"/>
    <xf numFmtId="165" fontId="0" fillId="0" borderId="0" xfId="1" applyNumberFormat="1" applyFont="1"/>
    <xf numFmtId="0" fontId="2" fillId="0" borderId="0" xfId="0" applyFont="1"/>
    <xf numFmtId="0" fontId="0" fillId="5" borderId="0" xfId="0" applyFill="1"/>
    <xf numFmtId="0" fontId="0" fillId="7" borderId="0" xfId="0" applyFill="1"/>
    <xf numFmtId="3" fontId="0" fillId="7" borderId="0" xfId="0" applyNumberFormat="1" applyFill="1"/>
    <xf numFmtId="0" fontId="0" fillId="3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2" borderId="0" xfId="0" applyFill="1" applyBorder="1"/>
    <xf numFmtId="15" fontId="9" fillId="8" borderId="0" xfId="0" applyNumberFormat="1" applyFont="1" applyFill="1"/>
    <xf numFmtId="0" fontId="10" fillId="6" borderId="0" xfId="0" applyFont="1" applyFill="1"/>
    <xf numFmtId="0" fontId="0" fillId="0" borderId="1" xfId="0" applyBorder="1" applyAlignment="1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2" borderId="0" xfId="0" applyFill="1"/>
    <xf numFmtId="10" fontId="10" fillId="6" borderId="0" xfId="0" applyNumberFormat="1" applyFont="1" applyFill="1"/>
    <xf numFmtId="0" fontId="11" fillId="9" borderId="0" xfId="0" applyFont="1" applyFill="1" applyAlignment="1">
      <alignment wrapText="1"/>
    </xf>
    <xf numFmtId="10" fontId="11" fillId="9" borderId="0" xfId="0" applyNumberFormat="1" applyFont="1" applyFill="1"/>
    <xf numFmtId="43" fontId="0" fillId="0" borderId="0" xfId="0" applyNumberFormat="1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2" fillId="10" borderId="0" xfId="0" applyFont="1" applyFill="1"/>
    <xf numFmtId="1" fontId="0" fillId="0" borderId="0" xfId="0" applyNumberFormat="1"/>
    <xf numFmtId="1" fontId="2" fillId="0" borderId="0" xfId="0" applyNumberFormat="1" applyFont="1"/>
    <xf numFmtId="0" fontId="2" fillId="9" borderId="0" xfId="0" applyFont="1" applyFill="1"/>
    <xf numFmtId="164" fontId="2" fillId="9" borderId="0" xfId="0" applyNumberFormat="1" applyFont="1" applyFill="1"/>
    <xf numFmtId="164" fontId="12" fillId="8" borderId="0" xfId="0" applyNumberFormat="1" applyFont="1" applyFill="1"/>
    <xf numFmtId="0" fontId="12" fillId="11" borderId="0" xfId="0" applyFont="1" applyFill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13" fillId="0" borderId="1" xfId="0" applyFont="1" applyBorder="1"/>
    <xf numFmtId="1" fontId="0" fillId="0" borderId="1" xfId="0" applyNumberFormat="1" applyBorder="1"/>
    <xf numFmtId="0" fontId="0" fillId="0" borderId="0" xfId="0" applyBorder="1"/>
    <xf numFmtId="15" fontId="14" fillId="0" borderId="0" xfId="0" applyNumberFormat="1" applyFont="1" applyBorder="1"/>
    <xf numFmtId="164" fontId="14" fillId="0" borderId="0" xfId="0" applyNumberFormat="1" applyFont="1"/>
    <xf numFmtId="0" fontId="0" fillId="0" borderId="1" xfId="0" applyFill="1" applyBorder="1"/>
    <xf numFmtId="0" fontId="0" fillId="0" borderId="0" xfId="0" applyFont="1"/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7" fillId="6" borderId="0" xfId="0" applyFont="1" applyFill="1" applyAlignment="1"/>
    <xf numFmtId="0" fontId="8" fillId="6" borderId="0" xfId="0" applyFont="1" applyFill="1" applyAlignment="1"/>
    <xf numFmtId="0" fontId="0" fillId="6" borderId="0" xfId="0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FUNDING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Assumptions!$B$15:$B$16</c:f>
              <c:strCache>
                <c:ptCount val="2"/>
                <c:pt idx="0">
                  <c:v>Computers, Office Furniture</c:v>
                </c:pt>
                <c:pt idx="1">
                  <c:v>Product Development</c:v>
                </c:pt>
              </c:strCache>
            </c:strRef>
          </c:cat>
          <c:val>
            <c:numRef>
              <c:f>Assumptions!$C$15:$C$16</c:f>
              <c:numCache>
                <c:formatCode>General</c:formatCode>
                <c:ptCount val="2"/>
                <c:pt idx="0">
                  <c:v>3000000</c:v>
                </c:pt>
                <c:pt idx="1">
                  <c:v>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2-45B5-BE93-8E07B62E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59808"/>
        <c:axId val="126361600"/>
      </c:barChart>
      <c:catAx>
        <c:axId val="12635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361600"/>
        <c:crosses val="autoZero"/>
        <c:auto val="1"/>
        <c:lblAlgn val="ctr"/>
        <c:lblOffset val="100"/>
        <c:noMultiLvlLbl val="0"/>
      </c:catAx>
      <c:valAx>
        <c:axId val="126361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359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AFTER TAX (PAT)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'Income Statement'!$D$42:$E$42</c:f>
              <c:strCache>
                <c:ptCount val="2"/>
                <c:pt idx="0">
                  <c:v>PAT</c:v>
                </c:pt>
              </c:strCache>
            </c:strRef>
          </c:tx>
          <c:marker>
            <c:symbol val="none"/>
          </c:marker>
          <c:cat>
            <c:numRef>
              <c:f>'Income Statement'!$F$41:$J$41</c:f>
              <c:numCache>
                <c:formatCode>[$-409]d\-mmm\-yy;@</c:formatCode>
                <c:ptCount val="5"/>
              </c:numCache>
            </c:numRef>
          </c:cat>
          <c:val>
            <c:numRef>
              <c:f>'Income Statement'!$F$42:$J$42</c:f>
              <c:numCache>
                <c:formatCode>_(* #,##0_);_(* \(#,##0\);_(* "-"??_);_(@_)</c:formatCode>
                <c:ptCount val="5"/>
                <c:pt idx="0">
                  <c:v>-17175000</c:v>
                </c:pt>
                <c:pt idx="1">
                  <c:v>16213454.130692003</c:v>
                </c:pt>
                <c:pt idx="2">
                  <c:v>36176306.315799385</c:v>
                </c:pt>
                <c:pt idx="3">
                  <c:v>56397450.255276978</c:v>
                </c:pt>
                <c:pt idx="4">
                  <c:v>76527749.137633532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D-4797-93CE-0DA16FB4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04992"/>
        <c:axId val="127705088"/>
      </c:lineChart>
      <c:catAx>
        <c:axId val="127604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127705088"/>
        <c:crosses val="autoZero"/>
        <c:auto val="1"/>
        <c:lblAlgn val="ctr"/>
        <c:lblOffset val="100"/>
        <c:noMultiLvlLbl val="0"/>
      </c:catAx>
      <c:valAx>
        <c:axId val="12770508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276049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10</xdr:row>
      <xdr:rowOff>23813</xdr:rowOff>
    </xdr:from>
    <xdr:to>
      <xdr:col>14</xdr:col>
      <xdr:colOff>190500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20</xdr:row>
      <xdr:rowOff>119062</xdr:rowOff>
    </xdr:from>
    <xdr:to>
      <xdr:col>22</xdr:col>
      <xdr:colOff>47625</xdr:colOff>
      <xdr:row>37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yal%20Hotel%20Shee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Revenue Projections"/>
      <sheetName val="IS"/>
      <sheetName val="CFS"/>
      <sheetName val="FA Schedule"/>
      <sheetName val="BS"/>
      <sheetName val="Debt Schedule"/>
      <sheetName val="Capex Schedule"/>
      <sheetName val="Output Sheet"/>
      <sheetName val="Share of land provider schedule"/>
    </sheetNames>
    <sheetDataSet>
      <sheetData sheetId="0">
        <row r="8">
          <cell r="D8">
            <v>365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opLeftCell="B23" zoomScale="80" zoomScaleNormal="80" workbookViewId="0">
      <selection activeCell="E6" sqref="E6"/>
    </sheetView>
  </sheetViews>
  <sheetFormatPr defaultRowHeight="15" x14ac:dyDescent="0.25"/>
  <cols>
    <col min="2" max="2" width="32.28515625" bestFit="1" customWidth="1"/>
    <col min="3" max="3" width="10.28515625" customWidth="1"/>
    <col min="4" max="6" width="9.28515625" bestFit="1" customWidth="1"/>
    <col min="7" max="7" width="10.28515625" bestFit="1" customWidth="1"/>
    <col min="8" max="10" width="10.85546875" bestFit="1" customWidth="1"/>
    <col min="11" max="12" width="12" bestFit="1" customWidth="1"/>
    <col min="15" max="16" width="9.85546875" customWidth="1"/>
    <col min="17" max="17" width="9.85546875" bestFit="1" customWidth="1"/>
    <col min="18" max="18" width="10.85546875" customWidth="1"/>
    <col min="19" max="23" width="13" bestFit="1" customWidth="1"/>
  </cols>
  <sheetData>
    <row r="1" spans="1:10" ht="26.25" x14ac:dyDescent="0.4">
      <c r="A1" s="51" t="s">
        <v>68</v>
      </c>
      <c r="B1" s="52"/>
      <c r="C1" s="52"/>
      <c r="D1" s="53"/>
      <c r="E1" s="53"/>
      <c r="F1" s="53"/>
      <c r="G1" s="53"/>
      <c r="H1" s="53"/>
      <c r="I1" s="50"/>
      <c r="J1" s="50"/>
    </row>
    <row r="5" spans="1:10" x14ac:dyDescent="0.25">
      <c r="B5" s="9" t="s">
        <v>1</v>
      </c>
      <c r="C5" s="17">
        <v>43191</v>
      </c>
    </row>
    <row r="8" spans="1:10" x14ac:dyDescent="0.25">
      <c r="A8">
        <v>1</v>
      </c>
      <c r="B8" s="9" t="s">
        <v>2</v>
      </c>
    </row>
    <row r="10" spans="1:10" x14ac:dyDescent="0.25">
      <c r="B10" s="10" t="s">
        <v>3</v>
      </c>
      <c r="C10" s="10">
        <v>1000000</v>
      </c>
    </row>
    <row r="11" spans="1:10" x14ac:dyDescent="0.25">
      <c r="B11" s="10" t="s">
        <v>4</v>
      </c>
      <c r="C11" s="10">
        <v>365</v>
      </c>
    </row>
    <row r="13" spans="1:10" x14ac:dyDescent="0.25">
      <c r="A13">
        <v>2</v>
      </c>
      <c r="B13" s="9" t="s">
        <v>5</v>
      </c>
    </row>
    <row r="15" spans="1:10" x14ac:dyDescent="0.25">
      <c r="B15" s="5" t="s">
        <v>43</v>
      </c>
      <c r="C15" s="5">
        <v>3000000</v>
      </c>
    </row>
    <row r="16" spans="1:10" x14ac:dyDescent="0.25">
      <c r="B16" s="5" t="s">
        <v>6</v>
      </c>
      <c r="C16" s="5">
        <v>3500000</v>
      </c>
    </row>
    <row r="17" spans="1:6" x14ac:dyDescent="0.25">
      <c r="B17" s="15" t="s">
        <v>20</v>
      </c>
      <c r="C17" s="15">
        <f>SUM(C15:C16)</f>
        <v>6500000</v>
      </c>
    </row>
    <row r="18" spans="1:6" x14ac:dyDescent="0.25">
      <c r="B18" s="16"/>
      <c r="C18" s="16"/>
    </row>
    <row r="19" spans="1:6" x14ac:dyDescent="0.25">
      <c r="A19">
        <v>3</v>
      </c>
      <c r="B19" s="9" t="s">
        <v>8</v>
      </c>
    </row>
    <row r="21" spans="1:6" x14ac:dyDescent="0.25">
      <c r="B21" s="11" t="s">
        <v>9</v>
      </c>
      <c r="C21" s="48" t="s">
        <v>13</v>
      </c>
      <c r="D21" s="48"/>
      <c r="E21" s="48"/>
    </row>
    <row r="22" spans="1:6" x14ac:dyDescent="0.25">
      <c r="B22" s="11" t="s">
        <v>10</v>
      </c>
      <c r="C22" s="12">
        <v>10000</v>
      </c>
      <c r="D22" s="12">
        <v>50000</v>
      </c>
      <c r="E22" s="11">
        <v>100000</v>
      </c>
      <c r="F22" s="49" t="s">
        <v>29</v>
      </c>
    </row>
    <row r="23" spans="1:6" x14ac:dyDescent="0.25">
      <c r="B23" s="11" t="s">
        <v>11</v>
      </c>
      <c r="C23" s="11">
        <v>5000</v>
      </c>
      <c r="D23" s="11">
        <v>7000</v>
      </c>
      <c r="E23" s="11">
        <v>10000</v>
      </c>
      <c r="F23" s="49"/>
    </row>
    <row r="24" spans="1:6" x14ac:dyDescent="0.25">
      <c r="B24" s="11" t="s">
        <v>12</v>
      </c>
      <c r="C24" s="11"/>
      <c r="D24" s="11"/>
      <c r="E24" s="11"/>
    </row>
    <row r="25" spans="1:6" x14ac:dyDescent="0.25">
      <c r="B25" s="14" t="s">
        <v>20</v>
      </c>
      <c r="C25" s="14"/>
      <c r="D25" s="14"/>
      <c r="E25" s="14"/>
    </row>
    <row r="27" spans="1:6" x14ac:dyDescent="0.25">
      <c r="A27">
        <v>4</v>
      </c>
      <c r="B27" s="9" t="s">
        <v>19</v>
      </c>
    </row>
    <row r="29" spans="1:6" x14ac:dyDescent="0.25">
      <c r="B29" s="4" t="s">
        <v>14</v>
      </c>
      <c r="C29" s="4">
        <v>3000000</v>
      </c>
    </row>
    <row r="30" spans="1:6" x14ac:dyDescent="0.25">
      <c r="B30" s="4" t="s">
        <v>6</v>
      </c>
      <c r="C30" s="4">
        <v>100000</v>
      </c>
    </row>
    <row r="31" spans="1:6" x14ac:dyDescent="0.25">
      <c r="B31" s="4" t="s">
        <v>15</v>
      </c>
      <c r="C31" s="4">
        <v>100000</v>
      </c>
    </row>
    <row r="32" spans="1:6" x14ac:dyDescent="0.25">
      <c r="B32" s="4" t="s">
        <v>16</v>
      </c>
      <c r="C32" s="4">
        <v>800000</v>
      </c>
    </row>
    <row r="33" spans="1:23" x14ac:dyDescent="0.25">
      <c r="B33" s="4" t="s">
        <v>17</v>
      </c>
      <c r="C33" s="4">
        <v>100000</v>
      </c>
    </row>
    <row r="34" spans="1:23" x14ac:dyDescent="0.25">
      <c r="B34" s="4" t="s">
        <v>18</v>
      </c>
      <c r="C34" s="4">
        <v>4000000</v>
      </c>
    </row>
    <row r="35" spans="1:23" x14ac:dyDescent="0.25">
      <c r="B35" s="13" t="s">
        <v>20</v>
      </c>
      <c r="C35" s="13">
        <f>SUM(C29:C34)</f>
        <v>8100000</v>
      </c>
    </row>
    <row r="36" spans="1:23" x14ac:dyDescent="0.25">
      <c r="N36">
        <v>1000000</v>
      </c>
    </row>
    <row r="37" spans="1:23" x14ac:dyDescent="0.25">
      <c r="A37">
        <v>5</v>
      </c>
      <c r="B37" s="16" t="s">
        <v>23</v>
      </c>
      <c r="G37" s="19" t="s">
        <v>27</v>
      </c>
      <c r="H37" s="21"/>
      <c r="I37" s="22"/>
      <c r="J37" s="22"/>
      <c r="K37" s="22"/>
      <c r="L37" s="23"/>
    </row>
    <row r="38" spans="1:23" x14ac:dyDescent="0.25">
      <c r="B38" s="24"/>
      <c r="D38">
        <v>2014</v>
      </c>
      <c r="E38">
        <f>D38+1</f>
        <v>2015</v>
      </c>
      <c r="F38">
        <f t="shared" ref="F38" si="0">E38+1</f>
        <v>2016</v>
      </c>
      <c r="G38" s="20">
        <f>F38+1</f>
        <v>2017</v>
      </c>
      <c r="H38" s="20">
        <f>G38+1</f>
        <v>2018</v>
      </c>
      <c r="I38" s="20">
        <f t="shared" ref="I38:L38" si="1">H38+1</f>
        <v>2019</v>
      </c>
      <c r="J38" s="20">
        <f t="shared" si="1"/>
        <v>2020</v>
      </c>
      <c r="K38" s="20">
        <f t="shared" si="1"/>
        <v>2021</v>
      </c>
      <c r="L38" s="20">
        <f t="shared" si="1"/>
        <v>2022</v>
      </c>
      <c r="O38">
        <v>2014</v>
      </c>
      <c r="P38">
        <f>O38+1</f>
        <v>2015</v>
      </c>
      <c r="Q38">
        <f t="shared" ref="Q38" si="2">P38+1</f>
        <v>2016</v>
      </c>
      <c r="R38" s="20">
        <f>Q38+1</f>
        <v>2017</v>
      </c>
      <c r="S38" s="20">
        <f>R38+1</f>
        <v>2018</v>
      </c>
      <c r="T38" s="20">
        <f t="shared" ref="T38" si="3">S38+1</f>
        <v>2019</v>
      </c>
      <c r="U38" s="20">
        <f t="shared" ref="U38" si="4">T38+1</f>
        <v>2020</v>
      </c>
      <c r="V38" s="20">
        <f t="shared" ref="V38" si="5">U38+1</f>
        <v>2021</v>
      </c>
      <c r="W38" s="20">
        <f t="shared" ref="W38" si="6">V38+1</f>
        <v>2022</v>
      </c>
    </row>
    <row r="39" spans="1:23" x14ac:dyDescent="0.25">
      <c r="B39" s="16" t="s">
        <v>24</v>
      </c>
      <c r="D39" s="33">
        <v>455000</v>
      </c>
      <c r="E39" s="33">
        <v>845000</v>
      </c>
      <c r="F39" s="33">
        <v>975000</v>
      </c>
      <c r="G39" s="34">
        <v>1105000</v>
      </c>
      <c r="H39" s="34">
        <v>710000000</v>
      </c>
      <c r="I39" s="34">
        <f>H39*(1+$H$41)</f>
        <v>717100000</v>
      </c>
      <c r="J39" s="34">
        <f t="shared" ref="J39:L39" si="7">I39*(1+$H$41)</f>
        <v>724271000</v>
      </c>
      <c r="K39" s="34">
        <f t="shared" si="7"/>
        <v>731513710</v>
      </c>
      <c r="L39" s="34">
        <f t="shared" si="7"/>
        <v>738828847.10000002</v>
      </c>
      <c r="O39">
        <f>$N$36*D39</f>
        <v>455000000000</v>
      </c>
      <c r="P39">
        <f t="shared" ref="P39:P40" si="8">$N$36*E39</f>
        <v>845000000000</v>
      </c>
      <c r="Q39">
        <f t="shared" ref="Q39:Q40" si="9">$N$36*F39</f>
        <v>975000000000</v>
      </c>
      <c r="R39">
        <f t="shared" ref="R39:R40" si="10">$N$36*G39</f>
        <v>1105000000000</v>
      </c>
      <c r="S39">
        <f t="shared" ref="S39:S40" si="11">$N$36*H39</f>
        <v>710000000000000</v>
      </c>
      <c r="T39">
        <f t="shared" ref="T39:T40" si="12">$N$36*I39</f>
        <v>717100000000000</v>
      </c>
      <c r="U39">
        <f t="shared" ref="U39:U40" si="13">$N$36*J39</f>
        <v>724271000000000</v>
      </c>
      <c r="V39">
        <f t="shared" ref="V39:V40" si="14">$N$36*K39</f>
        <v>731513710000000</v>
      </c>
      <c r="W39">
        <f t="shared" ref="W39:W40" si="15">$N$36*L39</f>
        <v>738828847100000</v>
      </c>
    </row>
    <row r="40" spans="1:23" x14ac:dyDescent="0.25">
      <c r="B40" t="s">
        <v>25</v>
      </c>
      <c r="D40" s="33">
        <v>7</v>
      </c>
      <c r="E40" s="33">
        <v>9</v>
      </c>
      <c r="F40" s="33">
        <v>12</v>
      </c>
      <c r="G40" s="34">
        <f>F40*(1+$E$42)</f>
        <v>14.36180353412581</v>
      </c>
      <c r="H40" s="34">
        <f t="shared" ref="H40:L40" si="16">G40*(1+$E$42)</f>
        <v>17.188450062735718</v>
      </c>
      <c r="I40" s="34">
        <f t="shared" si="16"/>
        <v>20.571428571428569</v>
      </c>
      <c r="J40" s="34">
        <f t="shared" si="16"/>
        <v>24.620234629929957</v>
      </c>
      <c r="K40" s="34">
        <f t="shared" si="16"/>
        <v>29.465914393261226</v>
      </c>
      <c r="L40" s="34">
        <f t="shared" si="16"/>
        <v>35.265306122448969</v>
      </c>
      <c r="O40">
        <f t="shared" ref="O40" si="17">$N$36*D40</f>
        <v>7000000</v>
      </c>
      <c r="P40">
        <f t="shared" si="8"/>
        <v>9000000</v>
      </c>
      <c r="Q40">
        <f t="shared" si="9"/>
        <v>12000000</v>
      </c>
      <c r="R40">
        <f t="shared" si="10"/>
        <v>14361803.53412581</v>
      </c>
      <c r="S40">
        <f t="shared" si="11"/>
        <v>17188450.062735718</v>
      </c>
      <c r="T40">
        <f t="shared" si="12"/>
        <v>20571428.571428571</v>
      </c>
      <c r="U40">
        <f t="shared" si="13"/>
        <v>24620234.629929956</v>
      </c>
      <c r="V40">
        <f t="shared" si="14"/>
        <v>29465914.393261228</v>
      </c>
      <c r="W40">
        <f t="shared" si="15"/>
        <v>35265306.122448966</v>
      </c>
    </row>
    <row r="41" spans="1:23" x14ac:dyDescent="0.25">
      <c r="H41" s="39">
        <v>0.01</v>
      </c>
    </row>
    <row r="42" spans="1:23" ht="60" x14ac:dyDescent="0.25">
      <c r="D42" s="18" t="s">
        <v>26</v>
      </c>
      <c r="E42" s="25">
        <f>((F40/D40)^(1/3)-1)</f>
        <v>0.19681696117715086</v>
      </c>
      <c r="F42" s="26" t="s">
        <v>28</v>
      </c>
      <c r="G42" s="27">
        <v>0.16</v>
      </c>
    </row>
    <row r="44" spans="1:23" x14ac:dyDescent="0.25">
      <c r="D44">
        <f>D38</f>
        <v>2014</v>
      </c>
      <c r="E44">
        <f t="shared" ref="E44:L44" si="18">E38</f>
        <v>2015</v>
      </c>
      <c r="F44">
        <f t="shared" si="18"/>
        <v>2016</v>
      </c>
      <c r="G44">
        <f t="shared" si="18"/>
        <v>2017</v>
      </c>
      <c r="H44">
        <f t="shared" si="18"/>
        <v>2018</v>
      </c>
      <c r="I44">
        <f t="shared" si="18"/>
        <v>2019</v>
      </c>
      <c r="J44">
        <f t="shared" si="18"/>
        <v>2020</v>
      </c>
      <c r="K44">
        <f t="shared" si="18"/>
        <v>2021</v>
      </c>
      <c r="L44">
        <f t="shared" si="18"/>
        <v>2022</v>
      </c>
    </row>
    <row r="45" spans="1:23" x14ac:dyDescent="0.25">
      <c r="B45" t="str">
        <f t="shared" ref="B45" si="19">B40</f>
        <v xml:space="preserve">Orders per month </v>
      </c>
      <c r="D45" s="33">
        <f>D40</f>
        <v>7</v>
      </c>
      <c r="E45" s="33">
        <f t="shared" ref="E45:L45" si="20">E40</f>
        <v>9</v>
      </c>
      <c r="F45" s="33">
        <f t="shared" si="20"/>
        <v>12</v>
      </c>
      <c r="G45" s="33">
        <f t="shared" si="20"/>
        <v>14.36180353412581</v>
      </c>
      <c r="H45" s="33">
        <f t="shared" si="20"/>
        <v>17.188450062735718</v>
      </c>
      <c r="I45" s="33">
        <f t="shared" si="20"/>
        <v>20.571428571428569</v>
      </c>
      <c r="J45" s="33">
        <f t="shared" si="20"/>
        <v>24.620234629929957</v>
      </c>
      <c r="K45" s="33">
        <f t="shared" si="20"/>
        <v>29.465914393261226</v>
      </c>
      <c r="L45" s="33">
        <f t="shared" si="20"/>
        <v>35.265306122448969</v>
      </c>
    </row>
  </sheetData>
  <mergeCells count="2">
    <mergeCell ref="C21:E21"/>
    <mergeCell ref="F22:F2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zoomScale="80" zoomScaleNormal="80" workbookViewId="0">
      <selection activeCell="C5" sqref="C5"/>
    </sheetView>
  </sheetViews>
  <sheetFormatPr defaultRowHeight="15" x14ac:dyDescent="0.25"/>
  <cols>
    <col min="2" max="2" width="33.5703125" customWidth="1"/>
    <col min="3" max="3" width="23.7109375" bestFit="1" customWidth="1"/>
    <col min="4" max="8" width="17.85546875" customWidth="1"/>
    <col min="9" max="12" width="9.85546875" bestFit="1" customWidth="1"/>
  </cols>
  <sheetData>
    <row r="1" spans="1:12" ht="26.25" x14ac:dyDescent="0.4">
      <c r="A1" s="51" t="s">
        <v>68</v>
      </c>
      <c r="B1" s="52"/>
      <c r="C1" s="52"/>
      <c r="D1" s="53"/>
      <c r="E1" s="53"/>
      <c r="F1" s="53"/>
      <c r="G1" s="53"/>
      <c r="H1" s="53"/>
      <c r="I1" s="50"/>
      <c r="J1" s="50"/>
    </row>
    <row r="5" spans="1:12" x14ac:dyDescent="0.25">
      <c r="B5" t="s">
        <v>1</v>
      </c>
      <c r="C5" s="6">
        <v>43191</v>
      </c>
    </row>
    <row r="6" spans="1:12" x14ac:dyDescent="0.25">
      <c r="D6" s="3">
        <v>43555</v>
      </c>
      <c r="E6" s="3">
        <f>EOMONTH(D6,12)</f>
        <v>43921</v>
      </c>
      <c r="F6" s="3">
        <f t="shared" ref="F6:H6" si="0">EOMONTH(E6,12)</f>
        <v>44286</v>
      </c>
      <c r="G6" s="3">
        <f t="shared" si="0"/>
        <v>44651</v>
      </c>
      <c r="H6" s="3">
        <f t="shared" si="0"/>
        <v>45016</v>
      </c>
      <c r="I6" s="3"/>
      <c r="J6" s="3"/>
      <c r="K6" s="3"/>
      <c r="L6" s="3"/>
    </row>
    <row r="7" spans="1:12" x14ac:dyDescent="0.25">
      <c r="B7" s="1" t="s">
        <v>0</v>
      </c>
      <c r="C7" s="1"/>
      <c r="D7" s="8">
        <f>D6-C5</f>
        <v>364</v>
      </c>
      <c r="E7" s="8">
        <f>E6-D6</f>
        <v>366</v>
      </c>
      <c r="F7" s="8">
        <f t="shared" ref="F7:H7" si="1">F6-E6</f>
        <v>365</v>
      </c>
      <c r="G7" s="8">
        <f t="shared" si="1"/>
        <v>365</v>
      </c>
      <c r="H7" s="8">
        <f t="shared" si="1"/>
        <v>365</v>
      </c>
    </row>
    <row r="8" spans="1:12" x14ac:dyDescent="0.25">
      <c r="D8" s="7"/>
      <c r="E8" s="7"/>
      <c r="F8" s="7"/>
      <c r="G8" s="7"/>
      <c r="H8" s="7"/>
    </row>
    <row r="9" spans="1:12" x14ac:dyDescent="0.25">
      <c r="D9" s="7"/>
      <c r="E9" s="7"/>
      <c r="F9" s="7"/>
      <c r="G9" s="7"/>
      <c r="H9" s="7"/>
    </row>
    <row r="10" spans="1:12" x14ac:dyDescent="0.25">
      <c r="B10" s="1" t="s">
        <v>31</v>
      </c>
      <c r="C10" s="1"/>
      <c r="D10" s="7">
        <f>D13*D15</f>
        <v>0</v>
      </c>
      <c r="E10" s="7">
        <f t="shared" ref="E10:H10" si="2">E13*E15</f>
        <v>43244577.329560004</v>
      </c>
      <c r="F10" s="7">
        <f t="shared" si="2"/>
        <v>72151187.593999118</v>
      </c>
      <c r="G10" s="7">
        <f t="shared" si="2"/>
        <v>101115611.07896711</v>
      </c>
      <c r="H10" s="7">
        <f t="shared" si="2"/>
        <v>130137963.41090503</v>
      </c>
    </row>
    <row r="11" spans="1:12" x14ac:dyDescent="0.25">
      <c r="B11" s="1"/>
      <c r="C11" s="1"/>
      <c r="D11" s="7"/>
      <c r="E11" s="7"/>
      <c r="F11" s="7"/>
      <c r="G11" s="7"/>
      <c r="H11" s="7"/>
    </row>
    <row r="12" spans="1:12" x14ac:dyDescent="0.25">
      <c r="B12" s="2" t="s">
        <v>21</v>
      </c>
      <c r="C12" s="2"/>
      <c r="D12" s="8">
        <f>D47</f>
        <v>57582659.560000002</v>
      </c>
      <c r="E12" s="8">
        <f t="shared" ref="E12:H12" si="3">E47</f>
        <v>57697824.87912</v>
      </c>
      <c r="F12" s="8">
        <f t="shared" si="3"/>
        <v>57813220.528878242</v>
      </c>
      <c r="G12" s="8">
        <f t="shared" si="3"/>
        <v>57928846.969935998</v>
      </c>
      <c r="H12" s="8">
        <f t="shared" si="3"/>
        <v>58044704.663875863</v>
      </c>
    </row>
    <row r="13" spans="1:12" x14ac:dyDescent="0.25">
      <c r="B13" s="2" t="s">
        <v>22</v>
      </c>
      <c r="C13" s="2"/>
      <c r="D13" s="8">
        <f>D49</f>
        <v>28791.32978</v>
      </c>
      <c r="E13" s="8">
        <f>E51</f>
        <v>43244.577329560001</v>
      </c>
      <c r="F13" s="8">
        <f t="shared" ref="F13:H13" si="4">F51</f>
        <v>72151.187593999115</v>
      </c>
      <c r="G13" s="8">
        <f t="shared" si="4"/>
        <v>101115.61107896711</v>
      </c>
      <c r="H13" s="8">
        <f t="shared" si="4"/>
        <v>130137.96341090504</v>
      </c>
    </row>
    <row r="14" spans="1:12" x14ac:dyDescent="0.25">
      <c r="B14" s="2"/>
      <c r="C14" s="2"/>
    </row>
    <row r="15" spans="1:12" x14ac:dyDescent="0.25">
      <c r="B15" s="2" t="s">
        <v>30</v>
      </c>
      <c r="C15" s="2"/>
      <c r="D15" s="29">
        <v>0</v>
      </c>
      <c r="E15" s="29">
        <v>1000</v>
      </c>
      <c r="F15" s="29">
        <v>1000</v>
      </c>
      <c r="G15" s="29">
        <v>1000</v>
      </c>
      <c r="H15" s="29">
        <v>1000</v>
      </c>
    </row>
    <row r="16" spans="1:12" x14ac:dyDescent="0.25">
      <c r="D16" s="28">
        <f>D13*D15</f>
        <v>0</v>
      </c>
      <c r="E16" s="28">
        <f t="shared" ref="E16:H16" si="5">E13*E15</f>
        <v>43244577.329560004</v>
      </c>
      <c r="F16" s="28">
        <f t="shared" si="5"/>
        <v>72151187.593999118</v>
      </c>
      <c r="G16" s="28">
        <f t="shared" si="5"/>
        <v>101115611.07896711</v>
      </c>
      <c r="H16" s="28">
        <f t="shared" si="5"/>
        <v>130137963.41090503</v>
      </c>
    </row>
    <row r="17" spans="2:8" x14ac:dyDescent="0.25">
      <c r="D17" s="28"/>
      <c r="E17" s="28"/>
      <c r="F17" s="28"/>
      <c r="G17" s="28"/>
      <c r="H17" s="28"/>
    </row>
    <row r="18" spans="2:8" x14ac:dyDescent="0.25">
      <c r="D18" s="39"/>
      <c r="E18" s="30"/>
      <c r="F18" s="30"/>
      <c r="G18" s="30"/>
      <c r="H18" s="30"/>
    </row>
    <row r="19" spans="2:8" x14ac:dyDescent="0.25">
      <c r="D19" s="28">
        <f>D13*0.5</f>
        <v>14395.66489</v>
      </c>
      <c r="E19" s="28">
        <f t="shared" ref="E19:H19" si="6">E13*0.5</f>
        <v>21622.288664780001</v>
      </c>
      <c r="F19" s="28">
        <f t="shared" si="6"/>
        <v>36075.593796999558</v>
      </c>
      <c r="G19" s="28">
        <f t="shared" si="6"/>
        <v>50557.805539483554</v>
      </c>
      <c r="H19" s="28">
        <f t="shared" si="6"/>
        <v>65068.981705452519</v>
      </c>
    </row>
    <row r="20" spans="2:8" x14ac:dyDescent="0.25">
      <c r="B20" s="1"/>
      <c r="C20" s="1"/>
      <c r="D20" s="28">
        <f>D19*D15</f>
        <v>0</v>
      </c>
      <c r="E20" s="28">
        <f t="shared" ref="E20:H20" si="7">E19*E15</f>
        <v>21622288.664780002</v>
      </c>
      <c r="F20" s="28">
        <f t="shared" si="7"/>
        <v>36075593.796999559</v>
      </c>
      <c r="G20" s="28">
        <f t="shared" si="7"/>
        <v>50557805.539483555</v>
      </c>
      <c r="H20" s="28">
        <f t="shared" si="7"/>
        <v>65068981.705452517</v>
      </c>
    </row>
    <row r="21" spans="2:8" x14ac:dyDescent="0.25">
      <c r="B21" s="1" t="s">
        <v>32</v>
      </c>
      <c r="C21" s="1"/>
      <c r="D21" s="7"/>
      <c r="E21" s="7"/>
      <c r="F21" s="7"/>
      <c r="G21" s="7"/>
      <c r="H21" s="7"/>
    </row>
    <row r="22" spans="2:8" x14ac:dyDescent="0.25">
      <c r="B22" s="1"/>
      <c r="C22" s="1"/>
      <c r="D22" s="7"/>
      <c r="E22" s="7"/>
      <c r="F22" s="7"/>
      <c r="G22" s="7"/>
      <c r="H22" s="7"/>
    </row>
    <row r="23" spans="2:8" x14ac:dyDescent="0.25">
      <c r="B23" s="2" t="s">
        <v>35</v>
      </c>
      <c r="C23" s="1"/>
      <c r="D23" s="7">
        <f>D13*10%</f>
        <v>2879.1329780000001</v>
      </c>
      <c r="E23" s="7">
        <f>E13*10%</f>
        <v>4324.4577329560007</v>
      </c>
      <c r="F23" s="7">
        <f t="shared" ref="F23:H23" si="8">F13*20%</f>
        <v>14430.237518799824</v>
      </c>
      <c r="G23" s="7">
        <f t="shared" si="8"/>
        <v>20223.122215793424</v>
      </c>
      <c r="H23" s="7">
        <f t="shared" si="8"/>
        <v>26027.59268218101</v>
      </c>
    </row>
    <row r="24" spans="2:8" x14ac:dyDescent="0.25"/>
    <row r="25" spans="2:8" x14ac:dyDescent="0.25">
      <c r="B25" t="s">
        <v>33</v>
      </c>
      <c r="E25">
        <v>1200</v>
      </c>
      <c r="F25">
        <v>1200</v>
      </c>
      <c r="G25">
        <v>1200</v>
      </c>
      <c r="H25">
        <v>1200</v>
      </c>
    </row>
    <row r="28" spans="2:8" x14ac:dyDescent="0.25">
      <c r="B28" s="1"/>
      <c r="C28" s="1"/>
      <c r="E28" s="28"/>
    </row>
    <row r="30" spans="2:8" x14ac:dyDescent="0.25"/>
    <row r="34" spans="2:8" x14ac:dyDescent="0.25">
      <c r="C34" s="41" t="s">
        <v>64</v>
      </c>
      <c r="D34" s="41" t="s">
        <v>65</v>
      </c>
    </row>
    <row r="35" spans="2:8" x14ac:dyDescent="0.25">
      <c r="B35" s="1"/>
      <c r="C35" s="20"/>
      <c r="D35" s="20"/>
    </row>
    <row r="36" spans="2:8" x14ac:dyDescent="0.25">
      <c r="B36" s="2"/>
      <c r="C36" s="20" t="s">
        <v>57</v>
      </c>
      <c r="D36" s="42">
        <v>18686902</v>
      </c>
    </row>
    <row r="37" spans="2:8" x14ac:dyDescent="0.25">
      <c r="B37" s="2"/>
      <c r="C37" s="20" t="s">
        <v>61</v>
      </c>
      <c r="D37" s="20">
        <v>2615963</v>
      </c>
    </row>
    <row r="38" spans="2:8" x14ac:dyDescent="0.25">
      <c r="B38" s="2"/>
      <c r="C38" s="20" t="s">
        <v>60</v>
      </c>
      <c r="D38" s="20">
        <v>12339447</v>
      </c>
    </row>
    <row r="39" spans="2:8" x14ac:dyDescent="0.25">
      <c r="B39" s="2"/>
      <c r="C39" s="20" t="s">
        <v>58</v>
      </c>
      <c r="D39" s="20">
        <v>5290862</v>
      </c>
    </row>
    <row r="40" spans="2:8" x14ac:dyDescent="0.25">
      <c r="B40" s="2"/>
      <c r="C40" s="20" t="s">
        <v>59</v>
      </c>
      <c r="D40" s="20">
        <v>22869736</v>
      </c>
    </row>
    <row r="41" spans="2:8" x14ac:dyDescent="0.25">
      <c r="B41" s="1"/>
      <c r="C41" s="20" t="s">
        <v>62</v>
      </c>
      <c r="D41" s="20">
        <v>10108888</v>
      </c>
    </row>
    <row r="42" spans="2:8" x14ac:dyDescent="0.25">
      <c r="B42" s="1"/>
      <c r="C42" s="20" t="s">
        <v>63</v>
      </c>
      <c r="D42" s="20">
        <v>12977784</v>
      </c>
    </row>
    <row r="43" spans="2:8" x14ac:dyDescent="0.25">
      <c r="B43" s="1"/>
      <c r="C43" s="46" t="s">
        <v>66</v>
      </c>
      <c r="D43" s="46">
        <v>1054686</v>
      </c>
    </row>
    <row r="44" spans="2:8" x14ac:dyDescent="0.25">
      <c r="B44" s="1"/>
      <c r="C44" s="43"/>
      <c r="D44" s="44">
        <v>43555</v>
      </c>
      <c r="E44" s="45">
        <f>EOMONTH(D44,12)</f>
        <v>43921</v>
      </c>
      <c r="F44" s="45">
        <f t="shared" ref="F44:H44" si="9">EOMONTH(E44,12)</f>
        <v>44286</v>
      </c>
      <c r="G44" s="45">
        <f t="shared" si="9"/>
        <v>44651</v>
      </c>
      <c r="H44" s="45">
        <f t="shared" si="9"/>
        <v>45016</v>
      </c>
    </row>
    <row r="45" spans="2:8" x14ac:dyDescent="0.25">
      <c r="B45" s="1"/>
    </row>
    <row r="46" spans="2:8" x14ac:dyDescent="0.25">
      <c r="B46" s="2"/>
      <c r="C46" s="9" t="s">
        <v>20</v>
      </c>
      <c r="D46" s="33">
        <f>SUM(D36:D43)</f>
        <v>85944268</v>
      </c>
      <c r="E46">
        <f>D46*(1+0.2%)</f>
        <v>86116156.535999998</v>
      </c>
      <c r="F46">
        <f t="shared" ref="F46:H46" si="10">E46*(1+0.2%)</f>
        <v>86288388.849071994</v>
      </c>
      <c r="G46">
        <f t="shared" si="10"/>
        <v>86460965.626770139</v>
      </c>
      <c r="H46">
        <f t="shared" si="10"/>
        <v>86633887.558023676</v>
      </c>
    </row>
    <row r="47" spans="2:8" x14ac:dyDescent="0.25">
      <c r="B47" s="2"/>
      <c r="C47" s="9"/>
      <c r="D47" s="33">
        <f>D46*67%</f>
        <v>57582659.560000002</v>
      </c>
      <c r="E47" s="33">
        <f t="shared" ref="E47:H47" si="11">E46*67%</f>
        <v>57697824.87912</v>
      </c>
      <c r="F47" s="33">
        <f t="shared" si="11"/>
        <v>57813220.528878242</v>
      </c>
      <c r="G47" s="33">
        <f t="shared" si="11"/>
        <v>57928846.969935998</v>
      </c>
      <c r="H47" s="33">
        <f t="shared" si="11"/>
        <v>58044704.663875863</v>
      </c>
    </row>
    <row r="49" spans="2:8" x14ac:dyDescent="0.25">
      <c r="B49" s="1"/>
      <c r="D49" s="33">
        <f>D47*0.05%</f>
        <v>28791.32978</v>
      </c>
      <c r="E49" s="33">
        <f t="shared" ref="E49:H49" si="12">E47*0.05%</f>
        <v>28848.912439560001</v>
      </c>
      <c r="F49" s="33">
        <f t="shared" si="12"/>
        <v>28906.610264439121</v>
      </c>
      <c r="G49" s="33">
        <f t="shared" si="12"/>
        <v>28964.423484968</v>
      </c>
      <c r="H49" s="33">
        <f t="shared" si="12"/>
        <v>29022.352331937931</v>
      </c>
    </row>
    <row r="51" spans="2:8" x14ac:dyDescent="0.25">
      <c r="B51" s="1"/>
      <c r="D51" s="40">
        <f>D49*(1-0.5)</f>
        <v>14395.66489</v>
      </c>
      <c r="E51" s="40">
        <f>D51+E49</f>
        <v>43244.577329560001</v>
      </c>
      <c r="F51" s="40">
        <f t="shared" ref="F51:H51" si="13">E51+F49</f>
        <v>72151.187593999115</v>
      </c>
      <c r="G51" s="40">
        <f t="shared" si="13"/>
        <v>101115.61107896711</v>
      </c>
      <c r="H51" s="40">
        <f t="shared" si="13"/>
        <v>130137.96341090504</v>
      </c>
    </row>
    <row r="52" spans="2:8" x14ac:dyDescent="0.25">
      <c r="D52">
        <v>1000</v>
      </c>
      <c r="E52">
        <v>1000</v>
      </c>
      <c r="F52">
        <v>1000</v>
      </c>
      <c r="G52">
        <v>1000</v>
      </c>
      <c r="H52">
        <v>1000</v>
      </c>
    </row>
    <row r="53" spans="2:8" x14ac:dyDescent="0.25">
      <c r="B53" s="1"/>
    </row>
    <row r="54" spans="2:8" x14ac:dyDescent="0.25">
      <c r="D54" s="33">
        <f>D51*D52</f>
        <v>14395664.890000001</v>
      </c>
      <c r="E54" s="33">
        <f t="shared" ref="E54:H54" si="14">E51*E52</f>
        <v>43244577.329560004</v>
      </c>
      <c r="F54" s="33">
        <f t="shared" si="14"/>
        <v>72151187.593999118</v>
      </c>
      <c r="G54" s="33">
        <f t="shared" si="14"/>
        <v>101115611.07896711</v>
      </c>
      <c r="H54" s="33">
        <f t="shared" si="14"/>
        <v>130137963.41090503</v>
      </c>
    </row>
    <row r="55" spans="2:8" x14ac:dyDescent="0.25">
      <c r="D55">
        <f ca="1">'Income Statement'!F31</f>
        <v>17125000</v>
      </c>
      <c r="E55">
        <f ca="1">'Income Statement'!G31</f>
        <v>20027500</v>
      </c>
      <c r="F55">
        <f>'Income Statement'!H31</f>
        <v>20410250</v>
      </c>
      <c r="G55">
        <f>'Income Statement'!I31</f>
        <v>20481275</v>
      </c>
      <c r="H55">
        <f>'Income Statement'!J31</f>
        <v>20739402.5</v>
      </c>
    </row>
    <row r="57" spans="2:8" x14ac:dyDescent="0.25">
      <c r="D57" s="9">
        <f ca="1">D55</f>
        <v>17125000</v>
      </c>
      <c r="E57" s="34">
        <f ca="1">E54-E55</f>
        <v>23217077.329560004</v>
      </c>
      <c r="F57" s="34">
        <f t="shared" ref="F57:H57" si="15">F54-F55</f>
        <v>51740937.593999118</v>
      </c>
      <c r="G57" s="34">
        <f t="shared" si="15"/>
        <v>80634336.078967109</v>
      </c>
      <c r="H57" s="34">
        <f t="shared" si="15"/>
        <v>109398560.91090503</v>
      </c>
    </row>
    <row r="58" spans="2:8" x14ac:dyDescent="0.25">
      <c r="C58" s="2"/>
    </row>
    <row r="59" spans="2:8" x14ac:dyDescent="0.25">
      <c r="C59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="80" zoomScaleNormal="80" workbookViewId="0">
      <selection activeCell="D6" sqref="D6"/>
    </sheetView>
  </sheetViews>
  <sheetFormatPr defaultRowHeight="15" x14ac:dyDescent="0.25"/>
  <cols>
    <col min="2" max="2" width="32.28515625" bestFit="1" customWidth="1"/>
    <col min="3" max="3" width="10.5703125" bestFit="1" customWidth="1"/>
    <col min="4" max="5" width="16.28515625" bestFit="1" customWidth="1"/>
    <col min="6" max="8" width="10.7109375" bestFit="1" customWidth="1"/>
  </cols>
  <sheetData>
    <row r="1" spans="1:10" ht="26.25" x14ac:dyDescent="0.4">
      <c r="A1" s="51" t="s">
        <v>68</v>
      </c>
      <c r="B1" s="52"/>
      <c r="C1" s="52"/>
      <c r="D1" s="53"/>
      <c r="E1" s="53"/>
      <c r="F1" s="53"/>
      <c r="G1" s="53"/>
      <c r="H1" s="53"/>
      <c r="I1" s="50"/>
      <c r="J1" s="50"/>
    </row>
    <row r="5" spans="1:10" x14ac:dyDescent="0.25">
      <c r="B5" t="s">
        <v>1</v>
      </c>
      <c r="C5" s="6">
        <v>43191</v>
      </c>
    </row>
    <row r="7" spans="1:10" x14ac:dyDescent="0.25">
      <c r="D7" s="3">
        <v>43555</v>
      </c>
      <c r="E7" s="3">
        <f>EOMONTH(D7,12)</f>
        <v>43921</v>
      </c>
      <c r="F7" s="3">
        <f t="shared" ref="F7:H7" si="0">EOMONTH(E7,12)</f>
        <v>44286</v>
      </c>
      <c r="G7" s="3">
        <f t="shared" si="0"/>
        <v>44651</v>
      </c>
      <c r="H7" s="3">
        <f t="shared" si="0"/>
        <v>45016</v>
      </c>
    </row>
    <row r="8" spans="1:10" x14ac:dyDescent="0.25">
      <c r="B8" s="1" t="s">
        <v>0</v>
      </c>
      <c r="C8" s="1"/>
      <c r="D8" s="8">
        <f>D7-C5</f>
        <v>364</v>
      </c>
      <c r="E8" s="8">
        <f>E7-D7</f>
        <v>366</v>
      </c>
      <c r="F8" s="8">
        <f t="shared" ref="F8:H8" si="1">F7-E7</f>
        <v>365</v>
      </c>
      <c r="G8" s="8">
        <f t="shared" si="1"/>
        <v>365</v>
      </c>
      <c r="H8" s="8">
        <f t="shared" si="1"/>
        <v>365</v>
      </c>
    </row>
    <row r="11" spans="1:10" x14ac:dyDescent="0.25">
      <c r="B11" s="47" t="str">
        <f>Assumptions!B29</f>
        <v>Sales and Marketing</v>
      </c>
      <c r="D11" s="47">
        <v>10000000</v>
      </c>
      <c r="E11">
        <v>10000000</v>
      </c>
      <c r="F11">
        <f>E11*(1-10%)</f>
        <v>9000000</v>
      </c>
      <c r="G11">
        <f>F11*(1-10%)</f>
        <v>8100000</v>
      </c>
      <c r="H11">
        <f t="shared" ref="H11" si="2">G11*(1-10%)</f>
        <v>7290000</v>
      </c>
    </row>
    <row r="12" spans="1:10" x14ac:dyDescent="0.25">
      <c r="B12" t="str">
        <f>Assumptions!B30</f>
        <v>Product Development</v>
      </c>
      <c r="D12">
        <v>1000000</v>
      </c>
      <c r="E12">
        <f>D12*(1+10%)</f>
        <v>1100000</v>
      </c>
      <c r="F12">
        <f t="shared" ref="F12:H12" si="3">E12*(1+10%)</f>
        <v>1210000</v>
      </c>
      <c r="G12">
        <f t="shared" si="3"/>
        <v>1331000</v>
      </c>
      <c r="H12">
        <f t="shared" si="3"/>
        <v>1464100.0000000002</v>
      </c>
    </row>
    <row r="13" spans="1:10" x14ac:dyDescent="0.25">
      <c r="B13" t="str">
        <f>Assumptions!B31</f>
        <v>General and Administrative</v>
      </c>
      <c r="D13">
        <v>200000</v>
      </c>
      <c r="E13">
        <f>D13*(1+10%)</f>
        <v>220000.00000000003</v>
      </c>
      <c r="F13">
        <f t="shared" ref="F13:H13" si="4">E13*(1+10%)</f>
        <v>242000.00000000006</v>
      </c>
      <c r="G13">
        <f t="shared" si="4"/>
        <v>266200.00000000006</v>
      </c>
      <c r="H13">
        <f t="shared" si="4"/>
        <v>292820.00000000012</v>
      </c>
    </row>
    <row r="14" spans="1:10" x14ac:dyDescent="0.25">
      <c r="B14" t="str">
        <f>Assumptions!B32</f>
        <v>Depreciation and Amortisation</v>
      </c>
      <c r="D14">
        <v>50000</v>
      </c>
      <c r="E14">
        <f t="shared" ref="E14:E16" si="5">D14*(1+10%)</f>
        <v>55000.000000000007</v>
      </c>
      <c r="F14">
        <f t="shared" ref="F14:H14" si="6">E14*(1+10%)</f>
        <v>60500.000000000015</v>
      </c>
      <c r="G14">
        <f t="shared" si="6"/>
        <v>66550.000000000015</v>
      </c>
      <c r="H14">
        <f t="shared" si="6"/>
        <v>73205.000000000029</v>
      </c>
    </row>
    <row r="15" spans="1:10" x14ac:dyDescent="0.25">
      <c r="B15" s="47" t="str">
        <f>Assumptions!B33</f>
        <v>Promotional discounts</v>
      </c>
      <c r="D15">
        <v>500000</v>
      </c>
      <c r="E15">
        <f t="shared" si="5"/>
        <v>550000</v>
      </c>
      <c r="F15">
        <f t="shared" ref="F15:H15" si="7">E15*(1+10%)</f>
        <v>605000</v>
      </c>
      <c r="G15">
        <f t="shared" si="7"/>
        <v>665500</v>
      </c>
      <c r="H15">
        <f t="shared" si="7"/>
        <v>732050.00000000012</v>
      </c>
    </row>
    <row r="16" spans="1:10" x14ac:dyDescent="0.25">
      <c r="B16" t="s">
        <v>56</v>
      </c>
      <c r="D16" s="47">
        <v>4000000</v>
      </c>
      <c r="E16">
        <f t="shared" si="5"/>
        <v>4400000</v>
      </c>
      <c r="F16">
        <f t="shared" ref="F16:H17" si="8">E16*(1+10%)</f>
        <v>4840000</v>
      </c>
      <c r="G16">
        <f t="shared" si="8"/>
        <v>5324000</v>
      </c>
      <c r="H16">
        <f t="shared" si="8"/>
        <v>5856400.0000000009</v>
      </c>
    </row>
    <row r="17" spans="2:8" x14ac:dyDescent="0.25">
      <c r="B17" t="s">
        <v>36</v>
      </c>
      <c r="D17">
        <v>100000</v>
      </c>
      <c r="E17">
        <v>600000</v>
      </c>
      <c r="F17">
        <f t="shared" si="8"/>
        <v>660000</v>
      </c>
      <c r="G17">
        <f t="shared" si="8"/>
        <v>726000.00000000012</v>
      </c>
      <c r="H17">
        <f t="shared" si="8"/>
        <v>798600.00000000023</v>
      </c>
    </row>
    <row r="18" spans="2:8" x14ac:dyDescent="0.25">
      <c r="B18" t="s">
        <v>37</v>
      </c>
      <c r="D18">
        <v>100000</v>
      </c>
      <c r="E18">
        <v>600000</v>
      </c>
      <c r="F18">
        <f t="shared" ref="F18:H18" si="9">E18*(1+10%)</f>
        <v>660000</v>
      </c>
      <c r="G18">
        <f t="shared" si="9"/>
        <v>726000.00000000012</v>
      </c>
      <c r="H18">
        <f t="shared" si="9"/>
        <v>798600.00000000023</v>
      </c>
    </row>
    <row r="19" spans="2:8" x14ac:dyDescent="0.25">
      <c r="B19" t="s">
        <v>38</v>
      </c>
      <c r="D19">
        <v>75000</v>
      </c>
      <c r="E19">
        <f t="shared" ref="E19" si="10">D19*(1+10%)</f>
        <v>82500</v>
      </c>
      <c r="F19">
        <f t="shared" ref="F19:H19" si="11">E19*(1+10%)</f>
        <v>90750.000000000015</v>
      </c>
      <c r="G19">
        <f t="shared" si="11"/>
        <v>99825.000000000029</v>
      </c>
      <c r="H19">
        <f t="shared" si="11"/>
        <v>109807.50000000004</v>
      </c>
    </row>
    <row r="20" spans="2:8" x14ac:dyDescent="0.25">
      <c r="B20" t="s">
        <v>39</v>
      </c>
      <c r="D20" s="7">
        <f ca="1">-D20</f>
        <v>0</v>
      </c>
      <c r="E20" s="7">
        <f t="shared" ref="E20" ca="1" si="12">-E20</f>
        <v>0</v>
      </c>
      <c r="F20">
        <v>500000</v>
      </c>
      <c r="G20">
        <v>500000</v>
      </c>
      <c r="H20">
        <v>500000</v>
      </c>
    </row>
    <row r="21" spans="2:8" x14ac:dyDescent="0.25">
      <c r="B21" t="s">
        <v>40</v>
      </c>
      <c r="D21">
        <v>100000</v>
      </c>
      <c r="E21">
        <v>1000000</v>
      </c>
      <c r="F21">
        <f t="shared" ref="F21:H21" si="13">E21*(1+10%)</f>
        <v>1100000</v>
      </c>
      <c r="G21">
        <f t="shared" si="13"/>
        <v>1210000</v>
      </c>
      <c r="H21">
        <f t="shared" si="13"/>
        <v>1331000</v>
      </c>
    </row>
    <row r="22" spans="2:8" x14ac:dyDescent="0.25">
      <c r="B22" t="s">
        <v>41</v>
      </c>
      <c r="D22">
        <v>100000</v>
      </c>
      <c r="E22">
        <f t="shared" ref="E22" si="14">D22*(1+10%)</f>
        <v>110000.00000000001</v>
      </c>
      <c r="F22">
        <f t="shared" ref="F22:H22" si="15">E22*(1+10%)</f>
        <v>121000.00000000003</v>
      </c>
      <c r="G22">
        <f t="shared" si="15"/>
        <v>133100.00000000003</v>
      </c>
      <c r="H22">
        <f t="shared" si="15"/>
        <v>146410.00000000006</v>
      </c>
    </row>
    <row r="23" spans="2:8" x14ac:dyDescent="0.25">
      <c r="B23" t="s">
        <v>42</v>
      </c>
      <c r="D23">
        <v>800000</v>
      </c>
      <c r="E23">
        <v>1200000</v>
      </c>
      <c r="F23">
        <f>E23</f>
        <v>1200000</v>
      </c>
      <c r="G23">
        <f t="shared" ref="G23:H23" si="16">F23</f>
        <v>1200000</v>
      </c>
      <c r="H23">
        <f t="shared" si="16"/>
        <v>1200000</v>
      </c>
    </row>
    <row r="24" spans="2:8" x14ac:dyDescent="0.25">
      <c r="B24" t="s">
        <v>7</v>
      </c>
      <c r="D24">
        <v>100000</v>
      </c>
      <c r="E24">
        <f>D24*(1+10%)</f>
        <v>110000.00000000001</v>
      </c>
      <c r="F24">
        <f t="shared" ref="F24:H24" si="17">E24*(1+10%)</f>
        <v>121000.00000000003</v>
      </c>
      <c r="G24">
        <f t="shared" si="17"/>
        <v>133100.00000000003</v>
      </c>
      <c r="H24">
        <f t="shared" si="17"/>
        <v>146410.00000000006</v>
      </c>
    </row>
    <row r="31" spans="2:8" x14ac:dyDescent="0.25">
      <c r="B31" s="9" t="s">
        <v>34</v>
      </c>
      <c r="C31" s="9"/>
      <c r="D31" s="9">
        <f ca="1">SUM(D11:D24)</f>
        <v>17125000</v>
      </c>
      <c r="E31" s="9">
        <f t="shared" ref="E31:H31" ca="1" si="18">SUM(E11:E24)</f>
        <v>20027500</v>
      </c>
      <c r="F31" s="9">
        <f t="shared" si="18"/>
        <v>20410250</v>
      </c>
      <c r="G31" s="9">
        <f t="shared" si="18"/>
        <v>20481275</v>
      </c>
      <c r="H31" s="9">
        <f t="shared" si="18"/>
        <v>20739402.5</v>
      </c>
    </row>
    <row r="33" spans="2:5" x14ac:dyDescent="0.25">
      <c r="B33" s="9" t="s">
        <v>44</v>
      </c>
      <c r="C33" s="9"/>
      <c r="D33" s="9">
        <f>Assumptions!C17</f>
        <v>6500000</v>
      </c>
    </row>
    <row r="35" spans="2:5" x14ac:dyDescent="0.25">
      <c r="B35" s="32" t="s">
        <v>45</v>
      </c>
      <c r="C35" s="32"/>
      <c r="D35" s="32">
        <f ca="1">D33+D31</f>
        <v>23625000</v>
      </c>
    </row>
    <row r="36" spans="2:5" x14ac:dyDescent="0.25">
      <c r="D36" s="28"/>
      <c r="E36" s="28"/>
    </row>
    <row r="37" spans="2:5" x14ac:dyDescent="0.25">
      <c r="D37" s="3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"/>
  <sheetViews>
    <sheetView tabSelected="1" zoomScale="80" zoomScaleNormal="80" workbookViewId="0">
      <selection activeCell="D9" sqref="D9"/>
    </sheetView>
  </sheetViews>
  <sheetFormatPr defaultRowHeight="15" x14ac:dyDescent="0.25"/>
  <cols>
    <col min="4" max="4" width="32.28515625" customWidth="1"/>
    <col min="5" max="5" width="15.28515625" bestFit="1" customWidth="1"/>
    <col min="6" max="6" width="17.85546875" customWidth="1"/>
    <col min="7" max="10" width="17.85546875" bestFit="1" customWidth="1"/>
  </cols>
  <sheetData>
    <row r="1" spans="1:10" ht="26.25" x14ac:dyDescent="0.4">
      <c r="A1" s="51" t="s">
        <v>68</v>
      </c>
      <c r="B1" s="52"/>
      <c r="C1" s="52"/>
      <c r="D1" s="53"/>
      <c r="E1" s="53"/>
      <c r="F1" s="53"/>
      <c r="G1" s="53"/>
      <c r="H1" s="53"/>
      <c r="I1" s="50"/>
      <c r="J1" s="50"/>
    </row>
    <row r="4" spans="1:10" x14ac:dyDescent="0.25">
      <c r="D4" s="35" t="str">
        <f>'Revenue Projections'!B5</f>
        <v>Start Date of Operations</v>
      </c>
      <c r="E4" s="36">
        <f>'Revenue Projections'!C5</f>
        <v>43191</v>
      </c>
    </row>
    <row r="5" spans="1:10" x14ac:dyDescent="0.25">
      <c r="F5" s="37">
        <f>'Revenue Projections'!D6</f>
        <v>43555</v>
      </c>
      <c r="G5" s="37">
        <f>'Revenue Projections'!E6</f>
        <v>43921</v>
      </c>
      <c r="H5" s="37">
        <f>'Revenue Projections'!F6</f>
        <v>44286</v>
      </c>
      <c r="I5" s="37">
        <f>'Revenue Projections'!G6</f>
        <v>44651</v>
      </c>
      <c r="J5" s="37">
        <f>'Revenue Projections'!H6</f>
        <v>45016</v>
      </c>
    </row>
    <row r="6" spans="1:10" x14ac:dyDescent="0.25">
      <c r="D6" s="9" t="str">
        <f>'Revenue Projections'!B7</f>
        <v>Operational Days</v>
      </c>
      <c r="F6">
        <f>'Revenue Projections'!D7</f>
        <v>364</v>
      </c>
      <c r="G6">
        <f>'Revenue Projections'!E7</f>
        <v>366</v>
      </c>
      <c r="H6">
        <f>'Revenue Projections'!F7</f>
        <v>365</v>
      </c>
      <c r="I6">
        <f>'Revenue Projections'!G7</f>
        <v>365</v>
      </c>
      <c r="J6">
        <f>'Revenue Projections'!H7</f>
        <v>365</v>
      </c>
    </row>
    <row r="8" spans="1:10" x14ac:dyDescent="0.25">
      <c r="D8" t="s">
        <v>46</v>
      </c>
      <c r="F8" s="28">
        <v>0</v>
      </c>
      <c r="G8" s="28">
        <f>'Revenue Projections'!E10</f>
        <v>43244577.329560004</v>
      </c>
      <c r="H8" s="28">
        <f>'Revenue Projections'!F10</f>
        <v>72151187.593999118</v>
      </c>
      <c r="I8" s="28">
        <f>'Revenue Projections'!G10</f>
        <v>101115611.07896711</v>
      </c>
      <c r="J8" s="28">
        <f>'Revenue Projections'!H10</f>
        <v>130137963.41090503</v>
      </c>
    </row>
    <row r="9" spans="1:10" x14ac:dyDescent="0.25">
      <c r="F9" s="28">
        <f>'Revenue Projections'!D21</f>
        <v>0</v>
      </c>
      <c r="G9" s="28">
        <f>'Revenue Projections'!E21</f>
        <v>0</v>
      </c>
      <c r="H9" s="28">
        <f>'Revenue Projections'!F21</f>
        <v>0</v>
      </c>
      <c r="I9" s="28">
        <f>'Revenue Projections'!G21</f>
        <v>0</v>
      </c>
      <c r="J9" s="28">
        <f>'Revenue Projections'!H21</f>
        <v>0</v>
      </c>
    </row>
    <row r="10" spans="1:10" x14ac:dyDescent="0.25">
      <c r="F10" s="28"/>
      <c r="G10" s="28"/>
      <c r="H10" s="28"/>
      <c r="I10" s="28"/>
      <c r="J10" s="28"/>
    </row>
    <row r="12" spans="1:10" x14ac:dyDescent="0.25">
      <c r="D12" s="9" t="s">
        <v>47</v>
      </c>
      <c r="F12" s="28">
        <f>SUM(F8:F9)</f>
        <v>0</v>
      </c>
      <c r="G12" s="28">
        <f t="shared" ref="G12:J12" si="0">SUM(G8:G9)</f>
        <v>43244577.329560004</v>
      </c>
      <c r="H12" s="28">
        <f t="shared" si="0"/>
        <v>72151187.593999118</v>
      </c>
      <c r="I12" s="28">
        <f t="shared" si="0"/>
        <v>101115611.07896711</v>
      </c>
      <c r="J12" s="28">
        <f t="shared" si="0"/>
        <v>130137963.41090503</v>
      </c>
    </row>
    <row r="14" spans="1:10" x14ac:dyDescent="0.25">
      <c r="D14" t="s">
        <v>48</v>
      </c>
    </row>
    <row r="16" spans="1:10" x14ac:dyDescent="0.25">
      <c r="D16" t="str">
        <f>Cost!B11</f>
        <v>Sales and Marketing</v>
      </c>
      <c r="F16">
        <f>Cost!D11</f>
        <v>10000000</v>
      </c>
      <c r="G16">
        <f>Cost!E11</f>
        <v>10000000</v>
      </c>
      <c r="H16">
        <f>Cost!F11</f>
        <v>9000000</v>
      </c>
      <c r="I16">
        <f>Cost!G11</f>
        <v>8100000</v>
      </c>
      <c r="J16">
        <f>Cost!H11</f>
        <v>7290000</v>
      </c>
    </row>
    <row r="17" spans="4:10" x14ac:dyDescent="0.25">
      <c r="D17" t="str">
        <f>Cost!B12</f>
        <v>Product Development</v>
      </c>
      <c r="F17">
        <f>Cost!D12</f>
        <v>1000000</v>
      </c>
      <c r="G17">
        <f>Cost!E12</f>
        <v>1100000</v>
      </c>
      <c r="H17">
        <f>Cost!F12</f>
        <v>1210000</v>
      </c>
      <c r="I17">
        <f>Cost!G12</f>
        <v>1331000</v>
      </c>
      <c r="J17">
        <f>Cost!H12</f>
        <v>1464100.0000000002</v>
      </c>
    </row>
    <row r="18" spans="4:10" x14ac:dyDescent="0.25">
      <c r="D18" t="str">
        <f>Cost!B13</f>
        <v>General and Administrative</v>
      </c>
      <c r="F18">
        <f>Cost!D13</f>
        <v>200000</v>
      </c>
      <c r="G18">
        <f>Cost!E13</f>
        <v>220000.00000000003</v>
      </c>
      <c r="H18">
        <f>Cost!F13</f>
        <v>242000.00000000006</v>
      </c>
      <c r="I18">
        <f>Cost!G13</f>
        <v>266200.00000000006</v>
      </c>
      <c r="J18">
        <f>Cost!H13</f>
        <v>292820.00000000012</v>
      </c>
    </row>
    <row r="19" spans="4:10" x14ac:dyDescent="0.25">
      <c r="D19" t="str">
        <f>Cost!B14</f>
        <v>Depreciation and Amortisation</v>
      </c>
      <c r="F19">
        <f>Cost!D14</f>
        <v>50000</v>
      </c>
      <c r="G19">
        <f>Cost!E14</f>
        <v>55000.000000000007</v>
      </c>
      <c r="H19">
        <f>Cost!F14</f>
        <v>60500.000000000015</v>
      </c>
      <c r="I19">
        <f>Cost!G14</f>
        <v>66550.000000000015</v>
      </c>
      <c r="J19">
        <f>Cost!H14</f>
        <v>73205.000000000029</v>
      </c>
    </row>
    <row r="20" spans="4:10" x14ac:dyDescent="0.25">
      <c r="D20" t="str">
        <f>Cost!B15</f>
        <v>Promotional discounts</v>
      </c>
      <c r="F20">
        <f>Cost!D15</f>
        <v>500000</v>
      </c>
      <c r="G20">
        <f>Cost!E15</f>
        <v>550000</v>
      </c>
      <c r="H20">
        <f>Cost!F15</f>
        <v>605000</v>
      </c>
      <c r="I20">
        <f>Cost!G15</f>
        <v>665500</v>
      </c>
      <c r="J20">
        <f>Cost!H15</f>
        <v>732050.00000000012</v>
      </c>
    </row>
    <row r="21" spans="4:10" x14ac:dyDescent="0.25">
      <c r="D21" t="str">
        <f>Cost!B16</f>
        <v>Salaries</v>
      </c>
      <c r="F21">
        <f>Cost!D16</f>
        <v>4000000</v>
      </c>
      <c r="G21">
        <f>Cost!E16</f>
        <v>4400000</v>
      </c>
      <c r="H21">
        <f>Cost!F16</f>
        <v>4840000</v>
      </c>
      <c r="I21">
        <f>Cost!G16</f>
        <v>5324000</v>
      </c>
      <c r="J21">
        <f>Cost!H16</f>
        <v>5856400.0000000009</v>
      </c>
    </row>
    <row r="22" spans="4:10" x14ac:dyDescent="0.25">
      <c r="D22" t="str">
        <f>Cost!B17</f>
        <v>Travelling expenses</v>
      </c>
      <c r="F22">
        <f>Cost!D17</f>
        <v>100000</v>
      </c>
      <c r="G22">
        <f>Cost!E17</f>
        <v>600000</v>
      </c>
      <c r="H22">
        <f>Cost!F17</f>
        <v>660000</v>
      </c>
      <c r="I22">
        <f>Cost!G17</f>
        <v>726000.00000000012</v>
      </c>
      <c r="J22">
        <f>Cost!H17</f>
        <v>798600.00000000023</v>
      </c>
    </row>
    <row r="23" spans="4:10" x14ac:dyDescent="0.25">
      <c r="D23" t="str">
        <f>Cost!B18</f>
        <v>Communication expenses</v>
      </c>
      <c r="F23">
        <f>Cost!D18</f>
        <v>100000</v>
      </c>
      <c r="G23">
        <f>Cost!E18</f>
        <v>600000</v>
      </c>
      <c r="H23">
        <f>Cost!F18</f>
        <v>660000</v>
      </c>
      <c r="I23">
        <f>Cost!G18</f>
        <v>726000.00000000012</v>
      </c>
      <c r="J23">
        <f>Cost!H18</f>
        <v>798600.00000000023</v>
      </c>
    </row>
    <row r="24" spans="4:10" x14ac:dyDescent="0.25">
      <c r="D24" t="str">
        <f>Cost!B19</f>
        <v>Electricity expenses</v>
      </c>
      <c r="F24">
        <f>Cost!D19</f>
        <v>75000</v>
      </c>
      <c r="G24">
        <f>Cost!E19</f>
        <v>82500</v>
      </c>
      <c r="H24">
        <f>Cost!F19</f>
        <v>90750.000000000015</v>
      </c>
      <c r="I24">
        <f>Cost!G19</f>
        <v>99825.000000000029</v>
      </c>
      <c r="J24">
        <f>Cost!H19</f>
        <v>109807.50000000004</v>
      </c>
    </row>
    <row r="25" spans="4:10" x14ac:dyDescent="0.25">
      <c r="D25" t="str">
        <f>Cost!B20</f>
        <v>Payment Gateway charges</v>
      </c>
      <c r="F25" s="7">
        <f ca="1">Cost!D20</f>
        <v>0</v>
      </c>
      <c r="G25" s="7">
        <f ca="1">Cost!E20</f>
        <v>0</v>
      </c>
      <c r="H25">
        <f>Cost!F20</f>
        <v>500000</v>
      </c>
      <c r="I25">
        <f>Cost!G20</f>
        <v>500000</v>
      </c>
      <c r="J25">
        <f>Cost!H20</f>
        <v>500000</v>
      </c>
    </row>
    <row r="26" spans="4:10" x14ac:dyDescent="0.25">
      <c r="D26" t="str">
        <f>Cost!B21</f>
        <v>Bank charges</v>
      </c>
      <c r="F26">
        <f>Cost!D21</f>
        <v>100000</v>
      </c>
      <c r="G26">
        <f>Cost!E21</f>
        <v>1000000</v>
      </c>
      <c r="H26">
        <f>Cost!F21</f>
        <v>1100000</v>
      </c>
      <c r="I26">
        <f>Cost!G21</f>
        <v>1210000</v>
      </c>
      <c r="J26">
        <f>Cost!H21</f>
        <v>1331000</v>
      </c>
    </row>
    <row r="27" spans="4:10" x14ac:dyDescent="0.25">
      <c r="D27" t="str">
        <f>Cost!B22</f>
        <v>Payment to auditors</v>
      </c>
      <c r="F27">
        <f>Cost!D22</f>
        <v>100000</v>
      </c>
      <c r="G27">
        <f>Cost!E22</f>
        <v>110000.00000000001</v>
      </c>
      <c r="H27">
        <f>Cost!F22</f>
        <v>121000.00000000003</v>
      </c>
      <c r="I27">
        <f>Cost!G22</f>
        <v>133100.00000000003</v>
      </c>
      <c r="J27">
        <f>Cost!H22</f>
        <v>146410.00000000006</v>
      </c>
    </row>
    <row r="28" spans="4:10" x14ac:dyDescent="0.25">
      <c r="D28" t="str">
        <f>Cost!B23</f>
        <v>Rent</v>
      </c>
      <c r="F28">
        <f>Cost!D23</f>
        <v>800000</v>
      </c>
      <c r="G28">
        <f>Cost!E23</f>
        <v>1200000</v>
      </c>
      <c r="H28">
        <f>Cost!F23</f>
        <v>1200000</v>
      </c>
      <c r="I28">
        <f>Cost!G23</f>
        <v>1200000</v>
      </c>
      <c r="J28">
        <f>Cost!H23</f>
        <v>1200000</v>
      </c>
    </row>
    <row r="29" spans="4:10" x14ac:dyDescent="0.25">
      <c r="D29" t="str">
        <f>Cost!B24</f>
        <v>Research and Development</v>
      </c>
      <c r="F29">
        <f>Cost!D24</f>
        <v>100000</v>
      </c>
      <c r="G29">
        <f>Cost!E24</f>
        <v>110000.00000000001</v>
      </c>
      <c r="H29">
        <f>Cost!F24</f>
        <v>121000.00000000003</v>
      </c>
      <c r="I29">
        <f>Cost!G24</f>
        <v>133100.00000000003</v>
      </c>
      <c r="J29">
        <f>Cost!H24</f>
        <v>146410.00000000006</v>
      </c>
    </row>
    <row r="31" spans="4:10" x14ac:dyDescent="0.25">
      <c r="D31" s="9" t="s">
        <v>34</v>
      </c>
      <c r="F31">
        <f ca="1">SUM(F16:F29)</f>
        <v>17125000</v>
      </c>
      <c r="G31">
        <f t="shared" ref="G31:J31" ca="1" si="1">SUM(G16:G29)</f>
        <v>20027500</v>
      </c>
      <c r="H31">
        <f t="shared" si="1"/>
        <v>20410250</v>
      </c>
      <c r="I31">
        <f t="shared" si="1"/>
        <v>20481275</v>
      </c>
      <c r="J31">
        <f t="shared" si="1"/>
        <v>20739402.5</v>
      </c>
    </row>
    <row r="33" spans="4:10" x14ac:dyDescent="0.25">
      <c r="D33" s="9" t="s">
        <v>49</v>
      </c>
      <c r="F33" s="28">
        <f ca="1">F12-F31</f>
        <v>-17125000</v>
      </c>
      <c r="G33" s="31">
        <f t="shared" ref="G33:J33" ca="1" si="2">G12-G31</f>
        <v>23217077.329560004</v>
      </c>
      <c r="H33" s="31">
        <f t="shared" si="2"/>
        <v>51740937.593999118</v>
      </c>
      <c r="I33" s="31">
        <f t="shared" si="2"/>
        <v>80634336.078967109</v>
      </c>
      <c r="J33" s="31">
        <f t="shared" si="2"/>
        <v>109398560.91090503</v>
      </c>
    </row>
    <row r="34" spans="4:10" x14ac:dyDescent="0.25">
      <c r="D34" t="s">
        <v>50</v>
      </c>
      <c r="F34">
        <f>Cost!D14</f>
        <v>50000</v>
      </c>
      <c r="G34">
        <f>Cost!E14</f>
        <v>55000.000000000007</v>
      </c>
      <c r="H34">
        <f>Cost!F14</f>
        <v>60500.000000000015</v>
      </c>
      <c r="I34">
        <f>Cost!G14</f>
        <v>66550.000000000015</v>
      </c>
      <c r="J34">
        <f>Cost!H14</f>
        <v>73205.000000000029</v>
      </c>
    </row>
    <row r="35" spans="4:10" x14ac:dyDescent="0.25">
      <c r="D35" s="9" t="s">
        <v>51</v>
      </c>
      <c r="F35" s="31">
        <f ca="1">F33-F34</f>
        <v>-17175000</v>
      </c>
      <c r="G35" s="31">
        <f t="shared" ref="G35:J35" ca="1" si="3">G33-G34</f>
        <v>23162077.329560004</v>
      </c>
      <c r="H35" s="31">
        <f t="shared" si="3"/>
        <v>51680437.593999118</v>
      </c>
      <c r="I35" s="31">
        <f t="shared" si="3"/>
        <v>80567786.078967109</v>
      </c>
      <c r="J35" s="31">
        <f t="shared" si="3"/>
        <v>109325355.91090503</v>
      </c>
    </row>
    <row r="36" spans="4:10" x14ac:dyDescent="0.25">
      <c r="D36" t="s">
        <v>52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4:10" x14ac:dyDescent="0.25">
      <c r="D37" s="9" t="s">
        <v>53</v>
      </c>
      <c r="F37" s="31">
        <f ca="1">F35-F36</f>
        <v>-17175000</v>
      </c>
      <c r="G37" s="31">
        <f t="shared" ref="G37:J37" ca="1" si="4">G35-G36</f>
        <v>23162077.329560004</v>
      </c>
      <c r="H37" s="31">
        <f t="shared" si="4"/>
        <v>51680437.593999118</v>
      </c>
      <c r="I37" s="31">
        <f t="shared" si="4"/>
        <v>80567786.078967109</v>
      </c>
      <c r="J37" s="31">
        <f t="shared" si="4"/>
        <v>109325355.91090503</v>
      </c>
    </row>
    <row r="38" spans="4:10" x14ac:dyDescent="0.25">
      <c r="D38" t="s">
        <v>54</v>
      </c>
      <c r="F38" s="8">
        <f ca="1">IF(F37&gt;0,F37*30%,0)</f>
        <v>0</v>
      </c>
      <c r="G38" s="8">
        <f t="shared" ref="G38:J38" ca="1" si="5">IF(G37&gt;0,G37*30%,0)</f>
        <v>6948623.1988680009</v>
      </c>
      <c r="H38" s="8">
        <f t="shared" si="5"/>
        <v>15504131.278199734</v>
      </c>
      <c r="I38" s="8">
        <f t="shared" si="5"/>
        <v>24170335.823690131</v>
      </c>
      <c r="J38" s="8">
        <f t="shared" si="5"/>
        <v>32797606.773271509</v>
      </c>
    </row>
    <row r="39" spans="4:10" x14ac:dyDescent="0.25">
      <c r="D39" s="38" t="s">
        <v>55</v>
      </c>
      <c r="F39" s="31">
        <f ca="1">F37-F38</f>
        <v>-17175000</v>
      </c>
      <c r="G39" s="31">
        <f t="shared" ref="G39:J39" ca="1" si="6">G37-G38</f>
        <v>16213454.130692003</v>
      </c>
      <c r="H39" s="31">
        <f t="shared" si="6"/>
        <v>36176306.315799385</v>
      </c>
      <c r="I39" s="31">
        <f t="shared" si="6"/>
        <v>56397450.255276978</v>
      </c>
      <c r="J39" s="31">
        <f t="shared" si="6"/>
        <v>76527749.137633532</v>
      </c>
    </row>
    <row r="41" spans="4:10" x14ac:dyDescent="0.25">
      <c r="F41" s="3"/>
      <c r="G41" s="3"/>
      <c r="H41" s="3"/>
      <c r="I41" s="3"/>
      <c r="J41" s="3"/>
    </row>
    <row r="42" spans="4:10" x14ac:dyDescent="0.25">
      <c r="D42" t="str">
        <f>D39</f>
        <v>PAT</v>
      </c>
      <c r="F42" s="31">
        <f ca="1">F39</f>
        <v>-17175000</v>
      </c>
      <c r="G42" s="31">
        <f t="shared" ref="G42:J42" ca="1" si="7">G39</f>
        <v>16213454.130692003</v>
      </c>
      <c r="H42" s="31">
        <f t="shared" si="7"/>
        <v>36176306.315799385</v>
      </c>
      <c r="I42" s="31">
        <f t="shared" si="7"/>
        <v>56397450.255276978</v>
      </c>
      <c r="J42" s="31">
        <f t="shared" si="7"/>
        <v>76527749.137633532</v>
      </c>
    </row>
    <row r="43" spans="4:10" x14ac:dyDescent="0.25">
      <c r="F43" s="28"/>
      <c r="G43" s="28"/>
      <c r="H43" s="28"/>
      <c r="I43" s="28"/>
      <c r="J43" s="28"/>
    </row>
    <row r="44" spans="4:10" x14ac:dyDescent="0.25">
      <c r="E44" s="9"/>
      <c r="F44" s="31"/>
      <c r="I44" s="28"/>
      <c r="J44" s="28"/>
    </row>
    <row r="46" spans="4:10" x14ac:dyDescent="0.25">
      <c r="E46" s="9" t="s">
        <v>67</v>
      </c>
      <c r="F46" s="31">
        <f ca="1">F42-Assumptions!C17</f>
        <v>-23675000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Revenue Projections</vt:lpstr>
      <vt:lpstr>Cost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2017-11-07T17:59:34Z</cp:lastPrinted>
  <dcterms:created xsi:type="dcterms:W3CDTF">2017-11-06T16:09:14Z</dcterms:created>
  <dcterms:modified xsi:type="dcterms:W3CDTF">2018-07-23T14:24:59Z</dcterms:modified>
</cp:coreProperties>
</file>